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dmin\CMS Content\"/>
    </mc:Choice>
  </mc:AlternateContent>
  <xr:revisionPtr revIDLastSave="0" documentId="13_ncr:1_{BCAA7BE4-63D2-4AE0-9A18-DF31A688315D}" xr6:coauthVersionLast="46" xr6:coauthVersionMax="46" xr10:uidLastSave="{00000000-0000-0000-0000-000000000000}"/>
  <bookViews>
    <workbookView xWindow="14565" yWindow="-15240" windowWidth="22995" windowHeight="13890" tabRatio="766" firstSheet="31" activeTab="43" xr2:uid="{00000000-000D-0000-FFFF-FFFF00000000}"/>
  </bookViews>
  <sheets>
    <sheet name="Annual totals 1903-2018" sheetId="46" r:id="rId1"/>
    <sheet name="1979" sheetId="1" r:id="rId2"/>
    <sheet name="1980" sheetId="4" r:id="rId3"/>
    <sheet name="1981" sheetId="6" r:id="rId4"/>
    <sheet name="1982" sheetId="7" r:id="rId5"/>
    <sheet name="1983" sheetId="8" r:id="rId6"/>
    <sheet name="1984" sheetId="9" r:id="rId7"/>
    <sheet name="1985" sheetId="10" r:id="rId8"/>
    <sheet name="1986" sheetId="11" r:id="rId9"/>
    <sheet name="1987" sheetId="12" r:id="rId10"/>
    <sheet name="1988" sheetId="13" r:id="rId11"/>
    <sheet name="1989" sheetId="14" r:id="rId12"/>
    <sheet name="1990" sheetId="15" r:id="rId13"/>
    <sheet name="1991" sheetId="16" r:id="rId14"/>
    <sheet name="1992" sheetId="17" r:id="rId15"/>
    <sheet name="1993" sheetId="19" r:id="rId16"/>
    <sheet name="1994" sheetId="20" r:id="rId17"/>
    <sheet name="1995" sheetId="21" r:id="rId18"/>
    <sheet name="1996" sheetId="22" r:id="rId19"/>
    <sheet name="1997" sheetId="23" r:id="rId20"/>
    <sheet name="1998" sheetId="24" r:id="rId21"/>
    <sheet name="1999" sheetId="25" r:id="rId22"/>
    <sheet name="2000" sheetId="26" r:id="rId23"/>
    <sheet name="2001" sheetId="28" r:id="rId24"/>
    <sheet name="2002" sheetId="30" r:id="rId25"/>
    <sheet name="2003" sheetId="31" r:id="rId26"/>
    <sheet name="2004" sheetId="32" r:id="rId27"/>
    <sheet name="2005" sheetId="33" r:id="rId28"/>
    <sheet name="2006" sheetId="34" r:id="rId29"/>
    <sheet name="2007" sheetId="43" r:id="rId30"/>
    <sheet name="2008" sheetId="42" r:id="rId31"/>
    <sheet name="2009" sheetId="41" r:id="rId32"/>
    <sheet name="2010" sheetId="40" r:id="rId33"/>
    <sheet name="2011" sheetId="39" r:id="rId34"/>
    <sheet name="2012" sheetId="37" r:id="rId35"/>
    <sheet name="2013" sheetId="38" r:id="rId36"/>
    <sheet name="2014" sheetId="36" r:id="rId37"/>
    <sheet name="2015" sheetId="35" r:id="rId38"/>
    <sheet name="2016" sheetId="44" r:id="rId39"/>
    <sheet name="2017" sheetId="47" r:id="rId40"/>
    <sheet name="2018" sheetId="48" r:id="rId41"/>
    <sheet name="2019" sheetId="49" r:id="rId42"/>
    <sheet name="2020" sheetId="50" r:id="rId43"/>
    <sheet name="2021" sheetId="51" r:id="rId44"/>
  </sheets>
  <definedNames>
    <definedName name="_xlnm.Print_Area" localSheetId="41">'2019'!$A$1:$D$16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1" l="1"/>
  <c r="B12" i="51"/>
  <c r="D8" i="51"/>
  <c r="D9" i="51"/>
  <c r="D7" i="51"/>
  <c r="C16" i="51"/>
  <c r="B16" i="51"/>
  <c r="D15" i="51"/>
  <c r="D11" i="51"/>
  <c r="D10" i="51"/>
  <c r="D2" i="51"/>
  <c r="D6" i="51"/>
  <c r="D5" i="51"/>
  <c r="D4" i="51"/>
  <c r="D3" i="51"/>
  <c r="D4" i="49"/>
  <c r="C16" i="49"/>
  <c r="B16" i="49"/>
  <c r="D13" i="49"/>
  <c r="D14" i="49"/>
  <c r="D15" i="49"/>
  <c r="D12" i="49"/>
  <c r="C9" i="49"/>
  <c r="B9" i="49"/>
  <c r="D9" i="49" s="1"/>
  <c r="D8" i="49"/>
  <c r="D7" i="49"/>
  <c r="D6" i="49"/>
  <c r="D5" i="49"/>
  <c r="D3" i="49"/>
  <c r="D2" i="49"/>
  <c r="D16" i="51" l="1"/>
  <c r="D12" i="51"/>
  <c r="D16" i="49"/>
  <c r="D115" i="46"/>
  <c r="D116" i="46"/>
  <c r="D117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A78" i="46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111" i="46" s="1"/>
  <c r="A112" i="46" s="1"/>
  <c r="A113" i="46" s="1"/>
  <c r="A114" i="46" s="1"/>
  <c r="A115" i="46" s="1"/>
  <c r="A116" i="46" s="1"/>
  <c r="A117" i="46" s="1"/>
  <c r="D78" i="46"/>
  <c r="D79" i="46"/>
  <c r="D80" i="46"/>
  <c r="D81" i="46"/>
  <c r="D82" i="46"/>
  <c r="D83" i="46"/>
  <c r="D84" i="46"/>
  <c r="D85" i="46"/>
  <c r="D86" i="46"/>
  <c r="D87" i="46"/>
  <c r="C74" i="46" l="1"/>
  <c r="B74" i="46"/>
  <c r="C71" i="46"/>
  <c r="C122" i="46" s="1"/>
  <c r="D122" i="46" s="1"/>
  <c r="B71" i="46"/>
  <c r="B122" i="46" s="1"/>
  <c r="D4" i="48" l="1"/>
  <c r="D6" i="48"/>
  <c r="C14" i="48"/>
  <c r="B14" i="48"/>
  <c r="D13" i="48"/>
  <c r="C10" i="48"/>
  <c r="B10" i="48"/>
  <c r="D9" i="48"/>
  <c r="D8" i="48"/>
  <c r="D7" i="48"/>
  <c r="D3" i="48"/>
  <c r="D5" i="48"/>
  <c r="D2" i="48"/>
  <c r="D10" i="48" l="1"/>
  <c r="D14" i="48"/>
  <c r="C13" i="47"/>
  <c r="D13" i="47" s="1"/>
  <c r="B13" i="47"/>
  <c r="D12" i="47"/>
  <c r="D11" i="47"/>
  <c r="C8" i="47"/>
  <c r="B8" i="47"/>
  <c r="D7" i="47"/>
  <c r="D6" i="47"/>
  <c r="D5" i="47"/>
  <c r="D4" i="47"/>
  <c r="D3" i="47"/>
  <c r="D2" i="47"/>
  <c r="D8" i="47" l="1"/>
  <c r="D2" i="46"/>
  <c r="D9" i="46"/>
  <c r="D11" i="46"/>
  <c r="D12" i="46"/>
  <c r="D31" i="46"/>
  <c r="D41" i="46"/>
  <c r="D46" i="46"/>
  <c r="D47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2" i="35"/>
  <c r="D3" i="35"/>
  <c r="D2" i="44"/>
  <c r="C17" i="44" l="1"/>
  <c r="B17" i="44"/>
  <c r="D15" i="44"/>
  <c r="D16" i="44"/>
  <c r="D6" i="44"/>
  <c r="D4" i="44"/>
  <c r="D17" i="44"/>
  <c r="D14" i="44"/>
  <c r="C11" i="44"/>
  <c r="B11" i="44"/>
  <c r="D10" i="44"/>
  <c r="D9" i="44"/>
  <c r="D8" i="44"/>
  <c r="D7" i="44"/>
  <c r="D5" i="44"/>
  <c r="D3" i="44"/>
  <c r="D11" i="44" l="1"/>
  <c r="D7" i="43"/>
  <c r="C14" i="43"/>
  <c r="B14" i="43"/>
  <c r="D13" i="43"/>
  <c r="C10" i="43"/>
  <c r="B10" i="43"/>
  <c r="D9" i="43"/>
  <c r="D8" i="43"/>
  <c r="D6" i="43"/>
  <c r="D5" i="43"/>
  <c r="D4" i="43"/>
  <c r="D3" i="43"/>
  <c r="D2" i="43"/>
  <c r="D7" i="42"/>
  <c r="D6" i="42"/>
  <c r="C17" i="42"/>
  <c r="B17" i="42"/>
  <c r="D16" i="42"/>
  <c r="C13" i="42"/>
  <c r="B13" i="42"/>
  <c r="D12" i="42"/>
  <c r="D11" i="42"/>
  <c r="D10" i="42"/>
  <c r="D9" i="42"/>
  <c r="D8" i="42"/>
  <c r="D5" i="42"/>
  <c r="D4" i="42"/>
  <c r="D3" i="42"/>
  <c r="D2" i="42"/>
  <c r="C16" i="41"/>
  <c r="B16" i="41"/>
  <c r="D16" i="41" s="1"/>
  <c r="D15" i="41"/>
  <c r="C12" i="41"/>
  <c r="B12" i="41"/>
  <c r="D11" i="41"/>
  <c r="D10" i="41"/>
  <c r="D9" i="41"/>
  <c r="D8" i="41"/>
  <c r="D7" i="41"/>
  <c r="D6" i="41"/>
  <c r="D5" i="41"/>
  <c r="D4" i="41"/>
  <c r="D3" i="41"/>
  <c r="D2" i="41"/>
  <c r="D8" i="40"/>
  <c r="D4" i="40"/>
  <c r="D3" i="40"/>
  <c r="C17" i="40"/>
  <c r="B17" i="40"/>
  <c r="D16" i="40"/>
  <c r="C13" i="40"/>
  <c r="B13" i="40"/>
  <c r="D12" i="40"/>
  <c r="D11" i="40"/>
  <c r="D10" i="40"/>
  <c r="D9" i="40"/>
  <c r="D7" i="40"/>
  <c r="D6" i="40"/>
  <c r="D5" i="40"/>
  <c r="D2" i="40"/>
  <c r="C15" i="39"/>
  <c r="D15" i="39" s="1"/>
  <c r="B15" i="39"/>
  <c r="D14" i="39"/>
  <c r="C11" i="39"/>
  <c r="B11" i="39"/>
  <c r="D10" i="39"/>
  <c r="D9" i="39"/>
  <c r="D8" i="39"/>
  <c r="D7" i="39"/>
  <c r="D6" i="39"/>
  <c r="D5" i="39"/>
  <c r="D4" i="39"/>
  <c r="D3" i="39"/>
  <c r="D2" i="39"/>
  <c r="D6" i="38"/>
  <c r="C14" i="38"/>
  <c r="B14" i="38"/>
  <c r="D13" i="38"/>
  <c r="C10" i="38"/>
  <c r="B10" i="38"/>
  <c r="D9" i="38"/>
  <c r="D8" i="38"/>
  <c r="D7" i="38"/>
  <c r="D5" i="38"/>
  <c r="D4" i="38"/>
  <c r="D3" i="38"/>
  <c r="D2" i="38"/>
  <c r="D7" i="37"/>
  <c r="D8" i="37"/>
  <c r="C14" i="37"/>
  <c r="B14" i="37"/>
  <c r="D14" i="37" s="1"/>
  <c r="D13" i="37"/>
  <c r="C10" i="37"/>
  <c r="B10" i="37"/>
  <c r="D9" i="37"/>
  <c r="D6" i="37"/>
  <c r="D5" i="37"/>
  <c r="D4" i="37"/>
  <c r="D3" i="37"/>
  <c r="D2" i="37"/>
  <c r="C8" i="36"/>
  <c r="C12" i="36"/>
  <c r="B12" i="36"/>
  <c r="D11" i="36"/>
  <c r="B8" i="36"/>
  <c r="D7" i="36"/>
  <c r="D6" i="36"/>
  <c r="D5" i="36"/>
  <c r="D4" i="36"/>
  <c r="D3" i="36"/>
  <c r="D2" i="36"/>
  <c r="D12" i="35"/>
  <c r="D4" i="35"/>
  <c r="D5" i="35"/>
  <c r="D6" i="35"/>
  <c r="D7" i="35"/>
  <c r="D8" i="35"/>
  <c r="C13" i="35"/>
  <c r="B13" i="35"/>
  <c r="C9" i="35"/>
  <c r="D9" i="35" s="1"/>
  <c r="B9" i="35"/>
  <c r="D13" i="35" l="1"/>
  <c r="D14" i="38"/>
  <c r="D10" i="43"/>
  <c r="D14" i="43"/>
  <c r="D13" i="42"/>
  <c r="D17" i="42"/>
  <c r="D12" i="41"/>
  <c r="D17" i="40"/>
  <c r="D13" i="40"/>
  <c r="D11" i="39"/>
  <c r="D10" i="38"/>
  <c r="D10" i="37"/>
  <c r="D12" i="36"/>
  <c r="D8" i="36"/>
  <c r="C13" i="34"/>
  <c r="D17" i="34"/>
  <c r="C17" i="34"/>
  <c r="B17" i="34"/>
  <c r="D13" i="34"/>
  <c r="B13" i="34"/>
  <c r="D18" i="33"/>
  <c r="C18" i="33"/>
  <c r="B18" i="33"/>
  <c r="D14" i="33"/>
  <c r="C14" i="33"/>
  <c r="B14" i="33"/>
  <c r="B15" i="32"/>
  <c r="D15" i="32"/>
  <c r="C15" i="32"/>
  <c r="D11" i="32"/>
  <c r="C11" i="32"/>
  <c r="B11" i="32"/>
  <c r="D19" i="31"/>
  <c r="C19" i="31"/>
  <c r="B19" i="31"/>
  <c r="D15" i="31"/>
  <c r="C15" i="31"/>
  <c r="B15" i="31"/>
  <c r="D19" i="30"/>
  <c r="C19" i="30"/>
  <c r="B19" i="30"/>
  <c r="D15" i="30"/>
  <c r="C15" i="30"/>
  <c r="B15" i="30"/>
  <c r="D15" i="28"/>
  <c r="C15" i="28"/>
  <c r="B15" i="28"/>
  <c r="C19" i="28"/>
  <c r="B19" i="28"/>
  <c r="D19" i="28"/>
  <c r="B13" i="26"/>
  <c r="D13" i="26"/>
  <c r="C13" i="26"/>
  <c r="D15" i="25"/>
  <c r="C15" i="25"/>
  <c r="B15" i="25"/>
  <c r="B13" i="24"/>
  <c r="C18" i="24"/>
  <c r="B18" i="24"/>
  <c r="C13" i="24"/>
  <c r="D2" i="23"/>
  <c r="D3" i="23" s="1"/>
  <c r="D7" i="23"/>
  <c r="C7" i="23"/>
  <c r="B7" i="23"/>
  <c r="C3" i="23"/>
  <c r="B3" i="23"/>
  <c r="D19" i="22"/>
  <c r="D12" i="22"/>
  <c r="D11" i="22"/>
  <c r="D10" i="22"/>
  <c r="D9" i="22"/>
  <c r="D8" i="22"/>
  <c r="D6" i="22"/>
  <c r="D5" i="22"/>
  <c r="D2" i="22"/>
  <c r="D20" i="22"/>
  <c r="C20" i="22"/>
  <c r="B20" i="22"/>
  <c r="C16" i="22"/>
  <c r="B16" i="22"/>
  <c r="D21" i="21"/>
  <c r="C21" i="21"/>
  <c r="B21" i="21"/>
  <c r="D12" i="21"/>
  <c r="C12" i="21"/>
  <c r="B12" i="21"/>
  <c r="D13" i="20"/>
  <c r="D21" i="20"/>
  <c r="C21" i="20"/>
  <c r="B21" i="20"/>
  <c r="C13" i="20"/>
  <c r="B13" i="20"/>
  <c r="D21" i="19"/>
  <c r="C21" i="19"/>
  <c r="B21" i="19"/>
  <c r="D13" i="19"/>
  <c r="C13" i="19"/>
  <c r="B13" i="19"/>
  <c r="D22" i="17"/>
  <c r="C22" i="17"/>
  <c r="B22" i="17"/>
  <c r="D14" i="17"/>
  <c r="C14" i="17"/>
  <c r="B14" i="17"/>
  <c r="D34" i="16"/>
  <c r="C34" i="16"/>
  <c r="B34" i="16"/>
  <c r="D20" i="16"/>
  <c r="C20" i="16"/>
  <c r="B20" i="16"/>
  <c r="D43" i="15"/>
  <c r="C43" i="15"/>
  <c r="B43" i="15"/>
  <c r="D23" i="15"/>
  <c r="C23" i="15"/>
  <c r="B23" i="15"/>
  <c r="D36" i="14"/>
  <c r="C36" i="14"/>
  <c r="B36" i="14"/>
  <c r="D14" i="14"/>
  <c r="C14" i="14"/>
  <c r="B14" i="14"/>
  <c r="D36" i="13"/>
  <c r="C36" i="13"/>
  <c r="B36" i="13"/>
  <c r="D14" i="13"/>
  <c r="C14" i="13"/>
  <c r="B14" i="13"/>
  <c r="B17" i="12"/>
  <c r="D40" i="12"/>
  <c r="C40" i="12"/>
  <c r="B40" i="12"/>
  <c r="D17" i="12"/>
  <c r="C17" i="12"/>
  <c r="D26" i="11"/>
  <c r="C26" i="11"/>
  <c r="B26" i="11"/>
  <c r="D13" i="11"/>
  <c r="C13" i="11"/>
  <c r="B13" i="11"/>
  <c r="D14" i="10"/>
  <c r="C14" i="10"/>
  <c r="B14" i="10"/>
  <c r="D28" i="10"/>
  <c r="C28" i="10"/>
  <c r="B28" i="10"/>
  <c r="D22" i="9"/>
  <c r="C22" i="9"/>
  <c r="B22" i="9"/>
  <c r="D12" i="9"/>
  <c r="C12" i="9"/>
  <c r="B12" i="9"/>
  <c r="D16" i="8"/>
  <c r="D30" i="8"/>
  <c r="C30" i="8"/>
  <c r="B30" i="8"/>
  <c r="C16" i="8"/>
  <c r="B16" i="8"/>
  <c r="C17" i="7"/>
  <c r="B17" i="7"/>
  <c r="D28" i="7"/>
  <c r="C28" i="7"/>
  <c r="B28" i="7"/>
  <c r="D17" i="7"/>
  <c r="D16" i="6"/>
  <c r="C16" i="6"/>
  <c r="B16" i="6"/>
  <c r="D34" i="6"/>
  <c r="C34" i="6"/>
  <c r="B34" i="6"/>
  <c r="C31" i="4"/>
  <c r="D31" i="4"/>
  <c r="D31" i="1"/>
  <c r="C31" i="1"/>
  <c r="B31" i="1"/>
  <c r="B31" i="4"/>
  <c r="D16" i="22" l="1"/>
</calcChain>
</file>

<file path=xl/sharedStrings.xml><?xml version="1.0" encoding="utf-8"?>
<sst xmlns="http://schemas.openxmlformats.org/spreadsheetml/2006/main" count="1159" uniqueCount="149">
  <si>
    <t>Climbing Routes (Denali)</t>
  </si>
  <si>
    <t>West Buttress</t>
  </si>
  <si>
    <t>West Buttress (guided)</t>
  </si>
  <si>
    <t>Muldrow Glacier</t>
  </si>
  <si>
    <t>Cassin Ridge</t>
  </si>
  <si>
    <t>Cassin Ridge (guided)</t>
  </si>
  <si>
    <t>South Face</t>
  </si>
  <si>
    <t>West Rib</t>
  </si>
  <si>
    <t>South Buttress</t>
  </si>
  <si>
    <t>Southeast Face</t>
  </si>
  <si>
    <t>Expeditions</t>
  </si>
  <si>
    <t>Climbers</t>
  </si>
  <si>
    <t>Climbing Routes (Mt. Foraker)</t>
  </si>
  <si>
    <t>Southeast Ridge</t>
  </si>
  <si>
    <t>Northeast Ridge</t>
  </si>
  <si>
    <t>Northeast Ridge (guided)</t>
  </si>
  <si>
    <t>Infinite Spur</t>
  </si>
  <si>
    <t>Climbing Routes (Other)</t>
  </si>
  <si>
    <t>Mount Hunter</t>
  </si>
  <si>
    <t>Mount Huntington</t>
  </si>
  <si>
    <t>Ruth Gorge Peaks</t>
  </si>
  <si>
    <t>Peak 12,380'</t>
  </si>
  <si>
    <t>Moose's Tooth</t>
  </si>
  <si>
    <t>Rooster's Comb</t>
  </si>
  <si>
    <t>Mount Silverthrone</t>
  </si>
  <si>
    <t>Mount Mather</t>
  </si>
  <si>
    <t>Mount Brooks</t>
  </si>
  <si>
    <t>Other Peaks</t>
  </si>
  <si>
    <t>Combined Totals</t>
  </si>
  <si>
    <t>Route</t>
  </si>
  <si>
    <t>Alaska Mountain Guides</t>
  </si>
  <si>
    <t>Rainier Mountaineering, Inc.</t>
  </si>
  <si>
    <t>Mount Foraker</t>
  </si>
  <si>
    <t>Mountain Trip</t>
  </si>
  <si>
    <t>Ruth Gorge</t>
  </si>
  <si>
    <t>Fantasy Ridge</t>
  </si>
  <si>
    <t>Anchorage Community College</t>
  </si>
  <si>
    <t>Guide Service, Non-profit or Educational Group</t>
  </si>
  <si>
    <t>NOLS (National Outdoor Leadership School)</t>
  </si>
  <si>
    <t>Infinite Odyssey</t>
  </si>
  <si>
    <t>Suspected Guided Groups</t>
  </si>
  <si>
    <t>Hans Brunner</t>
  </si>
  <si>
    <t>Claude Rey</t>
  </si>
  <si>
    <t>Eiselin Sports</t>
  </si>
  <si>
    <t>Fortitude Vincimus</t>
  </si>
  <si>
    <t>Traleika 79</t>
  </si>
  <si>
    <t>Pioneer Ridge</t>
  </si>
  <si>
    <t>East Buttress</t>
  </si>
  <si>
    <t xml:space="preserve">Wickersham Wall </t>
  </si>
  <si>
    <t>Southwest Face</t>
  </si>
  <si>
    <t>Traleika Spur</t>
  </si>
  <si>
    <t>Mount Russell</t>
  </si>
  <si>
    <t>Mount Cross</t>
  </si>
  <si>
    <t>Kahiltna Peaks</t>
  </si>
  <si>
    <t>Mount Dan Beard</t>
  </si>
  <si>
    <t>West Rib (guided)</t>
  </si>
  <si>
    <t>Muldrow Glacier (guided)</t>
  </si>
  <si>
    <t>South Buttress (guided)</t>
  </si>
  <si>
    <t>East Face (guided)</t>
  </si>
  <si>
    <t>Wickersham Wall</t>
  </si>
  <si>
    <t>Messner Couloir</t>
  </si>
  <si>
    <t>Mount Foraker (guided)</t>
  </si>
  <si>
    <t>Kahiltna Dome</t>
  </si>
  <si>
    <t>Broken Tooth</t>
  </si>
  <si>
    <t>Kahiltna Glacier Peaks</t>
  </si>
  <si>
    <t>Ruth Glacier Peaks</t>
  </si>
  <si>
    <t>unknown</t>
  </si>
  <si>
    <t>Northwest Buttress (guided)</t>
  </si>
  <si>
    <t>Southeast Face (Isis Face)</t>
  </si>
  <si>
    <t>Reality Ridge</t>
  </si>
  <si>
    <t>Kichatna Spires</t>
  </si>
  <si>
    <t>Little Switzerland</t>
  </si>
  <si>
    <t>West Rib via West Buttress</t>
  </si>
  <si>
    <t>West Rib via West Buttress (guided)</t>
  </si>
  <si>
    <t>Northwest Buttress</t>
  </si>
  <si>
    <t>Southewest Face</t>
  </si>
  <si>
    <t>American Direct</t>
  </si>
  <si>
    <t>Mount Huntington (guided)</t>
  </si>
  <si>
    <t>Mount Crosson</t>
  </si>
  <si>
    <t>Ruth Peaks</t>
  </si>
  <si>
    <t>Moose's Tooth (guided)</t>
  </si>
  <si>
    <t>Mount Dickey</t>
  </si>
  <si>
    <t>Mount Barrille</t>
  </si>
  <si>
    <t>Kitchatna Spires</t>
  </si>
  <si>
    <t>Kahiltna Dome (guided)</t>
  </si>
  <si>
    <t>Mount Bradley</t>
  </si>
  <si>
    <t>Peak 11,300</t>
  </si>
  <si>
    <t>Peak 11,300 (guided)</t>
  </si>
  <si>
    <t>Moose's Tooth (guided</t>
  </si>
  <si>
    <t>West Tripyramid</t>
  </si>
  <si>
    <t>East Kahiltna Peak</t>
  </si>
  <si>
    <t>Mount Brooks (guided)</t>
  </si>
  <si>
    <t>Mount Silverthrone (guided)</t>
  </si>
  <si>
    <t>Mount Ragged</t>
  </si>
  <si>
    <t>Gorge Peaks</t>
  </si>
  <si>
    <t>Mount Barille</t>
  </si>
  <si>
    <t>Peak 11,300'</t>
  </si>
  <si>
    <t>n/a</t>
  </si>
  <si>
    <t xml:space="preserve">West Buttress to Muldrow </t>
  </si>
  <si>
    <t>West Buttress to Muldrow (guided)</t>
  </si>
  <si>
    <t>Muldrow Glacier to West Buttress</t>
  </si>
  <si>
    <t>West Rib from 14,000' West Buttress</t>
  </si>
  <si>
    <t>Southeast Spur</t>
  </si>
  <si>
    <t>Mount Francis</t>
  </si>
  <si>
    <t>Rooster Comb</t>
  </si>
  <si>
    <t>Mount Deception</t>
  </si>
  <si>
    <t>West Rib Cutoff</t>
  </si>
  <si>
    <t>Haston-Scott</t>
  </si>
  <si>
    <t>Northwest Face</t>
  </si>
  <si>
    <t>Middle Triple Peak</t>
  </si>
  <si>
    <t>Muldrow Traverse</t>
  </si>
  <si>
    <t>West Buttress Traverse</t>
  </si>
  <si>
    <t>Other</t>
  </si>
  <si>
    <t>Ridge of No Return</t>
  </si>
  <si>
    <t>Clod Face</t>
  </si>
  <si>
    <t>Muldrow Glacier Traverse</t>
  </si>
  <si>
    <t>North West Buttress</t>
  </si>
  <si>
    <t>West Rib Buttress</t>
  </si>
  <si>
    <t>West Rib Cut Off</t>
  </si>
  <si>
    <t>All routes</t>
  </si>
  <si>
    <t>East Face</t>
  </si>
  <si>
    <t>Orient Express</t>
  </si>
  <si>
    <t>Upper West Rib</t>
  </si>
  <si>
    <t>Czech Direct</t>
  </si>
  <si>
    <t>New Route</t>
  </si>
  <si>
    <t>Denali Diamond</t>
  </si>
  <si>
    <t>Isis Face</t>
  </si>
  <si>
    <t>Milan Krissak Memorial</t>
  </si>
  <si>
    <t>Thunder Ridge</t>
  </si>
  <si>
    <t>Father and Sons Wall</t>
  </si>
  <si>
    <t>North Peak Traverse</t>
  </si>
  <si>
    <t>South Buttress Ramp</t>
  </si>
  <si>
    <t>Summits</t>
  </si>
  <si>
    <t>Summit %</t>
  </si>
  <si>
    <t>Canadian</t>
  </si>
  <si>
    <t>Summits (Climbers)</t>
  </si>
  <si>
    <t>Climbing Routes (Foraker)</t>
  </si>
  <si>
    <t>Archangel Ridge</t>
  </si>
  <si>
    <t>Sultana Ridge</t>
  </si>
  <si>
    <t>Year</t>
  </si>
  <si>
    <t>Success Rate</t>
  </si>
  <si>
    <t>Slovak Direct</t>
  </si>
  <si>
    <t>Totals 1903-Current:</t>
  </si>
  <si>
    <t xml:space="preserve">Minor discrepancies may have occurred as a result of hand-counting, corrections to the database, or other </t>
  </si>
  <si>
    <t>uncontrollable factors. Any variances found were within a 1% margin of error and are not deemed material.</t>
  </si>
  <si>
    <t>Note on these statistics:  Several of these annual totals may differ slightly from numbers reported in past publications.</t>
  </si>
  <si>
    <t>No climbing on Denali or Mount Foraker in 2020 due to COVID-19</t>
  </si>
  <si>
    <t>Due to the 2021 surge of Denali's Muldrow Glacier, no climbs were recorded for</t>
  </si>
  <si>
    <t>either the Muldrow Glacier or Muldrow Traverse this season.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</si>
</sst>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3" xfId="0" applyFont="1" applyFill="1" applyBorder="1"/>
    <xf numFmtId="1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0" borderId="0" xfId="0" applyFont="1"/>
    <xf numFmtId="9" fontId="3" fillId="0" borderId="0" xfId="1" applyFont="1"/>
    <xf numFmtId="0" fontId="4" fillId="0" borderId="0" xfId="0" applyFont="1"/>
    <xf numFmtId="9" fontId="4" fillId="0" borderId="0" xfId="1" applyFont="1"/>
    <xf numFmtId="0" fontId="5" fillId="4" borderId="0" xfId="0" applyFont="1" applyFill="1"/>
    <xf numFmtId="0" fontId="4" fillId="5" borderId="0" xfId="0" applyFont="1" applyFill="1"/>
  </cellXfs>
  <cellStyles count="2">
    <cellStyle name="Normal" xfId="0" builtinId="0"/>
    <cellStyle name="Percent" xfId="1" builtinId="5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00000000}" name="Table279" displayName="Table279" ref="A1:D117" totalsRowShown="0">
  <autoFilter ref="A1:D117" xr:uid="{00000000-0009-0000-0100-00004E000000}"/>
  <tableColumns count="4">
    <tableColumn id="1" xr3:uid="{00000000-0010-0000-0000-000001000000}" name="Year"/>
    <tableColumn id="2" xr3:uid="{00000000-0010-0000-0000-000002000000}" name="Climbers"/>
    <tableColumn id="3" xr3:uid="{00000000-0010-0000-0000-000003000000}" name="Summits"/>
    <tableColumn id="4" xr3:uid="{00000000-0010-0000-0000-000004000000}" name="Success Rate" dataCellStyle="Percent">
      <calculatedColumnFormula>Table279[[#This Row],[Summits]]/Table279[[#This Row],[Climbers]]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le2517" displayName="Table2517" ref="A18:D34" totalsRowShown="0">
  <autoFilter ref="A18:D34" xr:uid="{00000000-0009-0000-0100-000010000000}"/>
  <tableColumns count="4">
    <tableColumn id="1" xr3:uid="{00000000-0010-0000-0900-000001000000}" name="Climbing Routes (Other)"/>
    <tableColumn id="2" xr3:uid="{00000000-0010-0000-0900-000002000000}" name="Expeditions"/>
    <tableColumn id="3" xr3:uid="{00000000-0010-0000-0900-000003000000}" name="Climbers"/>
    <tableColumn id="4" xr3:uid="{00000000-0010-0000-0900-000004000000}" name="Summits (Climbers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A000000}" name="Table21520" displayName="Table21520" ref="A1:D17" totalsRowShown="0">
  <autoFilter ref="A1:D17" xr:uid="{00000000-0009-0000-0100-000013000000}"/>
  <tableColumns count="4">
    <tableColumn id="1" xr3:uid="{00000000-0010-0000-0A00-000001000000}" name="Climbing Routes (Denali)"/>
    <tableColumn id="2" xr3:uid="{00000000-0010-0000-0A00-000002000000}" name="Expeditions"/>
    <tableColumn id="3" xr3:uid="{00000000-0010-0000-0A00-000003000000}" name="Climbers"/>
    <tableColumn id="4" xr3:uid="{00000000-0010-0000-0A00-000004000000}" name="Summits (Climbers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Table251721" displayName="Table251721" ref="A19:D28" totalsRowShown="0">
  <autoFilter ref="A19:D28" xr:uid="{00000000-0009-0000-0100-000014000000}"/>
  <tableColumns count="4">
    <tableColumn id="1" xr3:uid="{00000000-0010-0000-0B00-000001000000}" name="Climbing Routes (Other)"/>
    <tableColumn id="2" xr3:uid="{00000000-0010-0000-0B00-000002000000}" name="Expeditions"/>
    <tableColumn id="3" xr3:uid="{00000000-0010-0000-0B00-000003000000}" name="Climbers"/>
    <tableColumn id="4" xr3:uid="{00000000-0010-0000-0B00-000004000000}" name="Summits (Climbers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C000000}" name="Table2152022" displayName="Table2152022" ref="A1:D16" totalsRowShown="0">
  <autoFilter ref="A1:D16" xr:uid="{00000000-0009-0000-0100-000015000000}"/>
  <tableColumns count="4">
    <tableColumn id="1" xr3:uid="{00000000-0010-0000-0C00-000001000000}" name="Climbing Routes (Denali)"/>
    <tableColumn id="2" xr3:uid="{00000000-0010-0000-0C00-000002000000}" name="Expeditions"/>
    <tableColumn id="3" xr3:uid="{00000000-0010-0000-0C00-000003000000}" name="Climbers"/>
    <tableColumn id="4" xr3:uid="{00000000-0010-0000-0C00-000004000000}" name="Summits (Climbers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D000000}" name="Table25172123" displayName="Table25172123" ref="A18:D30" totalsRowShown="0">
  <autoFilter ref="A18:D30" xr:uid="{00000000-0009-0000-0100-000016000000}"/>
  <tableColumns count="4">
    <tableColumn id="1" xr3:uid="{00000000-0010-0000-0D00-000001000000}" name="Climbing Routes (Other)"/>
    <tableColumn id="2" xr3:uid="{00000000-0010-0000-0D00-000002000000}" name="Expeditions"/>
    <tableColumn id="3" xr3:uid="{00000000-0010-0000-0D00-000003000000}" name="Climbers"/>
    <tableColumn id="4" xr3:uid="{00000000-0010-0000-0D00-000004000000}" name="Summits (Climber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E000000}" name="Table215202224" displayName="Table215202224" ref="A1:D12" totalsRowShown="0">
  <autoFilter ref="A1:D12" xr:uid="{00000000-0009-0000-0100-000017000000}"/>
  <tableColumns count="4">
    <tableColumn id="1" xr3:uid="{00000000-0010-0000-0E00-000001000000}" name="Climbing Routes (Denali)"/>
    <tableColumn id="2" xr3:uid="{00000000-0010-0000-0E00-000002000000}" name="Expeditions"/>
    <tableColumn id="3" xr3:uid="{00000000-0010-0000-0E00-000003000000}" name="Climbers"/>
    <tableColumn id="4" xr3:uid="{00000000-0010-0000-0E00-000004000000}" name="Summits (Climbers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F000000}" name="Table2517212325" displayName="Table2517212325" ref="A14:D22" totalsRowShown="0">
  <autoFilter ref="A14:D22" xr:uid="{00000000-0009-0000-0100-000018000000}"/>
  <tableColumns count="4">
    <tableColumn id="1" xr3:uid="{00000000-0010-0000-0F00-000001000000}" name="Climbing Routes (Other)"/>
    <tableColumn id="2" xr3:uid="{00000000-0010-0000-0F00-000002000000}" name="Expeditions"/>
    <tableColumn id="3" xr3:uid="{00000000-0010-0000-0F00-000003000000}" name="Climbers"/>
    <tableColumn id="4" xr3:uid="{00000000-0010-0000-0F00-000004000000}" name="Summits (Climbers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0000000}" name="Table21520222426" displayName="Table21520222426" ref="A1:D14" totalsRowShown="0">
  <autoFilter ref="A1:D14" xr:uid="{00000000-0009-0000-0100-000019000000}"/>
  <tableColumns count="4">
    <tableColumn id="1" xr3:uid="{00000000-0010-0000-1000-000001000000}" name="Climbing Routes (Denali)"/>
    <tableColumn id="2" xr3:uid="{00000000-0010-0000-1000-000002000000}" name="Expeditions"/>
    <tableColumn id="3" xr3:uid="{00000000-0010-0000-1000-000003000000}" name="Climbers"/>
    <tableColumn id="4" xr3:uid="{00000000-0010-0000-1000-000004000000}" name="Summits (Climbers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1000000}" name="Table251721232527" displayName="Table251721232527" ref="A16:D28" totalsRowShown="0">
  <autoFilter ref="A16:D28" xr:uid="{00000000-0009-0000-0100-00001A000000}"/>
  <tableColumns count="4">
    <tableColumn id="1" xr3:uid="{00000000-0010-0000-1100-000001000000}" name="Climbing Routes (Other)"/>
    <tableColumn id="2" xr3:uid="{00000000-0010-0000-1100-000002000000}" name="Expeditions"/>
    <tableColumn id="3" xr3:uid="{00000000-0010-0000-1100-000003000000}" name="Climbers"/>
    <tableColumn id="4" xr3:uid="{00000000-0010-0000-1100-000004000000}" name="Summits (Climbers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2000000}" name="Table2152022242628" displayName="Table2152022242628" ref="A1:D13" totalsRowShown="0">
  <autoFilter ref="A1:D13" xr:uid="{00000000-0009-0000-0100-00001B000000}"/>
  <tableColumns count="4">
    <tableColumn id="1" xr3:uid="{00000000-0010-0000-1200-000001000000}" name="Climbing Routes (Denali)"/>
    <tableColumn id="2" xr3:uid="{00000000-0010-0000-1200-000002000000}" name="Expeditions"/>
    <tableColumn id="3" xr3:uid="{00000000-0010-0000-1200-000003000000}" name="Climbers"/>
    <tableColumn id="4" xr3:uid="{00000000-0010-0000-1200-000004000000}" name="Summits (Climber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1" totalsRowShown="0">
  <autoFilter ref="A1:D11" xr:uid="{00000000-0009-0000-0100-000002000000}"/>
  <tableColumns count="4">
    <tableColumn id="1" xr3:uid="{00000000-0010-0000-0100-000001000000}" name="Climbing Routes (Denali)"/>
    <tableColumn id="2" xr3:uid="{00000000-0010-0000-0100-000002000000}" name="Expeditions"/>
    <tableColumn id="3" xr3:uid="{00000000-0010-0000-0100-000003000000}" name="Climbers"/>
    <tableColumn id="4" xr3:uid="{00000000-0010-0000-0100-000004000000}" name="Summits (Climbers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3000000}" name="Table25172123252729" displayName="Table25172123252729" ref="A15:D26" totalsRowShown="0">
  <autoFilter ref="A15:D26" xr:uid="{00000000-0009-0000-0100-00001C000000}"/>
  <tableColumns count="4">
    <tableColumn id="1" xr3:uid="{00000000-0010-0000-1300-000001000000}" name="Climbing Routes (Other)"/>
    <tableColumn id="2" xr3:uid="{00000000-0010-0000-1300-000002000000}" name="Expeditions"/>
    <tableColumn id="3" xr3:uid="{00000000-0010-0000-1300-000003000000}" name="Climbers"/>
    <tableColumn id="4" xr3:uid="{00000000-0010-0000-1300-000004000000}" name="Summits (Climbers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4000000}" name="Table215202224262830" displayName="Table215202224262830" ref="A1:D17" totalsRowShown="0">
  <autoFilter ref="A1:D17" xr:uid="{00000000-0009-0000-0100-00001D000000}"/>
  <tableColumns count="4">
    <tableColumn id="1" xr3:uid="{00000000-0010-0000-1400-000001000000}" name="Climbing Routes (Denali)"/>
    <tableColumn id="2" xr3:uid="{00000000-0010-0000-1400-000002000000}" name="Expeditions"/>
    <tableColumn id="3" xr3:uid="{00000000-0010-0000-1400-000003000000}" name="Climbers"/>
    <tableColumn id="4" xr3:uid="{00000000-0010-0000-1400-000004000000}" name="Summits (Climbers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5000000}" name="Table2517212325272931" displayName="Table2517212325272931" ref="A19:D40" totalsRowShown="0">
  <autoFilter ref="A19:D40" xr:uid="{00000000-0009-0000-0100-00001E000000}"/>
  <tableColumns count="4">
    <tableColumn id="1" xr3:uid="{00000000-0010-0000-1500-000001000000}" name="Climbing Routes (Other)"/>
    <tableColumn id="2" xr3:uid="{00000000-0010-0000-1500-000002000000}" name="Expeditions"/>
    <tableColumn id="3" xr3:uid="{00000000-0010-0000-1500-000003000000}" name="Climbers"/>
    <tableColumn id="4" xr3:uid="{00000000-0010-0000-1500-000004000000}" name="Summits (Climbers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6000000}" name="Table21520222426283032" displayName="Table21520222426283032" ref="A1:D14" totalsRowShown="0">
  <autoFilter ref="A1:D14" xr:uid="{00000000-0009-0000-0100-00001F000000}"/>
  <tableColumns count="4">
    <tableColumn id="1" xr3:uid="{00000000-0010-0000-1600-000001000000}" name="Climbing Routes (Denali)"/>
    <tableColumn id="2" xr3:uid="{00000000-0010-0000-1600-000002000000}" name="Expeditions"/>
    <tableColumn id="3" xr3:uid="{00000000-0010-0000-1600-000003000000}" name="Climbers"/>
    <tableColumn id="4" xr3:uid="{00000000-0010-0000-1600-000004000000}" name="Summits (Climbers)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7000000}" name="Table251721232527293133" displayName="Table251721232527293133" ref="A16:D36" totalsRowShown="0">
  <autoFilter ref="A16:D36" xr:uid="{00000000-0009-0000-0100-000020000000}"/>
  <tableColumns count="4">
    <tableColumn id="1" xr3:uid="{00000000-0010-0000-1700-000001000000}" name="Climbing Routes (Other)"/>
    <tableColumn id="2" xr3:uid="{00000000-0010-0000-1700-000002000000}" name="Expeditions"/>
    <tableColumn id="3" xr3:uid="{00000000-0010-0000-1700-000003000000}" name="Climbers"/>
    <tableColumn id="4" xr3:uid="{00000000-0010-0000-1700-000004000000}" name="Summits (Climbers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8000000}" name="Table2152022242628303234" displayName="Table2152022242628303234" ref="A1:D14" totalsRowShown="0">
  <autoFilter ref="A1:D14" xr:uid="{00000000-0009-0000-0100-000021000000}"/>
  <tableColumns count="4">
    <tableColumn id="1" xr3:uid="{00000000-0010-0000-1800-000001000000}" name="Climbing Routes (Denali)"/>
    <tableColumn id="2" xr3:uid="{00000000-0010-0000-1800-000002000000}" name="Expeditions"/>
    <tableColumn id="3" xr3:uid="{00000000-0010-0000-1800-000003000000}" name="Climbers"/>
    <tableColumn id="4" xr3:uid="{00000000-0010-0000-1800-000004000000}" name="Summits (Climbers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9000000}" name="Table25172123252729313335" displayName="Table25172123252729313335" ref="A16:D36" totalsRowShown="0">
  <autoFilter ref="A16:D36" xr:uid="{00000000-0009-0000-0100-000022000000}"/>
  <tableColumns count="4">
    <tableColumn id="1" xr3:uid="{00000000-0010-0000-1900-000001000000}" name="Climbing Routes (Other)"/>
    <tableColumn id="2" xr3:uid="{00000000-0010-0000-1900-000002000000}" name="Expeditions"/>
    <tableColumn id="3" xr3:uid="{00000000-0010-0000-1900-000003000000}" name="Climbers"/>
    <tableColumn id="4" xr3:uid="{00000000-0010-0000-1900-000004000000}" name="Summits (Climbers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A000000}" name="Table215202224262830323436" displayName="Table215202224262830323436" ref="A1:D23" totalsRowShown="0">
  <autoFilter ref="A1:D23" xr:uid="{00000000-0009-0000-0100-000023000000}"/>
  <tableColumns count="4">
    <tableColumn id="1" xr3:uid="{00000000-0010-0000-1A00-000001000000}" name="Climbing Routes (Denali)"/>
    <tableColumn id="2" xr3:uid="{00000000-0010-0000-1A00-000002000000}" name="Expeditions"/>
    <tableColumn id="3" xr3:uid="{00000000-0010-0000-1A00-000003000000}" name="Climbers"/>
    <tableColumn id="4" xr3:uid="{00000000-0010-0000-1A00-000004000000}" name="Summits (Climbers)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B000000}" name="Table2517212325272931333537" displayName="Table2517212325272931333537" ref="A25:D43" totalsRowShown="0">
  <autoFilter ref="A25:D43" xr:uid="{00000000-0009-0000-0100-000024000000}"/>
  <tableColumns count="4">
    <tableColumn id="1" xr3:uid="{00000000-0010-0000-1B00-000001000000}" name="Climbing Routes (Other)"/>
    <tableColumn id="2" xr3:uid="{00000000-0010-0000-1B00-000002000000}" name="Expeditions"/>
    <tableColumn id="3" xr3:uid="{00000000-0010-0000-1B00-000003000000}" name="Climbers"/>
    <tableColumn id="4" xr3:uid="{00000000-0010-0000-1B00-000004000000}" name="Summits (Climbers)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C000000}" name="Table21520222426283032343638" displayName="Table21520222426283032343638" ref="A1:D20" totalsRowShown="0">
  <autoFilter ref="A1:D20" xr:uid="{00000000-0009-0000-0100-000025000000}"/>
  <tableColumns count="4">
    <tableColumn id="1" xr3:uid="{00000000-0010-0000-1C00-000001000000}" name="Climbing Routes (Denali)"/>
    <tableColumn id="2" xr3:uid="{00000000-0010-0000-1C00-000002000000}" name="Expeditions"/>
    <tableColumn id="3" xr3:uid="{00000000-0010-0000-1C00-000003000000}" name="Climbers"/>
    <tableColumn id="4" xr3:uid="{00000000-0010-0000-1C00-000004000000}" name="Summits (Climbe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3:D18" totalsRowShown="0">
  <autoFilter ref="A13:D18" xr:uid="{00000000-0009-0000-0100-000003000000}"/>
  <tableColumns count="4">
    <tableColumn id="1" xr3:uid="{00000000-0010-0000-0200-000001000000}" name="Climbing Routes (Mt. Foraker)"/>
    <tableColumn id="2" xr3:uid="{00000000-0010-0000-0200-000002000000}" name="Expeditions"/>
    <tableColumn id="3" xr3:uid="{00000000-0010-0000-0200-000003000000}" name="Climbers"/>
    <tableColumn id="4" xr3:uid="{00000000-0010-0000-0200-000004000000}" name="Summits (Climbers)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D000000}" name="Table251721232527293133353739" displayName="Table251721232527293133353739" ref="A22:D34" totalsRowShown="0">
  <autoFilter ref="A22:D34" xr:uid="{00000000-0009-0000-0100-000026000000}"/>
  <tableColumns count="4">
    <tableColumn id="1" xr3:uid="{00000000-0010-0000-1D00-000001000000}" name="Climbing Routes (Other)"/>
    <tableColumn id="2" xr3:uid="{00000000-0010-0000-1D00-000002000000}" name="Expeditions"/>
    <tableColumn id="3" xr3:uid="{00000000-0010-0000-1D00-000003000000}" name="Climbers"/>
    <tableColumn id="4" xr3:uid="{00000000-0010-0000-1D00-000004000000}" name="Summits (Climbers)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E000000}" name="Table2152022242628303234363840" displayName="Table2152022242628303234363840" ref="A1:D14" totalsRowShown="0">
  <autoFilter ref="A1:D14" xr:uid="{00000000-0009-0000-0100-000027000000}"/>
  <tableColumns count="4">
    <tableColumn id="1" xr3:uid="{00000000-0010-0000-1E00-000001000000}" name="Climbing Routes (Denali)"/>
    <tableColumn id="2" xr3:uid="{00000000-0010-0000-1E00-000002000000}" name="Expeditions"/>
    <tableColumn id="3" xr3:uid="{00000000-0010-0000-1E00-000003000000}" name="Climbers"/>
    <tableColumn id="4" xr3:uid="{00000000-0010-0000-1E00-000004000000}" name="Summits (Climbers)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F000000}" name="Table25172123252729313335373941" displayName="Table25172123252729313335373941" ref="A16:D22" totalsRowShown="0">
  <autoFilter ref="A16:D22" xr:uid="{00000000-0009-0000-0100-000028000000}"/>
  <tableColumns count="4">
    <tableColumn id="1" xr3:uid="{00000000-0010-0000-1F00-000001000000}" name="Climbing Routes (Other)"/>
    <tableColumn id="2" xr3:uid="{00000000-0010-0000-1F00-000002000000}" name="Expeditions"/>
    <tableColumn id="3" xr3:uid="{00000000-0010-0000-1F00-000003000000}" name="Climbers"/>
    <tableColumn id="4" xr3:uid="{00000000-0010-0000-1F00-000004000000}" name="Summits (Climbers)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0000000}" name="Table215202224262830323436384044" displayName="Table215202224262830323436384044" ref="A1:D13" totalsRowShown="0">
  <autoFilter ref="A1:D13" xr:uid="{00000000-0009-0000-0100-00002B000000}"/>
  <tableColumns count="4">
    <tableColumn id="1" xr3:uid="{00000000-0010-0000-2000-000001000000}" name="Climbing Routes (Denali)"/>
    <tableColumn id="2" xr3:uid="{00000000-0010-0000-2000-000002000000}" name="Expeditions"/>
    <tableColumn id="3" xr3:uid="{00000000-0010-0000-2000-000003000000}" name="Climbers"/>
    <tableColumn id="4" xr3:uid="{00000000-0010-0000-2000-000004000000}" name="Summits (Climbers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1000000}" name="Table2517212325272931333537394145" displayName="Table2517212325272931333537394145" ref="A15:D21" totalsRowShown="0">
  <autoFilter ref="A15:D21" xr:uid="{00000000-0009-0000-0100-00002C000000}"/>
  <tableColumns count="4">
    <tableColumn id="1" xr3:uid="{00000000-0010-0000-2100-000001000000}" name="Climbing Routes (Other)"/>
    <tableColumn id="2" xr3:uid="{00000000-0010-0000-2100-000002000000}" name="Expeditions"/>
    <tableColumn id="3" xr3:uid="{00000000-0010-0000-2100-000003000000}" name="Climbers"/>
    <tableColumn id="4" xr3:uid="{00000000-0010-0000-2100-000004000000}" name="Summits (Climbers)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2000000}" name="Table21520222426283032343638404446" displayName="Table21520222426283032343638404446" ref="A1:D13" totalsRowShown="0">
  <autoFilter ref="A1:D13" xr:uid="{00000000-0009-0000-0100-00002D000000}"/>
  <tableColumns count="4">
    <tableColumn id="1" xr3:uid="{00000000-0010-0000-2200-000001000000}" name="Climbing Routes (Denali)"/>
    <tableColumn id="2" xr3:uid="{00000000-0010-0000-2200-000002000000}" name="Expeditions"/>
    <tableColumn id="3" xr3:uid="{00000000-0010-0000-2200-000003000000}" name="Climbers"/>
    <tableColumn id="4" xr3:uid="{00000000-0010-0000-2200-000004000000}" name="Summits (Climbers)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3000000}" name="Table251721232527293133353739414547" displayName="Table251721232527293133353739414547" ref="A15:D21" totalsRowShown="0">
  <autoFilter ref="A15:D21" xr:uid="{00000000-0009-0000-0100-00002E000000}"/>
  <tableColumns count="4">
    <tableColumn id="1" xr3:uid="{00000000-0010-0000-2300-000001000000}" name="Climbing Routes (Other)"/>
    <tableColumn id="2" xr3:uid="{00000000-0010-0000-2300-000002000000}" name="Expeditions"/>
    <tableColumn id="3" xr3:uid="{00000000-0010-0000-2300-000003000000}" name="Climbers"/>
    <tableColumn id="4" xr3:uid="{00000000-0010-0000-2300-000004000000}" name="Summits (Climbers)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4000000}" name="Table2152022242628303234363840444648" displayName="Table2152022242628303234363840444648" ref="A1:D12" totalsRowShown="0">
  <autoFilter ref="A1:D12" xr:uid="{00000000-0009-0000-0100-00002F000000}"/>
  <tableColumns count="4">
    <tableColumn id="1" xr3:uid="{00000000-0010-0000-2400-000001000000}" name="Climbing Routes (Denali)"/>
    <tableColumn id="2" xr3:uid="{00000000-0010-0000-2400-000002000000}" name="Expeditions"/>
    <tableColumn id="3" xr3:uid="{00000000-0010-0000-2400-000003000000}" name="Climbers"/>
    <tableColumn id="4" xr3:uid="{00000000-0010-0000-2400-000004000000}" name="Summits (Climbers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5000000}" name="Table25172123252729313335373941454749" displayName="Table25172123252729313335373941454749" ref="A14:D21" totalsRowShown="0">
  <autoFilter ref="A14:D21" xr:uid="{00000000-0009-0000-0100-000030000000}"/>
  <tableColumns count="4">
    <tableColumn id="1" xr3:uid="{00000000-0010-0000-2500-000001000000}" name="Climbing Routes (Other)"/>
    <tableColumn id="2" xr3:uid="{00000000-0010-0000-2500-000002000000}" name="Expeditions"/>
    <tableColumn id="3" xr3:uid="{00000000-0010-0000-2500-000003000000}" name="Climbers"/>
    <tableColumn id="4" xr3:uid="{00000000-0010-0000-2500-000004000000}" name="Summits (Climbers)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6000000}" name="Table215202224262830323436384044464850" displayName="Table215202224262830323436384044464850" ref="A1:D16" totalsRowShown="0">
  <autoFilter ref="A1:D16" xr:uid="{00000000-0009-0000-0100-000031000000}"/>
  <tableColumns count="4">
    <tableColumn id="1" xr3:uid="{00000000-0010-0000-2600-000001000000}" name="Climbing Routes (Denali)"/>
    <tableColumn id="2" xr3:uid="{00000000-0010-0000-2600-000002000000}" name="Expeditions"/>
    <tableColumn id="3" xr3:uid="{00000000-0010-0000-2600-000003000000}" name="Climbers"/>
    <tableColumn id="4" xr3:uid="{00000000-0010-0000-2600-000004000000}" name="Summits (Climber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5" displayName="Table25" ref="A20:D31" totalsRowShown="0">
  <autoFilter ref="A20:D31" xr:uid="{00000000-0009-0000-0100-000004000000}"/>
  <tableColumns count="4">
    <tableColumn id="1" xr3:uid="{00000000-0010-0000-0300-000001000000}" name="Climbing Routes (Other)"/>
    <tableColumn id="2" xr3:uid="{00000000-0010-0000-0300-000002000000}" name="Expeditions"/>
    <tableColumn id="3" xr3:uid="{00000000-0010-0000-0300-000003000000}" name="Climbers"/>
    <tableColumn id="4" xr3:uid="{00000000-0010-0000-0300-000004000000}" name="Summits (Climbers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27000000}" name="Table2517212325272931333537394145474951" displayName="Table2517212325272931333537394145474951" ref="A18:D20" totalsRowShown="0">
  <autoFilter ref="A18:D20" xr:uid="{00000000-0009-0000-0100-000032000000}"/>
  <tableColumns count="4">
    <tableColumn id="1" xr3:uid="{00000000-0010-0000-2700-000001000000}" name="Climbing Routes (Other)"/>
    <tableColumn id="2" xr3:uid="{00000000-0010-0000-2700-000002000000}" name="Expeditions"/>
    <tableColumn id="3" xr3:uid="{00000000-0010-0000-2700-000003000000}" name="Climbers"/>
    <tableColumn id="4" xr3:uid="{00000000-0010-0000-2700-000004000000}" name="Summits (Climbers)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28000000}" name="Table215202224262830323436384044464852" displayName="Table215202224262830323436384044464852" ref="A1:D3" totalsRowShown="0">
  <autoFilter ref="A1:D3" xr:uid="{00000000-0009-0000-0100-000033000000}"/>
  <tableColumns count="4">
    <tableColumn id="1" xr3:uid="{00000000-0010-0000-2800-000001000000}" name="Climbing Routes (Denali)"/>
    <tableColumn id="2" xr3:uid="{00000000-0010-0000-2800-000002000000}" name="Expeditions"/>
    <tableColumn id="3" xr3:uid="{00000000-0010-0000-2800-000003000000}" name="Climbers"/>
    <tableColumn id="4" xr3:uid="{00000000-0010-0000-2800-000004000000}" name="Summits (Climbers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29000000}" name="Table2517212325272931333537394145474953" displayName="Table2517212325272931333537394145474953" ref="A5:D7" totalsRowShown="0">
  <autoFilter ref="A5:D7" xr:uid="{00000000-0009-0000-0100-000034000000}"/>
  <tableColumns count="4">
    <tableColumn id="1" xr3:uid="{00000000-0010-0000-2900-000001000000}" name="Climbing Routes (Other)"/>
    <tableColumn id="2" xr3:uid="{00000000-0010-0000-2900-000002000000}" name="Expeditions"/>
    <tableColumn id="3" xr3:uid="{00000000-0010-0000-2900-000003000000}" name="Climbers"/>
    <tableColumn id="4" xr3:uid="{00000000-0010-0000-2900-000004000000}" name="Summits (Climbers)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2A000000}" name="Table215202224262830323436384044464854" displayName="Table215202224262830323436384044464854" ref="A1:C13" totalsRowShown="0">
  <autoFilter ref="A1:C13" xr:uid="{00000000-0009-0000-0100-000035000000}"/>
  <tableColumns count="3">
    <tableColumn id="1" xr3:uid="{00000000-0010-0000-2A00-000001000000}" name="Climbing Routes (Denali)"/>
    <tableColumn id="3" xr3:uid="{00000000-0010-0000-2A00-000003000000}" name="Climbers"/>
    <tableColumn id="4" xr3:uid="{00000000-0010-0000-2A00-000004000000}" name="Summits (Climbers)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2B000000}" name="Table2517212325272931333537394145474955" displayName="Table2517212325272931333537394145474955" ref="A15:C18" totalsRowShown="0">
  <autoFilter ref="A15:C18" xr:uid="{00000000-0009-0000-0100-000036000000}"/>
  <tableColumns count="3">
    <tableColumn id="1" xr3:uid="{00000000-0010-0000-2B00-000001000000}" name="Climbing Routes (Other)"/>
    <tableColumn id="3" xr3:uid="{00000000-0010-0000-2B00-000003000000}" name="Climbers"/>
    <tableColumn id="4" xr3:uid="{00000000-0010-0000-2B00-000004000000}" name="Summits (Climbers)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2C000000}" name="Table215202224262830323436384044464856" displayName="Table215202224262830323436384044464856" ref="A1:D15" totalsRowShown="0">
  <autoFilter ref="A1:D15" xr:uid="{00000000-0009-0000-0100-000037000000}"/>
  <tableColumns count="4">
    <tableColumn id="1" xr3:uid="{00000000-0010-0000-2C00-000001000000}" name="Climbing Routes (Denali)"/>
    <tableColumn id="2" xr3:uid="{00000000-0010-0000-2C00-000002000000}" name="Expeditions"/>
    <tableColumn id="3" xr3:uid="{00000000-0010-0000-2C00-000003000000}" name="Climbers"/>
    <tableColumn id="4" xr3:uid="{00000000-0010-0000-2C00-000004000000}" name="Summits (Climbers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2D000000}" name="Table21520222426283032343638404446485658" displayName="Table21520222426283032343638404446485658" ref="A1:D13" totalsRowShown="0">
  <autoFilter ref="A1:D13" xr:uid="{00000000-0009-0000-0100-000039000000}"/>
  <tableColumns count="4">
    <tableColumn id="1" xr3:uid="{00000000-0010-0000-2D00-000001000000}" name="Climbing Routes (Denali)"/>
    <tableColumn id="2" xr3:uid="{00000000-0010-0000-2D00-000002000000}" name="Expeditions"/>
    <tableColumn id="3" xr3:uid="{00000000-0010-0000-2D00-000003000000}" name="Climbers"/>
    <tableColumn id="4" xr3:uid="{00000000-0010-0000-2D00-000004000000}" name="Summits (Climbers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2E000000}" name="Table21520222426283032343638404446485061" displayName="Table21520222426283032343638404446485061" ref="A1:D15" totalsRowShown="0">
  <autoFilter ref="A1:D15" xr:uid="{00000000-0009-0000-0100-00003C000000}"/>
  <tableColumns count="4">
    <tableColumn id="1" xr3:uid="{00000000-0010-0000-2E00-000001000000}" name="Climbing Routes (Denali)"/>
    <tableColumn id="2" xr3:uid="{00000000-0010-0000-2E00-000002000000}" name="Expeditions"/>
    <tableColumn id="3" xr3:uid="{00000000-0010-0000-2E00-000003000000}" name="Climbers"/>
    <tableColumn id="4" xr3:uid="{00000000-0010-0000-2E00-000004000000}" name="Summits (Climbers)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2F000000}" name="Table251721232527293133353739414547495162" displayName="Table251721232527293133353739414547495162" ref="A17:D19" totalsRowShown="0">
  <autoFilter ref="A17:D19" xr:uid="{00000000-0009-0000-0100-00003D000000}"/>
  <tableColumns count="4">
    <tableColumn id="1" xr3:uid="{00000000-0010-0000-2F00-000001000000}" name="Climbing Routes (Other)"/>
    <tableColumn id="2" xr3:uid="{00000000-0010-0000-2F00-000002000000}" name="Expeditions"/>
    <tableColumn id="3" xr3:uid="{00000000-0010-0000-2F00-000003000000}" name="Climbers"/>
    <tableColumn id="4" xr3:uid="{00000000-0010-0000-2F00-000004000000}" name="Summits (Climbers)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0000000}" name="Table215202224262830323436384044464850616365" displayName="Table215202224262830323436384044464850616365" ref="A1:D15" totalsRowShown="0">
  <autoFilter ref="A1:D15" xr:uid="{00000000-0009-0000-0100-000040000000}"/>
  <tableColumns count="4">
    <tableColumn id="1" xr3:uid="{00000000-0010-0000-3000-000001000000}" name="Climbing Routes (Denali)"/>
    <tableColumn id="2" xr3:uid="{00000000-0010-0000-3000-000002000000}" name="Expeditions"/>
    <tableColumn id="3" xr3:uid="{00000000-0010-0000-3000-000003000000}" name="Climbers"/>
    <tableColumn id="4" xr3:uid="{00000000-0010-0000-3000-000004000000}" name="Summits (Climber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3:E42" totalsRowShown="0">
  <autoFilter ref="A33:E42" xr:uid="{00000000-0009-0000-0100-000005000000}"/>
  <tableColumns count="5">
    <tableColumn id="1" xr3:uid="{00000000-0010-0000-0400-000001000000}" name="Guide Service, Non-profit or Educational Group"/>
    <tableColumn id="2" xr3:uid="{00000000-0010-0000-0400-000002000000}" name="Route"/>
    <tableColumn id="3" xr3:uid="{00000000-0010-0000-0400-000003000000}" name="Expeditions"/>
    <tableColumn id="4" xr3:uid="{00000000-0010-0000-0400-000004000000}" name="Climbers"/>
    <tableColumn id="5" xr3:uid="{00000000-0010-0000-0400-000005000000}" name="Summits (Climbers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1000000}" name="Table2517212325272931333537394145474951626466" displayName="Table2517212325272931333537394145474951626466" ref="A17:D19" totalsRowShown="0">
  <autoFilter ref="A17:D19" xr:uid="{00000000-0009-0000-0100-000041000000}"/>
  <tableColumns count="4">
    <tableColumn id="1" xr3:uid="{00000000-0010-0000-3100-000001000000}" name="Climbing Routes (Other)"/>
    <tableColumn id="2" xr3:uid="{00000000-0010-0000-3100-000002000000}" name="Expeditions"/>
    <tableColumn id="3" xr3:uid="{00000000-0010-0000-3100-000003000000}" name="Climbers"/>
    <tableColumn id="4" xr3:uid="{00000000-0010-0000-3100-000004000000}" name="Summits (Climbers)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32000000}" name="Table21520222426283032343638404446485061636567" displayName="Table21520222426283032343638404446485061636567" ref="A1:D15" totalsRowShown="0">
  <autoFilter ref="A1:D15" xr:uid="{00000000-0009-0000-0100-000042000000}"/>
  <tableColumns count="4">
    <tableColumn id="1" xr3:uid="{00000000-0010-0000-3200-000001000000}" name="Climbing Routes (Denali)"/>
    <tableColumn id="2" xr3:uid="{00000000-0010-0000-3200-000002000000}" name="Expeditions"/>
    <tableColumn id="3" xr3:uid="{00000000-0010-0000-3200-000003000000}" name="Climbers"/>
    <tableColumn id="4" xr3:uid="{00000000-0010-0000-3200-000004000000}" name="Summits (Climbers)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33000000}" name="Table251721232527293133353739414547495162646668" displayName="Table251721232527293133353739414547495162646668" ref="A17:D19" totalsRowShown="0">
  <autoFilter ref="A17:D19" xr:uid="{00000000-0009-0000-0100-000043000000}"/>
  <tableColumns count="4">
    <tableColumn id="1" xr3:uid="{00000000-0010-0000-3300-000001000000}" name="Climbing Routes (Other)"/>
    <tableColumn id="2" xr3:uid="{00000000-0010-0000-3300-000002000000}" name="Expeditions"/>
    <tableColumn id="3" xr3:uid="{00000000-0010-0000-3300-000003000000}" name="Climbers"/>
    <tableColumn id="4" xr3:uid="{00000000-0010-0000-3300-000004000000}" name="Summits (Climbers)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34000000}" name="Table2152022242628303234363840444648506163656769" displayName="Table2152022242628303234363840444648506163656769" ref="A1:D11" totalsRowShown="0">
  <autoFilter ref="A1:D11" xr:uid="{00000000-0009-0000-0100-000044000000}"/>
  <tableColumns count="4">
    <tableColumn id="1" xr3:uid="{00000000-0010-0000-3400-000001000000}" name="Climbing Routes (Denali)"/>
    <tableColumn id="2" xr3:uid="{00000000-0010-0000-3400-000002000000}" name="Expeditions"/>
    <tableColumn id="3" xr3:uid="{00000000-0010-0000-3400-000003000000}" name="Climbers"/>
    <tableColumn id="4" xr3:uid="{00000000-0010-0000-3400-000004000000}" name="Summits (Climbers)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35000000}" name="Table25172123252729313335373941454749516264666870" displayName="Table25172123252729313335373941454749516264666870" ref="A13:D15" totalsRowShown="0">
  <autoFilter ref="A13:D15" xr:uid="{00000000-0009-0000-0100-000045000000}"/>
  <tableColumns count="4">
    <tableColumn id="1" xr3:uid="{00000000-0010-0000-3500-000001000000}" name="Climbing Routes (Other)"/>
    <tableColumn id="2" xr3:uid="{00000000-0010-0000-3500-000002000000}" name="Expeditions"/>
    <tableColumn id="3" xr3:uid="{00000000-0010-0000-3500-000003000000}" name="Climbers"/>
    <tableColumn id="4" xr3:uid="{00000000-0010-0000-3500-000004000000}" name="Summits (Climbers)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36000000}" name="Table215202224262830323436384044464850616365676971" displayName="Table215202224262830323436384044464850616365676971" ref="A1:D14" totalsRowShown="0">
  <autoFilter ref="A1:D14" xr:uid="{00000000-0009-0000-0100-000046000000}"/>
  <tableColumns count="4">
    <tableColumn id="1" xr3:uid="{00000000-0010-0000-3600-000001000000}" name="Climbing Routes (Denali)"/>
    <tableColumn id="2" xr3:uid="{00000000-0010-0000-3600-000002000000}" name="Expeditions"/>
    <tableColumn id="3" xr3:uid="{00000000-0010-0000-3600-000003000000}" name="Climbers"/>
    <tableColumn id="4" xr3:uid="{00000000-0010-0000-3600-000004000000}" name="Summits (Climbers)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37000000}" name="Table2517212325272931333537394145474951626466687072" displayName="Table2517212325272931333537394145474951626466687072" ref="A16:D18" totalsRowShown="0">
  <autoFilter ref="A16:D18" xr:uid="{00000000-0009-0000-0100-000047000000}"/>
  <tableColumns count="4">
    <tableColumn id="1" xr3:uid="{00000000-0010-0000-3700-000001000000}" name="Climbing Routes (Other)"/>
    <tableColumn id="2" xr3:uid="{00000000-0010-0000-3700-000002000000}" name="Expeditions"/>
    <tableColumn id="3" xr3:uid="{00000000-0010-0000-3700-000003000000}" name="Climbers"/>
    <tableColumn id="4" xr3:uid="{00000000-0010-0000-3700-000004000000}" name="Summits (Climbers)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38000000}" name="Table215202224262830323436384044464850616365676973" displayName="Table215202224262830323436384044464850616365676973" ref="A1:D13" totalsRowShown="0">
  <autoFilter ref="A1:D13" xr:uid="{00000000-0009-0000-0100-000048000000}"/>
  <tableColumns count="4">
    <tableColumn id="1" xr3:uid="{00000000-0010-0000-3800-000001000000}" name="Climbing Routes (Denali)"/>
    <tableColumn id="2" xr3:uid="{00000000-0010-0000-3800-000002000000}" name="Expeditions"/>
    <tableColumn id="3" xr3:uid="{00000000-0010-0000-3800-000003000000}" name="Climbers"/>
    <tableColumn id="4" xr3:uid="{00000000-0010-0000-3800-000004000000}" name="Summits (Climbers)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39000000}" name="Table2517212325272931333537394145474951626466687074" displayName="Table2517212325272931333537394145474951626466687074" ref="A15:D17" totalsRowShown="0">
  <autoFilter ref="A15:D17" xr:uid="{00000000-0009-0000-0100-000049000000}"/>
  <tableColumns count="4">
    <tableColumn id="1" xr3:uid="{00000000-0010-0000-3900-000001000000}" name="Climbing Routes (Other)"/>
    <tableColumn id="2" xr3:uid="{00000000-0010-0000-3900-000002000000}" name="Expeditions"/>
    <tableColumn id="3" xr3:uid="{00000000-0010-0000-3900-000003000000}" name="Climbers"/>
    <tableColumn id="4" xr3:uid="{00000000-0010-0000-3900-000004000000}" name="Summits (Climbers)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3A000000}" name="Table21520222426283032343638404446485061636567697321319436375" displayName="Table21520222426283032343638404446485061636567697321319436375" ref="A1:D10" totalsRowShown="0">
  <autoFilter ref="A1:D10" xr:uid="{00000000-0009-0000-0100-00004A000000}"/>
  <tableColumns count="4">
    <tableColumn id="1" xr3:uid="{00000000-0010-0000-3A00-000001000000}" name="Climbing Routes (Denali)"/>
    <tableColumn id="2" xr3:uid="{00000000-0010-0000-3A00-000002000000}" name="Climbers"/>
    <tableColumn id="3" xr3:uid="{00000000-0010-0000-3A00-000003000000}" name="Summits"/>
    <tableColumn id="4" xr3:uid="{00000000-0010-0000-3A00-000004000000}" name="Summit %">
      <calculatedColumnFormula>Table21520222426283032343638404446485061636567697321319436375[[#This Row],[Summits]]/Table21520222426283032343638404446485061636567697321319436375[[#This Row],[Climbers]]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44:E49" totalsRowShown="0" headerRowDxfId="10" dataDxfId="8" headerRowBorderDxfId="9" tableBorderDxfId="7" totalsRowBorderDxfId="6">
  <autoFilter ref="A44:E49" xr:uid="{00000000-0009-0000-0100-000006000000}"/>
  <tableColumns count="5">
    <tableColumn id="1" xr3:uid="{00000000-0010-0000-0500-000001000000}" name="Suspected Guided Groups" dataDxfId="5"/>
    <tableColumn id="2" xr3:uid="{00000000-0010-0000-0500-000002000000}" name="Route" dataDxfId="4"/>
    <tableColumn id="3" xr3:uid="{00000000-0010-0000-0500-000003000000}" name="Expeditions" dataDxfId="3"/>
    <tableColumn id="4" xr3:uid="{00000000-0010-0000-0500-000004000000}" name="Climbers" dataDxfId="2"/>
    <tableColumn id="5" xr3:uid="{00000000-0010-0000-0500-000005000000}" name="Summits (Climbers)" dataDxfId="1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3B000000}" name="Table251721232527293133353739414547495162646668707491442576476" displayName="Table251721232527293133353739414547495162646668707491442576476" ref="A12:D14" totalsRowShown="0">
  <autoFilter ref="A12:D14" xr:uid="{00000000-0009-0000-0100-00004B000000}"/>
  <tableColumns count="4">
    <tableColumn id="1" xr3:uid="{00000000-0010-0000-3B00-000001000000}" name="Climbing Routes (Other)"/>
    <tableColumn id="2" xr3:uid="{00000000-0010-0000-3B00-000002000000}" name="Climbers"/>
    <tableColumn id="3" xr3:uid="{00000000-0010-0000-3B00-000003000000}" name="Summits"/>
    <tableColumn id="4" xr3:uid="{00000000-0010-0000-3B00-000004000000}" name="Summit %">
      <calculatedColumnFormula>Table251721232527293133353739414547495162646668707491442576476[[#This Row],[Summits]]/Table251721232527293133353739414547495162646668707491442576476[[#This Row],[Climbers]]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C000000}" name="Table215202224262830323436384044464850616365676973213194363" displayName="Table215202224262830323436384044464850616365676973213194363" ref="A1:D13" totalsRowShown="0">
  <autoFilter ref="A1:D13" xr:uid="{00000000-0009-0000-0100-00003E000000}"/>
  <tableColumns count="4">
    <tableColumn id="1" xr3:uid="{00000000-0010-0000-3C00-000001000000}" name="Climbing Routes (Denali)"/>
    <tableColumn id="2" xr3:uid="{00000000-0010-0000-3C00-000002000000}" name="Climbers"/>
    <tableColumn id="3" xr3:uid="{00000000-0010-0000-3C00-000003000000}" name="Summits"/>
    <tableColumn id="4" xr3:uid="{00000000-0010-0000-3C00-000004000000}" name="Summit %">
      <calculatedColumnFormula>Table215202224262830323436384044464850616365676973213194363[[#This Row],[Summits]]/Table215202224262830323436384044464850616365676973213194363[[#This Row],[Climbers]]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D000000}" name="Table2517212325272931333537394145474951626466687074914425764" displayName="Table2517212325272931333537394145474951626466687074914425764" ref="A15:D17" totalsRowShown="0">
  <autoFilter ref="A15:D17" xr:uid="{00000000-0009-0000-0100-00003F000000}"/>
  <tableColumns count="4">
    <tableColumn id="1" xr3:uid="{00000000-0010-0000-3D00-000001000000}" name="Climbing Routes (Other)"/>
    <tableColumn id="2" xr3:uid="{00000000-0010-0000-3D00-000002000000}" name="Climbers"/>
    <tableColumn id="3" xr3:uid="{00000000-0010-0000-3D00-000003000000}" name="Summits"/>
    <tableColumn id="4" xr3:uid="{00000000-0010-0000-3D00-000004000000}" name="Summit %">
      <calculatedColumnFormula>Table2517212325272931333537394145474951626466687074914425764[[#This Row],[Summits]]/Table2517212325272931333537394145474951626466687074914425764[[#This Row],[Climbers]]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E000000}" name="Table215202224262830323436384044464850616365676973213194359" displayName="Table215202224262830323436384044464850616365676973213194359" ref="A1:D12" totalsRowShown="0">
  <autoFilter ref="A1:D12" xr:uid="{00000000-0009-0000-0100-00003A000000}"/>
  <tableColumns count="4">
    <tableColumn id="1" xr3:uid="{00000000-0010-0000-3E00-000001000000}" name="Climbing Routes (Denali)"/>
    <tableColumn id="2" xr3:uid="{00000000-0010-0000-3E00-000002000000}" name="Climbers"/>
    <tableColumn id="3" xr3:uid="{00000000-0010-0000-3E00-000003000000}" name="Summits"/>
    <tableColumn id="4" xr3:uid="{00000000-0010-0000-3E00-000004000000}" name="Summit %">
      <calculatedColumnFormula>Table215202224262830323436384044464850616365676973213194359[[#This Row],[Summits]]/Table215202224262830323436384044464850616365676973213194359[[#This Row],[Climbers]]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F000000}" name="Table2517212325272931333537394145474951626466687074914425760" displayName="Table2517212325272931333537394145474951626466687074914425760" ref="A14:D16" totalsRowShown="0">
  <autoFilter ref="A14:D16" xr:uid="{00000000-0009-0000-0100-00003B000000}"/>
  <tableColumns count="4">
    <tableColumn id="1" xr3:uid="{00000000-0010-0000-3F00-000001000000}" name="Climbing Routes (Other)"/>
    <tableColumn id="2" xr3:uid="{00000000-0010-0000-3F00-000002000000}" name="Climbers"/>
    <tableColumn id="3" xr3:uid="{00000000-0010-0000-3F00-000003000000}" name="Summits"/>
    <tableColumn id="4" xr3:uid="{00000000-0010-0000-3F00-000004000000}" name="Summit %">
      <calculatedColumnFormula>Table2517212325272931333537394145474951626466687074914425760[[#This Row],[Summits]]/Table2517212325272931333537394145474951626466687074914425760[[#This Row],[Climbers]]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40000000}" name="Table2152022242628303234363840444648506163656769732131943" displayName="Table2152022242628303234363840444648506163656769732131943" ref="A1:D13" totalsRowShown="0">
  <autoFilter ref="A1:D13" xr:uid="{00000000-0009-0000-0100-00002A000000}"/>
  <tableColumns count="4">
    <tableColumn id="1" xr3:uid="{00000000-0010-0000-4000-000001000000}" name="Climbing Routes (Denali)"/>
    <tableColumn id="2" xr3:uid="{00000000-0010-0000-4000-000002000000}" name="Climbers"/>
    <tableColumn id="3" xr3:uid="{00000000-0010-0000-4000-000003000000}" name="Summits"/>
    <tableColumn id="4" xr3:uid="{00000000-0010-0000-4000-000004000000}" name="Summit %">
      <calculatedColumnFormula>Table2152022242628303234363840444648506163656769732131943[[#This Row],[Summits]]/Table2152022242628303234363840444648506163656769732131943[[#This Row],[Climbers]]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41000000}" name="Table25172123252729313335373941454749516264666870749144257" displayName="Table25172123252729313335373941454749516264666870749144257" ref="A15:D17" totalsRowShown="0">
  <autoFilter ref="A15:D17" xr:uid="{00000000-0009-0000-0100-000038000000}"/>
  <tableColumns count="4">
    <tableColumn id="1" xr3:uid="{00000000-0010-0000-4100-000001000000}" name="Climbing Routes (Other)"/>
    <tableColumn id="2" xr3:uid="{00000000-0010-0000-4100-000002000000}" name="Climbers"/>
    <tableColumn id="3" xr3:uid="{00000000-0010-0000-4100-000003000000}" name="Summits"/>
    <tableColumn id="4" xr3:uid="{00000000-0010-0000-4100-000004000000}" name="Summit %">
      <calculatedColumnFormula>Table25172123252729313335373941454749516264666870749144257[[#This Row],[Summits]]/Table25172123252729313335373941454749516264666870749144257[[#This Row],[Climbers]]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42000000}" name="Table21520222426283032343638404446485061636567697321319" displayName="Table21520222426283032343638404446485061636567697321319" ref="A1:D11" totalsRowShown="0">
  <autoFilter ref="A1:D11" xr:uid="{00000000-0009-0000-0100-000012000000}"/>
  <tableColumns count="4">
    <tableColumn id="1" xr3:uid="{00000000-0010-0000-4200-000001000000}" name="Climbing Routes (Denali)"/>
    <tableColumn id="2" xr3:uid="{00000000-0010-0000-4200-000002000000}" name="Climbers"/>
    <tableColumn id="3" xr3:uid="{00000000-0010-0000-4200-000003000000}" name="Summits"/>
    <tableColumn id="4" xr3:uid="{00000000-0010-0000-4200-000004000000}" name="Summit %">
      <calculatedColumnFormula>Table21520222426283032343638404446485061636567697321319[[#This Row],[Summits]]/Table21520222426283032343638404446485061636567697321319[[#This Row],[Climbers]]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43000000}" name="Table251721232527293133353739414547495162646668707491442" displayName="Table251721232527293133353739414547495162646668707491442" ref="A13:D15" totalsRowShown="0">
  <autoFilter ref="A13:D15" xr:uid="{00000000-0009-0000-0100-000029000000}"/>
  <tableColumns count="4">
    <tableColumn id="1" xr3:uid="{00000000-0010-0000-4300-000001000000}" name="Climbing Routes (Other)"/>
    <tableColumn id="2" xr3:uid="{00000000-0010-0000-4300-000002000000}" name="Climbers"/>
    <tableColumn id="3" xr3:uid="{00000000-0010-0000-4300-000003000000}" name="Summits"/>
    <tableColumn id="4" xr3:uid="{00000000-0010-0000-4300-000004000000}" name="Summit %">
      <calculatedColumnFormula>Table251721232527293133353739414547495162646668707491442[[#This Row],[Summits]]/Table251721232527293133353739414547495162646668707491442[[#This Row],[Climbers]]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44000000}" name="Table215202224262830323436384044464850616365676973213" displayName="Table215202224262830323436384044464850616365676973213" ref="A1:D10" totalsRowShown="0">
  <autoFilter ref="A1:D10" xr:uid="{00000000-0009-0000-0100-00000C000000}"/>
  <tableColumns count="4">
    <tableColumn id="1" xr3:uid="{00000000-0010-0000-4400-000001000000}" name="Climbing Routes (Denali)"/>
    <tableColumn id="2" xr3:uid="{00000000-0010-0000-4400-000002000000}" name="Climbers"/>
    <tableColumn id="3" xr3:uid="{00000000-0010-0000-4400-000003000000}" name="Summits"/>
    <tableColumn id="4" xr3:uid="{00000000-0010-0000-4400-000004000000}" name="Summit %">
      <calculatedColumnFormula>Table215202224262830323436384044464850616365676973213[[#This Row],[Summits]]/Table215202224262830323436384044464850616365676973213[[#This Row],[Climbers]]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8" displayName="Table28" ref="A1:D13" totalsRowShown="0">
  <autoFilter ref="A1:D13" xr:uid="{00000000-0009-0000-0100-000007000000}"/>
  <tableColumns count="4">
    <tableColumn id="1" xr3:uid="{00000000-0010-0000-0600-000001000000}" name="Climbing Routes (Denali)"/>
    <tableColumn id="2" xr3:uid="{00000000-0010-0000-0600-000002000000}" name="Expeditions"/>
    <tableColumn id="3" xr3:uid="{00000000-0010-0000-0600-000003000000}" name="Climbers"/>
    <tableColumn id="4" xr3:uid="{00000000-0010-0000-0600-000004000000}" name="Summits (Climbers)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45000000}" name="Table2517212325272931333537394145474951626466687074914" displayName="Table2517212325272931333537394145474951626466687074914" ref="A12:D14" totalsRowShown="0">
  <autoFilter ref="A12:D14" xr:uid="{00000000-0009-0000-0100-00000D000000}"/>
  <tableColumns count="4">
    <tableColumn id="1" xr3:uid="{00000000-0010-0000-4500-000001000000}" name="Climbing Routes (Other)"/>
    <tableColumn id="2" xr3:uid="{00000000-0010-0000-4500-000002000000}" name="Climbers"/>
    <tableColumn id="3" xr3:uid="{00000000-0010-0000-4500-000003000000}" name="Summits"/>
    <tableColumn id="4" xr3:uid="{00000000-0010-0000-4500-000004000000}" name="Summit %">
      <calculatedColumnFormula>Table2517212325272931333537394145474951626466687074914[[#This Row],[Summits]]/Table2517212325272931333537394145474951626466687074914[[#This Row],[Climbers]]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46000000}" name="Table21520222426283032343638404446485061636567697321316" displayName="Table21520222426283032343638404446485061636567697321316" ref="A1:D10" totalsRowShown="0">
  <autoFilter ref="A1:D10" xr:uid="{00000000-0009-0000-0100-00000F000000}"/>
  <tableColumns count="4">
    <tableColumn id="1" xr3:uid="{00000000-0010-0000-4600-000001000000}" name="Climbing Routes (Denali)"/>
    <tableColumn id="2" xr3:uid="{00000000-0010-0000-4600-000002000000}" name="Climbers"/>
    <tableColumn id="3" xr3:uid="{00000000-0010-0000-4600-000003000000}" name="Summits"/>
    <tableColumn id="4" xr3:uid="{00000000-0010-0000-4600-000004000000}" name="Summit %">
      <calculatedColumnFormula>Table21520222426283032343638404446485061636567697321316[[#This Row],[Summits]]/Table21520222426283032343638404446485061636567697321316[[#This Row],[Climbers]]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47000000}" name="Table251721232527293133353739414547495162646668707491418" displayName="Table251721232527293133353739414547495162646668707491418" ref="A12:D14" totalsRowShown="0">
  <autoFilter ref="A12:D14" xr:uid="{00000000-0009-0000-0100-000011000000}"/>
  <tableColumns count="4">
    <tableColumn id="1" xr3:uid="{00000000-0010-0000-4700-000001000000}" name="Climbing Routes (Other)"/>
    <tableColumn id="2" xr3:uid="{00000000-0010-0000-4700-000002000000}" name="Climbers"/>
    <tableColumn id="3" xr3:uid="{00000000-0010-0000-4700-000003000000}" name="Summits"/>
    <tableColumn id="4" xr3:uid="{00000000-0010-0000-4700-000004000000}" name="Summit %">
      <calculatedColumnFormula>Table251721232527293133353739414547495162646668707491418[[#This Row],[Summits]]/Table251721232527293133353739414547495162646668707491418[[#This Row],[Climbers]]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48000000}" name="Table215202224262830323436384044464850616365676973211" displayName="Table215202224262830323436384044464850616365676973211" ref="A1:D8" totalsRowShown="0">
  <autoFilter ref="A1:D8" xr:uid="{00000000-0009-0000-0100-00000A000000}"/>
  <tableColumns count="4">
    <tableColumn id="1" xr3:uid="{00000000-0010-0000-4800-000001000000}" name="Climbing Routes (Denali)"/>
    <tableColumn id="2" xr3:uid="{00000000-0010-0000-4800-000002000000}" name="Climbers"/>
    <tableColumn id="3" xr3:uid="{00000000-0010-0000-4800-000003000000}" name="Summits"/>
    <tableColumn id="4" xr3:uid="{00000000-0010-0000-4800-000004000000}" name="Summit %">
      <calculatedColumnFormula>Table215202224262830323436384044464850616365676973211[[#This Row],[Summits]]/Table215202224262830323436384044464850616365676973211[[#This Row],[Climbers]]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49000000}" name="Table2517212325272931333537394145474951626466687074912" displayName="Table2517212325272931333537394145474951626466687074912" ref="A10:D12" totalsRowShown="0">
  <autoFilter ref="A10:D12" xr:uid="{00000000-0009-0000-0100-00000B000000}"/>
  <tableColumns count="4">
    <tableColumn id="1" xr3:uid="{00000000-0010-0000-4900-000001000000}" name="Climbing Routes (Other)"/>
    <tableColumn id="2" xr3:uid="{00000000-0010-0000-4900-000002000000}" name="Climbers"/>
    <tableColumn id="3" xr3:uid="{00000000-0010-0000-4900-000003000000}" name="Summits"/>
    <tableColumn id="4" xr3:uid="{00000000-0010-0000-4900-000004000000}" name="Summit %">
      <calculatedColumnFormula>Table2517212325272931333537394145474951626466687074912[[#This Row],[Summits]]/Table2517212325272931333537394145474951626466687074912[[#This Row],[Climbers]]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4A000000}" name="Table2152022242628303234363840444648506163656769732" displayName="Table2152022242628303234363840444648506163656769732" ref="A1:D9" totalsRowShown="0">
  <autoFilter ref="A1:D9" xr:uid="{00000000-0009-0000-0100-000001000000}"/>
  <tableColumns count="4">
    <tableColumn id="1" xr3:uid="{00000000-0010-0000-4A00-000001000000}" name="Climbing Routes (Denali)"/>
    <tableColumn id="2" xr3:uid="{00000000-0010-0000-4A00-000002000000}" name="Climbers"/>
    <tableColumn id="3" xr3:uid="{00000000-0010-0000-4A00-000003000000}" name="Summits"/>
    <tableColumn id="4" xr3:uid="{00000000-0010-0000-4A00-000004000000}" name="Summit %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4B000000}" name="Table25172123252729313335373941454749516264666870749" displayName="Table25172123252729313335373941454749516264666870749" ref="A11:D13" totalsRowShown="0">
  <autoFilter ref="A11:D13" xr:uid="{00000000-0009-0000-0100-000008000000}"/>
  <tableColumns count="4">
    <tableColumn id="1" xr3:uid="{00000000-0010-0000-4B00-000001000000}" name="Climbing Routes (Other)"/>
    <tableColumn id="2" xr3:uid="{00000000-0010-0000-4B00-000002000000}" name="Climbers"/>
    <tableColumn id="3" xr3:uid="{00000000-0010-0000-4B00-000003000000}" name="Summits"/>
    <tableColumn id="4" xr3:uid="{00000000-0010-0000-4B00-000004000000}" name="Summit %">
      <calculatedColumnFormula>Table25172123252729313335373941454749516264666870749[[#This Row],[Summits]]/Table25172123252729313335373941454749516264666870749[[#This Row],[Climbers]]</calculatedColumnFormula>
    </tableColumn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C000000}" name="Table215202224262830323436384044464850616365676973277" displayName="Table215202224262830323436384044464850616365676973277" ref="A1:D11" totalsRowShown="0">
  <autoFilter ref="A1:D11" xr:uid="{00000000-0009-0000-0100-00004C000000}"/>
  <tableColumns count="4">
    <tableColumn id="1" xr3:uid="{00000000-0010-0000-4C00-000001000000}" name="Climbing Routes (Denali)"/>
    <tableColumn id="2" xr3:uid="{00000000-0010-0000-4C00-000002000000}" name="Climbers"/>
    <tableColumn id="3" xr3:uid="{00000000-0010-0000-4C00-000003000000}" name="Summits"/>
    <tableColumn id="4" xr3:uid="{00000000-0010-0000-4C00-000004000000}" name="Summit %">
      <calculatedColumnFormula>Table215202224262830323436384044464850616365676973277[[#This Row],[Summits]]/Table215202224262830323436384044464850616365676973277[[#This Row],[Climbers]]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D000000}" name="Table2517212325272931333537394145474951626466687074978" displayName="Table2517212325272931333537394145474951626466687074978" ref="A13:D17" totalsRowShown="0">
  <autoFilter ref="A13:D17" xr:uid="{00000000-0009-0000-0100-00004D000000}"/>
  <tableColumns count="4">
    <tableColumn id="1" xr3:uid="{00000000-0010-0000-4D00-000001000000}" name="Climbing Routes (Foraker)"/>
    <tableColumn id="2" xr3:uid="{00000000-0010-0000-4D00-000002000000}" name="Climbers"/>
    <tableColumn id="3" xr3:uid="{00000000-0010-0000-4D00-000003000000}" name="Summits"/>
    <tableColumn id="4" xr3:uid="{00000000-0010-0000-4D00-000004000000}" name="Summit %">
      <calculatedColumnFormula>Table2517212325272931333537394145474951626466687074978[[#This Row],[Summits]]/Table2517212325272931333537394145474951626466687074978[[#This Row],[Climbers]]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21520222426283032343638404446485061636567697327780" displayName="Table21520222426283032343638404446485061636567697327780" ref="A1:D8" totalsRowShown="0">
  <autoFilter ref="A1:D8" xr:uid="{00000000-0009-0000-0100-00004F000000}"/>
  <tableColumns count="4">
    <tableColumn id="1" xr3:uid="{00000000-0010-0000-4E00-000001000000}" name="Climbing Routes (Denali)"/>
    <tableColumn id="2" xr3:uid="{00000000-0010-0000-4E00-000002000000}" name="Climbers"/>
    <tableColumn id="3" xr3:uid="{00000000-0010-0000-4E00-000003000000}" name="Summits"/>
    <tableColumn id="4" xr3:uid="{00000000-0010-0000-4E00-000004000000}" name="Summit %">
      <calculatedColumnFormula>Table21520222426283032343638404446485061636567697327780[[#This Row],[Summits]]/Table21520222426283032343638404446485061636567697327780[[#This Row],[Climbers]]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2510" displayName="Table2510" ref="A15:D31" totalsRowShown="0">
  <autoFilter ref="A15:D31" xr:uid="{00000000-0009-0000-0100-000009000000}"/>
  <tableColumns count="4">
    <tableColumn id="1" xr3:uid="{00000000-0010-0000-0700-000001000000}" name="Climbing Routes (Other)"/>
    <tableColumn id="2" xr3:uid="{00000000-0010-0000-0700-000002000000}" name="Expeditions"/>
    <tableColumn id="3" xr3:uid="{00000000-0010-0000-0700-000003000000}" name="Climbers"/>
    <tableColumn id="4" xr3:uid="{00000000-0010-0000-0700-000004000000}" name="Summits (Climbers)" dataDxfId="0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251721232527293133353739414547495162646668707497881" displayName="Table251721232527293133353739414547495162646668707497881" ref="A10:D13" totalsRowShown="0">
  <autoFilter ref="A10:D13" xr:uid="{00000000-0009-0000-0100-000050000000}"/>
  <tableColumns count="4">
    <tableColumn id="1" xr3:uid="{00000000-0010-0000-4F00-000001000000}" name="Climbing Routes (Foraker)"/>
    <tableColumn id="2" xr3:uid="{00000000-0010-0000-4F00-000002000000}" name="Climbers"/>
    <tableColumn id="3" xr3:uid="{00000000-0010-0000-4F00-000003000000}" name="Summits"/>
    <tableColumn id="4" xr3:uid="{00000000-0010-0000-4F00-000004000000}" name="Summit %">
      <calculatedColumnFormula>Table251721232527293133353739414547495162646668707497881[[#This Row],[Summits]]/Table251721232527293133353739414547495162646668707497881[[#This Row],[Climbers]]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2152022242628303234363840444648506163656769732778082" displayName="Table2152022242628303234363840444648506163656769732778082" ref="A1:D10" totalsRowShown="0">
  <autoFilter ref="A1:D10" xr:uid="{00000000-0009-0000-0100-000051000000}"/>
  <tableColumns count="4">
    <tableColumn id="1" xr3:uid="{00000000-0010-0000-5000-000001000000}" name="Climbing Routes (Denali)"/>
    <tableColumn id="2" xr3:uid="{00000000-0010-0000-5000-000002000000}" name="Climbers"/>
    <tableColumn id="3" xr3:uid="{00000000-0010-0000-5000-000003000000}" name="Summits"/>
    <tableColumn id="4" xr3:uid="{00000000-0010-0000-5000-000004000000}" name="Summit %">
      <calculatedColumnFormula>Table2152022242628303234363840444648506163656769732778082[[#This Row],[Summits]]/Table2152022242628303234363840444648506163656769732778082[[#This Row],[Climbers]]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25172123252729313335373941454749516264666870749788183" displayName="Table25172123252729313335373941454749516264666870749788183" ref="A12:D14" totalsRowShown="0">
  <autoFilter ref="A12:D14" xr:uid="{00000000-0009-0000-0100-000052000000}"/>
  <tableColumns count="4">
    <tableColumn id="1" xr3:uid="{00000000-0010-0000-5100-000001000000}" name="Climbing Routes (Foraker)"/>
    <tableColumn id="2" xr3:uid="{00000000-0010-0000-5100-000002000000}" name="Climbers"/>
    <tableColumn id="3" xr3:uid="{00000000-0010-0000-5100-000003000000}" name="Summits"/>
    <tableColumn id="4" xr3:uid="{00000000-0010-0000-5100-000004000000}" name="Summit %">
      <calculatedColumnFormula>Table25172123252729313335373941454749516264666870749788183[[#This Row],[Summits]]/Table25172123252729313335373941454749516264666870749788183[[#This Row],[Climbers]]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2000000}" name="Table215202224262830323436384044464850616365676973277808286" displayName="Table215202224262830323436384044464850616365676973277808286" ref="A1:D9" totalsRowShown="0">
  <autoFilter ref="A1:D9" xr:uid="{00000000-0009-0000-0100-000055000000}"/>
  <tableColumns count="4">
    <tableColumn id="1" xr3:uid="{00000000-0010-0000-5200-000001000000}" name="Climbing Routes (Denali)"/>
    <tableColumn id="2" xr3:uid="{00000000-0010-0000-5200-000002000000}" name="Climbers"/>
    <tableColumn id="3" xr3:uid="{00000000-0010-0000-5200-000003000000}" name="Summits"/>
    <tableColumn id="4" xr3:uid="{00000000-0010-0000-5200-000004000000}" name="Summit %">
      <calculatedColumnFormula>Table215202224262830323436384044464850616365676973277808286[[#This Row],[Summits]]/Table215202224262830323436384044464850616365676973277808286[[#This Row],[Climbers]]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3000000}" name="Table2517212325272931333537394145474951626466687074978818387" displayName="Table2517212325272931333537394145474951626466687074978818387" ref="A11:D16" totalsRowShown="0">
  <autoFilter ref="A11:D16" xr:uid="{00000000-0009-0000-0100-000056000000}"/>
  <tableColumns count="4">
    <tableColumn id="1" xr3:uid="{00000000-0010-0000-5300-000001000000}" name="Climbing Routes (Foraker)"/>
    <tableColumn id="2" xr3:uid="{00000000-0010-0000-5300-000002000000}" name="Climbers"/>
    <tableColumn id="3" xr3:uid="{00000000-0010-0000-5300-000003000000}" name="Summits"/>
    <tableColumn id="4" xr3:uid="{00000000-0010-0000-5300-000004000000}" name="Summit %">
      <calculatedColumnFormula>Table2517212325272931333537394145474951626466687074978818387[[#This Row],[Summits]]/Table2517212325272931333537394145474951626466687074978818387[[#This Row],[Climbers]]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EDE7CAF-8D98-45FE-8985-7350BE0E8F5E}" name="Table21520222426283032343638404446485061636567697327780828684" displayName="Table21520222426283032343638404446485061636567697327780828684" ref="A1:D12" totalsRowShown="0">
  <autoFilter ref="A1:D12" xr:uid="{6CBC5E44-4306-42CA-87D7-682CFC1A1378}"/>
  <tableColumns count="4">
    <tableColumn id="1" xr3:uid="{89C73201-FB36-42FF-9613-270CE329B080}" name="Climbing Routes (Denali)"/>
    <tableColumn id="2" xr3:uid="{A1287019-8838-4FBE-ACC0-E2A334E26016}" name="Climbers"/>
    <tableColumn id="3" xr3:uid="{DCD87150-6E96-4262-A0D7-7618FDBEA8E5}" name="Summits"/>
    <tableColumn id="4" xr3:uid="{721F1C18-7647-4F6F-98B3-4F7224D9F7A5}" name="Summit %">
      <calculatedColumnFormula>Table21520222426283032343638404446485061636567697327780828684[[#This Row],[Summits]]/Table21520222426283032343638404446485061636567697327780828684[[#This Row],[Climbers]]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5581B990-6F14-4236-917E-798C4B626141}" name="Table251721232527293133353739414547495162646668707497881838785" displayName="Table251721232527293133353739414547495162646668707497881838785" ref="A14:D16" totalsRowShown="0">
  <autoFilter ref="A14:D16" xr:uid="{2DC57B08-B522-4A1E-BFAE-0A934D848E76}"/>
  <tableColumns count="4">
    <tableColumn id="1" xr3:uid="{A05152E5-13C7-4E59-924A-A958F947819D}" name="Climbing Routes (Foraker)"/>
    <tableColumn id="2" xr3:uid="{3EFB9E7E-4E44-40C4-990F-EB2FE46F4A91}" name="Climbers"/>
    <tableColumn id="3" xr3:uid="{8F680288-303B-4009-BB03-7D157BA16D08}" name="Summits"/>
    <tableColumn id="4" xr3:uid="{35D92AC1-CA63-42EB-8197-0D2E6AE279CA}" name="Summit %">
      <calculatedColumnFormula>Table251721232527293133353739414547495162646668707497881838785[[#This Row],[Summits]]/Table251721232527293133353739414547495162646668707497881838785[[#This Row],[Climbers]]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215" displayName="Table215" ref="A1:D16" totalsRowShown="0">
  <autoFilter ref="A1:D16" xr:uid="{00000000-0009-0000-0100-00000E000000}"/>
  <tableColumns count="4">
    <tableColumn id="1" xr3:uid="{00000000-0010-0000-0800-000001000000}" name="Climbing Routes (Denali)"/>
    <tableColumn id="2" xr3:uid="{00000000-0010-0000-0800-000002000000}" name="Expeditions"/>
    <tableColumn id="3" xr3:uid="{00000000-0010-0000-0800-000003000000}" name="Climbers"/>
    <tableColumn id="4" xr3:uid="{00000000-0010-0000-0800-000004000000}" name="Summits (Climber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8.xml"/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8.xml"/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0.xml"/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2.xml"/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6.xml"/><Relationship Id="rId2" Type="http://schemas.openxmlformats.org/officeDocument/2006/relationships/table" Target="../tables/table7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table" Target="../tables/table7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table" Target="../tables/table8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4.xml"/><Relationship Id="rId2" Type="http://schemas.openxmlformats.org/officeDocument/2006/relationships/table" Target="../tables/table83.xml"/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opLeftCell="B1" workbookViewId="0">
      <selection activeCell="F114" sqref="F114"/>
    </sheetView>
  </sheetViews>
  <sheetFormatPr defaultRowHeight="15" x14ac:dyDescent="0.25"/>
  <cols>
    <col min="1" max="1" width="19.42578125" customWidth="1"/>
    <col min="2" max="2" width="19" customWidth="1"/>
    <col min="3" max="3" width="20.42578125" customWidth="1"/>
    <col min="4" max="4" width="19.28515625" style="7" customWidth="1"/>
  </cols>
  <sheetData>
    <row r="1" spans="1:4" x14ac:dyDescent="0.25">
      <c r="A1" t="s">
        <v>139</v>
      </c>
      <c r="B1" t="s">
        <v>11</v>
      </c>
      <c r="C1" t="s">
        <v>132</v>
      </c>
      <c r="D1" s="7" t="s">
        <v>140</v>
      </c>
    </row>
    <row r="2" spans="1:4" x14ac:dyDescent="0.25">
      <c r="A2">
        <v>1903</v>
      </c>
      <c r="B2">
        <v>8</v>
      </c>
      <c r="C2">
        <v>0</v>
      </c>
      <c r="D2" s="7">
        <f>Table279[[#This Row],[Summits]]/Table279[[#This Row],[Climbers]]</f>
        <v>0</v>
      </c>
    </row>
    <row r="3" spans="1:4" x14ac:dyDescent="0.25">
      <c r="A3">
        <v>1904</v>
      </c>
      <c r="B3">
        <v>0</v>
      </c>
      <c r="C3">
        <v>0</v>
      </c>
      <c r="D3" s="7">
        <v>0</v>
      </c>
    </row>
    <row r="4" spans="1:4" x14ac:dyDescent="0.25">
      <c r="A4">
        <v>1905</v>
      </c>
      <c r="B4">
        <v>0</v>
      </c>
      <c r="C4">
        <v>0</v>
      </c>
      <c r="D4" s="7">
        <v>0</v>
      </c>
    </row>
    <row r="5" spans="1:4" x14ac:dyDescent="0.25">
      <c r="A5">
        <v>1906</v>
      </c>
      <c r="B5">
        <v>0</v>
      </c>
      <c r="C5">
        <v>0</v>
      </c>
      <c r="D5" s="7">
        <v>0</v>
      </c>
    </row>
    <row r="6" spans="1:4" x14ac:dyDescent="0.25">
      <c r="A6">
        <v>1907</v>
      </c>
      <c r="B6">
        <v>0</v>
      </c>
      <c r="C6">
        <v>0</v>
      </c>
      <c r="D6" s="7">
        <v>0</v>
      </c>
    </row>
    <row r="7" spans="1:4" x14ac:dyDescent="0.25">
      <c r="A7">
        <v>1908</v>
      </c>
      <c r="B7">
        <v>0</v>
      </c>
      <c r="C7">
        <v>0</v>
      </c>
      <c r="D7" s="7">
        <v>0</v>
      </c>
    </row>
    <row r="8" spans="1:4" x14ac:dyDescent="0.25">
      <c r="A8">
        <v>1909</v>
      </c>
      <c r="B8">
        <v>0</v>
      </c>
      <c r="C8">
        <v>0</v>
      </c>
      <c r="D8" s="7">
        <v>0</v>
      </c>
    </row>
    <row r="9" spans="1:4" x14ac:dyDescent="0.25">
      <c r="A9">
        <v>1910</v>
      </c>
      <c r="B9">
        <v>15</v>
      </c>
      <c r="C9">
        <v>0</v>
      </c>
      <c r="D9" s="7">
        <f>Table279[[#This Row],[Summits]]/Table279[[#This Row],[Climbers]]</f>
        <v>0</v>
      </c>
    </row>
    <row r="10" spans="1:4" x14ac:dyDescent="0.25">
      <c r="A10">
        <v>1911</v>
      </c>
      <c r="B10">
        <v>0</v>
      </c>
      <c r="C10">
        <v>0</v>
      </c>
      <c r="D10" s="7">
        <v>0</v>
      </c>
    </row>
    <row r="11" spans="1:4" x14ac:dyDescent="0.25">
      <c r="A11">
        <v>1912</v>
      </c>
      <c r="B11">
        <v>7</v>
      </c>
      <c r="C11">
        <v>0</v>
      </c>
      <c r="D11" s="7">
        <f>Table279[[#This Row],[Summits]]/Table279[[#This Row],[Climbers]]</f>
        <v>0</v>
      </c>
    </row>
    <row r="12" spans="1:4" x14ac:dyDescent="0.25">
      <c r="A12">
        <v>1913</v>
      </c>
      <c r="B12">
        <v>4</v>
      </c>
      <c r="C12">
        <v>4</v>
      </c>
      <c r="D12" s="7">
        <f>Table279[[#This Row],[Summits]]/Table279[[#This Row],[Climbers]]</f>
        <v>1</v>
      </c>
    </row>
    <row r="13" spans="1:4" x14ac:dyDescent="0.25">
      <c r="A13">
        <v>1914</v>
      </c>
      <c r="B13">
        <v>0</v>
      </c>
      <c r="C13">
        <v>0</v>
      </c>
      <c r="D13" s="7">
        <v>0</v>
      </c>
    </row>
    <row r="14" spans="1:4" x14ac:dyDescent="0.25">
      <c r="A14">
        <v>1915</v>
      </c>
      <c r="B14">
        <v>0</v>
      </c>
      <c r="C14">
        <v>0</v>
      </c>
      <c r="D14" s="7">
        <v>0</v>
      </c>
    </row>
    <row r="15" spans="1:4" x14ac:dyDescent="0.25">
      <c r="A15">
        <v>1916</v>
      </c>
      <c r="B15">
        <v>0</v>
      </c>
      <c r="C15">
        <v>0</v>
      </c>
      <c r="D15" s="7">
        <v>0</v>
      </c>
    </row>
    <row r="16" spans="1:4" x14ac:dyDescent="0.25">
      <c r="A16">
        <v>1917</v>
      </c>
      <c r="B16">
        <v>0</v>
      </c>
      <c r="C16">
        <v>0</v>
      </c>
      <c r="D16" s="7">
        <v>0</v>
      </c>
    </row>
    <row r="17" spans="1:4" x14ac:dyDescent="0.25">
      <c r="A17">
        <v>1918</v>
      </c>
      <c r="B17">
        <v>0</v>
      </c>
      <c r="C17">
        <v>0</v>
      </c>
      <c r="D17" s="7">
        <v>0</v>
      </c>
    </row>
    <row r="18" spans="1:4" x14ac:dyDescent="0.25">
      <c r="A18">
        <v>1919</v>
      </c>
      <c r="B18">
        <v>0</v>
      </c>
      <c r="C18">
        <v>0</v>
      </c>
      <c r="D18" s="7">
        <v>0</v>
      </c>
    </row>
    <row r="19" spans="1:4" x14ac:dyDescent="0.25">
      <c r="A19">
        <v>1920</v>
      </c>
      <c r="B19">
        <v>0</v>
      </c>
      <c r="C19">
        <v>0</v>
      </c>
      <c r="D19" s="7">
        <v>0</v>
      </c>
    </row>
    <row r="20" spans="1:4" x14ac:dyDescent="0.25">
      <c r="A20">
        <v>1921</v>
      </c>
      <c r="B20">
        <v>0</v>
      </c>
      <c r="C20">
        <v>0</v>
      </c>
      <c r="D20" s="7">
        <v>0</v>
      </c>
    </row>
    <row r="21" spans="1:4" x14ac:dyDescent="0.25">
      <c r="A21">
        <v>1922</v>
      </c>
      <c r="B21">
        <v>0</v>
      </c>
      <c r="C21">
        <v>0</v>
      </c>
      <c r="D21" s="7">
        <v>0</v>
      </c>
    </row>
    <row r="22" spans="1:4" x14ac:dyDescent="0.25">
      <c r="A22">
        <v>1923</v>
      </c>
      <c r="B22">
        <v>0</v>
      </c>
      <c r="C22">
        <v>0</v>
      </c>
      <c r="D22" s="7">
        <v>0</v>
      </c>
    </row>
    <row r="23" spans="1:4" x14ac:dyDescent="0.25">
      <c r="A23">
        <v>1924</v>
      </c>
      <c r="B23">
        <v>0</v>
      </c>
      <c r="C23">
        <v>0</v>
      </c>
      <c r="D23" s="7">
        <v>0</v>
      </c>
    </row>
    <row r="24" spans="1:4" x14ac:dyDescent="0.25">
      <c r="A24">
        <v>1925</v>
      </c>
      <c r="B24">
        <v>0</v>
      </c>
      <c r="C24">
        <v>0</v>
      </c>
      <c r="D24" s="7">
        <v>0</v>
      </c>
    </row>
    <row r="25" spans="1:4" x14ac:dyDescent="0.25">
      <c r="A25">
        <v>1926</v>
      </c>
      <c r="B25">
        <v>0</v>
      </c>
      <c r="C25">
        <v>0</v>
      </c>
      <c r="D25" s="7">
        <v>0</v>
      </c>
    </row>
    <row r="26" spans="1:4" x14ac:dyDescent="0.25">
      <c r="A26">
        <v>1927</v>
      </c>
      <c r="B26">
        <v>0</v>
      </c>
      <c r="C26">
        <v>0</v>
      </c>
      <c r="D26" s="7">
        <v>0</v>
      </c>
    </row>
    <row r="27" spans="1:4" x14ac:dyDescent="0.25">
      <c r="A27">
        <v>1928</v>
      </c>
      <c r="B27">
        <v>0</v>
      </c>
      <c r="C27">
        <v>0</v>
      </c>
      <c r="D27" s="7">
        <v>0</v>
      </c>
    </row>
    <row r="28" spans="1:4" x14ac:dyDescent="0.25">
      <c r="A28">
        <v>1929</v>
      </c>
      <c r="B28">
        <v>0</v>
      </c>
      <c r="C28">
        <v>0</v>
      </c>
      <c r="D28" s="7">
        <v>0</v>
      </c>
    </row>
    <row r="29" spans="1:4" x14ac:dyDescent="0.25">
      <c r="A29">
        <v>1930</v>
      </c>
      <c r="B29">
        <v>0</v>
      </c>
      <c r="C29">
        <v>0</v>
      </c>
      <c r="D29" s="7">
        <v>0</v>
      </c>
    </row>
    <row r="30" spans="1:4" x14ac:dyDescent="0.25">
      <c r="A30">
        <v>1931</v>
      </c>
      <c r="B30">
        <v>0</v>
      </c>
      <c r="C30">
        <v>0</v>
      </c>
      <c r="D30" s="7">
        <v>0</v>
      </c>
    </row>
    <row r="31" spans="1:4" x14ac:dyDescent="0.25">
      <c r="A31">
        <v>1932</v>
      </c>
      <c r="B31">
        <v>9</v>
      </c>
      <c r="C31">
        <v>4</v>
      </c>
      <c r="D31" s="7">
        <f>Table279[[#This Row],[Summits]]/Table279[[#This Row],[Climbers]]</f>
        <v>0.44444444444444442</v>
      </c>
    </row>
    <row r="32" spans="1:4" x14ac:dyDescent="0.25">
      <c r="A32">
        <v>1933</v>
      </c>
      <c r="B32">
        <v>0</v>
      </c>
      <c r="C32">
        <v>0</v>
      </c>
      <c r="D32" s="7">
        <v>0</v>
      </c>
    </row>
    <row r="33" spans="1:4" x14ac:dyDescent="0.25">
      <c r="A33">
        <v>1934</v>
      </c>
      <c r="B33">
        <v>0</v>
      </c>
      <c r="C33">
        <v>0</v>
      </c>
      <c r="D33" s="7">
        <v>0</v>
      </c>
    </row>
    <row r="34" spans="1:4" x14ac:dyDescent="0.25">
      <c r="A34">
        <v>1935</v>
      </c>
      <c r="B34">
        <v>0</v>
      </c>
      <c r="C34">
        <v>0</v>
      </c>
      <c r="D34" s="7">
        <v>0</v>
      </c>
    </row>
    <row r="35" spans="1:4" x14ac:dyDescent="0.25">
      <c r="A35">
        <v>1936</v>
      </c>
      <c r="B35">
        <v>0</v>
      </c>
      <c r="C35">
        <v>0</v>
      </c>
      <c r="D35" s="7">
        <v>0</v>
      </c>
    </row>
    <row r="36" spans="1:4" x14ac:dyDescent="0.25">
      <c r="A36">
        <v>1937</v>
      </c>
      <c r="B36">
        <v>0</v>
      </c>
      <c r="C36">
        <v>0</v>
      </c>
      <c r="D36" s="7">
        <v>0</v>
      </c>
    </row>
    <row r="37" spans="1:4" x14ac:dyDescent="0.25">
      <c r="A37">
        <v>1938</v>
      </c>
      <c r="B37">
        <v>0</v>
      </c>
      <c r="C37">
        <v>0</v>
      </c>
      <c r="D37" s="7">
        <v>0</v>
      </c>
    </row>
    <row r="38" spans="1:4" x14ac:dyDescent="0.25">
      <c r="A38">
        <v>1939</v>
      </c>
      <c r="B38">
        <v>0</v>
      </c>
      <c r="C38">
        <v>0</v>
      </c>
      <c r="D38" s="7">
        <v>0</v>
      </c>
    </row>
    <row r="39" spans="1:4" x14ac:dyDescent="0.25">
      <c r="A39">
        <v>1940</v>
      </c>
      <c r="B39">
        <v>0</v>
      </c>
      <c r="C39">
        <v>0</v>
      </c>
      <c r="D39" s="7">
        <v>0</v>
      </c>
    </row>
    <row r="40" spans="1:4" x14ac:dyDescent="0.25">
      <c r="A40">
        <v>1941</v>
      </c>
      <c r="B40">
        <v>0</v>
      </c>
      <c r="C40">
        <v>0</v>
      </c>
      <c r="D40" s="7">
        <v>0</v>
      </c>
    </row>
    <row r="41" spans="1:4" x14ac:dyDescent="0.25">
      <c r="A41">
        <v>1942</v>
      </c>
      <c r="B41">
        <v>8</v>
      </c>
      <c r="C41">
        <v>7</v>
      </c>
      <c r="D41" s="7">
        <f>Table279[[#This Row],[Summits]]/Table279[[#This Row],[Climbers]]</f>
        <v>0.875</v>
      </c>
    </row>
    <row r="42" spans="1:4" x14ac:dyDescent="0.25">
      <c r="A42">
        <v>1943</v>
      </c>
      <c r="B42">
        <v>0</v>
      </c>
      <c r="C42">
        <v>0</v>
      </c>
      <c r="D42" s="7">
        <v>0</v>
      </c>
    </row>
    <row r="43" spans="1:4" x14ac:dyDescent="0.25">
      <c r="A43">
        <v>1944</v>
      </c>
      <c r="B43">
        <v>0</v>
      </c>
      <c r="C43">
        <v>0</v>
      </c>
      <c r="D43" s="7">
        <v>0</v>
      </c>
    </row>
    <row r="44" spans="1:4" x14ac:dyDescent="0.25">
      <c r="A44">
        <v>1945</v>
      </c>
      <c r="B44">
        <v>0</v>
      </c>
      <c r="C44">
        <v>0</v>
      </c>
      <c r="D44" s="7">
        <v>0</v>
      </c>
    </row>
    <row r="45" spans="1:4" x14ac:dyDescent="0.25">
      <c r="A45">
        <v>1946</v>
      </c>
      <c r="B45">
        <v>0</v>
      </c>
      <c r="C45">
        <v>0</v>
      </c>
      <c r="D45" s="7">
        <v>0</v>
      </c>
    </row>
    <row r="46" spans="1:4" x14ac:dyDescent="0.25">
      <c r="A46">
        <v>1947</v>
      </c>
      <c r="B46">
        <v>14</v>
      </c>
      <c r="C46">
        <v>10</v>
      </c>
      <c r="D46" s="7">
        <f>Table279[[#This Row],[Summits]]/Table279[[#This Row],[Climbers]]</f>
        <v>0.7142857142857143</v>
      </c>
    </row>
    <row r="47" spans="1:4" x14ac:dyDescent="0.25">
      <c r="A47">
        <v>1948</v>
      </c>
      <c r="B47">
        <v>3</v>
      </c>
      <c r="C47">
        <v>3</v>
      </c>
      <c r="D47" s="7">
        <f>Table279[[#This Row],[Summits]]/Table279[[#This Row],[Climbers]]</f>
        <v>1</v>
      </c>
    </row>
    <row r="48" spans="1:4" x14ac:dyDescent="0.25">
      <c r="A48">
        <v>1949</v>
      </c>
      <c r="B48">
        <v>0</v>
      </c>
      <c r="C48">
        <v>0</v>
      </c>
      <c r="D48" s="7">
        <v>0</v>
      </c>
    </row>
    <row r="49" spans="1:4" x14ac:dyDescent="0.25">
      <c r="A49">
        <v>1950</v>
      </c>
      <c r="B49">
        <v>0</v>
      </c>
      <c r="C49">
        <v>0</v>
      </c>
      <c r="D49" s="7">
        <v>0</v>
      </c>
    </row>
    <row r="50" spans="1:4" x14ac:dyDescent="0.25">
      <c r="A50">
        <v>1951</v>
      </c>
      <c r="B50">
        <v>8</v>
      </c>
      <c r="C50">
        <v>8</v>
      </c>
      <c r="D50" s="7">
        <f>Table279[[#This Row],[Summits]]/Table279[[#This Row],[Climbers]]</f>
        <v>1</v>
      </c>
    </row>
    <row r="51" spans="1:4" x14ac:dyDescent="0.25">
      <c r="A51">
        <v>1952</v>
      </c>
      <c r="B51">
        <v>29</v>
      </c>
      <c r="C51">
        <v>10</v>
      </c>
      <c r="D51" s="7">
        <f>Table279[[#This Row],[Summits]]/Table279[[#This Row],[Climbers]]</f>
        <v>0.34482758620689657</v>
      </c>
    </row>
    <row r="52" spans="1:4" x14ac:dyDescent="0.25">
      <c r="A52">
        <v>1953</v>
      </c>
      <c r="B52">
        <v>9</v>
      </c>
      <c r="C52">
        <v>3</v>
      </c>
      <c r="D52" s="7">
        <f>Table279[[#This Row],[Summits]]/Table279[[#This Row],[Climbers]]</f>
        <v>0.33333333333333331</v>
      </c>
    </row>
    <row r="53" spans="1:4" x14ac:dyDescent="0.25">
      <c r="A53">
        <v>1954</v>
      </c>
      <c r="B53">
        <v>13</v>
      </c>
      <c r="C53">
        <v>13</v>
      </c>
      <c r="D53" s="7">
        <f>Table279[[#This Row],[Summits]]/Table279[[#This Row],[Climbers]]</f>
        <v>1</v>
      </c>
    </row>
    <row r="54" spans="1:4" x14ac:dyDescent="0.25">
      <c r="A54">
        <v>1955</v>
      </c>
      <c r="B54">
        <v>4</v>
      </c>
      <c r="C54">
        <v>0</v>
      </c>
      <c r="D54" s="7">
        <f>Table279[[#This Row],[Summits]]/Table279[[#This Row],[Climbers]]</f>
        <v>0</v>
      </c>
    </row>
    <row r="55" spans="1:4" x14ac:dyDescent="0.25">
      <c r="A55">
        <v>1956</v>
      </c>
      <c r="B55">
        <v>18</v>
      </c>
      <c r="C55">
        <v>0</v>
      </c>
      <c r="D55" s="7">
        <f>Table279[[#This Row],[Summits]]/Table279[[#This Row],[Climbers]]</f>
        <v>0</v>
      </c>
    </row>
    <row r="56" spans="1:4" x14ac:dyDescent="0.25">
      <c r="A56">
        <v>1957</v>
      </c>
      <c r="B56">
        <v>8</v>
      </c>
      <c r="C56">
        <v>0</v>
      </c>
      <c r="D56" s="7">
        <f>Table279[[#This Row],[Summits]]/Table279[[#This Row],[Climbers]]</f>
        <v>0</v>
      </c>
    </row>
    <row r="57" spans="1:4" x14ac:dyDescent="0.25">
      <c r="A57">
        <v>1958</v>
      </c>
      <c r="B57">
        <v>12</v>
      </c>
      <c r="C57">
        <v>10</v>
      </c>
      <c r="D57" s="7">
        <f>Table279[[#This Row],[Summits]]/Table279[[#This Row],[Climbers]]</f>
        <v>0.83333333333333337</v>
      </c>
    </row>
    <row r="58" spans="1:4" x14ac:dyDescent="0.25">
      <c r="A58">
        <v>1959</v>
      </c>
      <c r="B58">
        <v>8</v>
      </c>
      <c r="C58">
        <v>4</v>
      </c>
      <c r="D58" s="7">
        <f>Table279[[#This Row],[Summits]]/Table279[[#This Row],[Climbers]]</f>
        <v>0.5</v>
      </c>
    </row>
    <row r="59" spans="1:4" x14ac:dyDescent="0.25">
      <c r="A59">
        <v>1960</v>
      </c>
      <c r="B59">
        <v>24</v>
      </c>
      <c r="C59">
        <v>23</v>
      </c>
      <c r="D59" s="7">
        <f>Table279[[#This Row],[Summits]]/Table279[[#This Row],[Climbers]]</f>
        <v>0.95833333333333337</v>
      </c>
    </row>
    <row r="60" spans="1:4" x14ac:dyDescent="0.25">
      <c r="A60">
        <v>1961</v>
      </c>
      <c r="B60">
        <v>31</v>
      </c>
      <c r="C60">
        <v>22</v>
      </c>
      <c r="D60" s="7">
        <f>Table279[[#This Row],[Summits]]/Table279[[#This Row],[Climbers]]</f>
        <v>0.70967741935483875</v>
      </c>
    </row>
    <row r="61" spans="1:4" x14ac:dyDescent="0.25">
      <c r="A61">
        <v>1962</v>
      </c>
      <c r="B61">
        <v>40</v>
      </c>
      <c r="C61">
        <v>25</v>
      </c>
      <c r="D61" s="7">
        <f>Table279[[#This Row],[Summits]]/Table279[[#This Row],[Climbers]]</f>
        <v>0.625</v>
      </c>
    </row>
    <row r="62" spans="1:4" x14ac:dyDescent="0.25">
      <c r="A62">
        <v>1963</v>
      </c>
      <c r="B62">
        <v>50</v>
      </c>
      <c r="C62">
        <v>29</v>
      </c>
      <c r="D62" s="7">
        <f>Table279[[#This Row],[Summits]]/Table279[[#This Row],[Climbers]]</f>
        <v>0.57999999999999996</v>
      </c>
    </row>
    <row r="63" spans="1:4" x14ac:dyDescent="0.25">
      <c r="A63">
        <v>1964</v>
      </c>
      <c r="B63">
        <v>37</v>
      </c>
      <c r="C63">
        <v>25</v>
      </c>
      <c r="D63" s="7">
        <f>Table279[[#This Row],[Summits]]/Table279[[#This Row],[Climbers]]</f>
        <v>0.67567567567567566</v>
      </c>
    </row>
    <row r="64" spans="1:4" x14ac:dyDescent="0.25">
      <c r="A64">
        <v>1965</v>
      </c>
      <c r="B64">
        <v>31</v>
      </c>
      <c r="C64">
        <v>3</v>
      </c>
      <c r="D64" s="7">
        <f>Table279[[#This Row],[Summits]]/Table279[[#This Row],[Climbers]]</f>
        <v>9.6774193548387094E-2</v>
      </c>
    </row>
    <row r="65" spans="1:4" x14ac:dyDescent="0.25">
      <c r="A65">
        <v>1966</v>
      </c>
      <c r="B65">
        <v>22</v>
      </c>
      <c r="C65">
        <v>7</v>
      </c>
      <c r="D65" s="7">
        <f>Table279[[#This Row],[Summits]]/Table279[[#This Row],[Climbers]]</f>
        <v>0.31818181818181818</v>
      </c>
    </row>
    <row r="66" spans="1:4" x14ac:dyDescent="0.25">
      <c r="A66">
        <v>1967</v>
      </c>
      <c r="B66">
        <v>83</v>
      </c>
      <c r="C66">
        <v>63</v>
      </c>
      <c r="D66" s="7">
        <f>Table279[[#This Row],[Summits]]/Table279[[#This Row],[Climbers]]</f>
        <v>0.75903614457831325</v>
      </c>
    </row>
    <row r="67" spans="1:4" x14ac:dyDescent="0.25">
      <c r="A67">
        <v>1968</v>
      </c>
      <c r="B67">
        <v>40</v>
      </c>
      <c r="C67">
        <v>30</v>
      </c>
      <c r="D67" s="7">
        <f>Table279[[#This Row],[Summits]]/Table279[[#This Row],[Climbers]]</f>
        <v>0.75</v>
      </c>
    </row>
    <row r="68" spans="1:4" x14ac:dyDescent="0.25">
      <c r="A68">
        <v>1969</v>
      </c>
      <c r="B68">
        <v>71</v>
      </c>
      <c r="C68">
        <v>49</v>
      </c>
      <c r="D68" s="7">
        <f>Table279[[#This Row],[Summits]]/Table279[[#This Row],[Climbers]]</f>
        <v>0.6901408450704225</v>
      </c>
    </row>
    <row r="69" spans="1:4" x14ac:dyDescent="0.25">
      <c r="A69">
        <v>1970</v>
      </c>
      <c r="B69">
        <v>124</v>
      </c>
      <c r="C69">
        <v>72</v>
      </c>
      <c r="D69" s="7">
        <f>Table279[[#This Row],[Summits]]/Table279[[#This Row],[Climbers]]</f>
        <v>0.58064516129032262</v>
      </c>
    </row>
    <row r="70" spans="1:4" x14ac:dyDescent="0.25">
      <c r="A70">
        <v>1971</v>
      </c>
      <c r="B70">
        <v>163</v>
      </c>
      <c r="C70">
        <v>48</v>
      </c>
      <c r="D70" s="7">
        <f>Table279[[#This Row],[Summits]]/Table279[[#This Row],[Climbers]]</f>
        <v>0.29447852760736198</v>
      </c>
    </row>
    <row r="71" spans="1:4" x14ac:dyDescent="0.25">
      <c r="A71">
        <v>1972</v>
      </c>
      <c r="B71">
        <f>181+5</f>
        <v>186</v>
      </c>
      <c r="C71">
        <f>80+2</f>
        <v>82</v>
      </c>
      <c r="D71" s="7">
        <f>Table279[[#This Row],[Summits]]/Table279[[#This Row],[Climbers]]</f>
        <v>0.44086021505376344</v>
      </c>
    </row>
    <row r="72" spans="1:4" x14ac:dyDescent="0.25">
      <c r="A72">
        <v>1973</v>
      </c>
      <c r="B72">
        <v>203</v>
      </c>
      <c r="C72">
        <v>108</v>
      </c>
      <c r="D72" s="7">
        <f>Table279[[#This Row],[Summits]]/Table279[[#This Row],[Climbers]]</f>
        <v>0.53201970443349755</v>
      </c>
    </row>
    <row r="73" spans="1:4" x14ac:dyDescent="0.25">
      <c r="A73">
        <v>1974</v>
      </c>
      <c r="B73">
        <v>282</v>
      </c>
      <c r="C73">
        <v>139</v>
      </c>
      <c r="D73" s="7">
        <f>Table279[[#This Row],[Summits]]/Table279[[#This Row],[Climbers]]</f>
        <v>0.49290780141843971</v>
      </c>
    </row>
    <row r="74" spans="1:4" x14ac:dyDescent="0.25">
      <c r="A74">
        <v>1975</v>
      </c>
      <c r="B74">
        <f>362+8</f>
        <v>370</v>
      </c>
      <c r="C74">
        <f>131+8</f>
        <v>139</v>
      </c>
      <c r="D74" s="7">
        <f>Table279[[#This Row],[Summits]]/Table279[[#This Row],[Climbers]]</f>
        <v>0.37567567567567567</v>
      </c>
    </row>
    <row r="75" spans="1:4" x14ac:dyDescent="0.25">
      <c r="A75">
        <v>1976</v>
      </c>
      <c r="B75">
        <v>508</v>
      </c>
      <c r="C75">
        <v>339</v>
      </c>
      <c r="D75" s="7">
        <f>Table279[[#This Row],[Summits]]/Table279[[#This Row],[Climbers]]</f>
        <v>0.66732283464566933</v>
      </c>
    </row>
    <row r="76" spans="1:4" x14ac:dyDescent="0.25">
      <c r="A76">
        <v>1977</v>
      </c>
      <c r="B76">
        <v>360</v>
      </c>
      <c r="C76">
        <v>284</v>
      </c>
      <c r="D76" s="7">
        <f>Table279[[#This Row],[Summits]]/Table279[[#This Row],[Climbers]]</f>
        <v>0.78888888888888886</v>
      </c>
    </row>
    <row r="77" spans="1:4" x14ac:dyDescent="0.25">
      <c r="A77">
        <v>1978</v>
      </c>
      <c r="B77">
        <v>459</v>
      </c>
      <c r="C77">
        <v>270</v>
      </c>
      <c r="D77" s="7">
        <f>Table279[[#This Row],[Summits]]/Table279[[#This Row],[Climbers]]</f>
        <v>0.58823529411764708</v>
      </c>
    </row>
    <row r="78" spans="1:4" x14ac:dyDescent="0.25">
      <c r="A78">
        <f>+A77+1</f>
        <v>1979</v>
      </c>
      <c r="B78">
        <v>533</v>
      </c>
      <c r="C78">
        <v>351</v>
      </c>
      <c r="D78" s="7">
        <f>Table279[[#This Row],[Summits]]/Table279[[#This Row],[Climbers]]</f>
        <v>0.65853658536585369</v>
      </c>
    </row>
    <row r="79" spans="1:4" x14ac:dyDescent="0.25">
      <c r="A79">
        <f t="shared" ref="A79:A117" si="0">+A78+1</f>
        <v>1980</v>
      </c>
      <c r="B79">
        <v>659</v>
      </c>
      <c r="C79">
        <v>283</v>
      </c>
      <c r="D79" s="7">
        <f>Table279[[#This Row],[Summits]]/Table279[[#This Row],[Climbers]]</f>
        <v>0.42943854324734448</v>
      </c>
    </row>
    <row r="80" spans="1:4" x14ac:dyDescent="0.25">
      <c r="A80">
        <f t="shared" si="0"/>
        <v>1981</v>
      </c>
      <c r="B80">
        <v>612</v>
      </c>
      <c r="C80">
        <v>321</v>
      </c>
      <c r="D80" s="7">
        <f>Table279[[#This Row],[Summits]]/Table279[[#This Row],[Climbers]]</f>
        <v>0.52450980392156865</v>
      </c>
    </row>
    <row r="81" spans="1:4" x14ac:dyDescent="0.25">
      <c r="A81">
        <f t="shared" si="0"/>
        <v>1982</v>
      </c>
      <c r="B81">
        <v>696</v>
      </c>
      <c r="C81">
        <v>310</v>
      </c>
      <c r="D81" s="7">
        <f>Table279[[#This Row],[Summits]]/Table279[[#This Row],[Climbers]]</f>
        <v>0.4454022988505747</v>
      </c>
    </row>
    <row r="82" spans="1:4" x14ac:dyDescent="0.25">
      <c r="A82">
        <f t="shared" si="0"/>
        <v>1983</v>
      </c>
      <c r="B82">
        <v>709</v>
      </c>
      <c r="C82">
        <v>474</v>
      </c>
      <c r="D82" s="7">
        <f>Table279[[#This Row],[Summits]]/Table279[[#This Row],[Climbers]]</f>
        <v>0.66854724964739065</v>
      </c>
    </row>
    <row r="83" spans="1:4" x14ac:dyDescent="0.25">
      <c r="A83">
        <f t="shared" si="0"/>
        <v>1984</v>
      </c>
      <c r="B83">
        <v>695</v>
      </c>
      <c r="C83">
        <v>323</v>
      </c>
      <c r="D83" s="7">
        <f>Table279[[#This Row],[Summits]]/Table279[[#This Row],[Climbers]]</f>
        <v>0.46474820143884893</v>
      </c>
    </row>
    <row r="84" spans="1:4" x14ac:dyDescent="0.25">
      <c r="A84">
        <f t="shared" si="0"/>
        <v>1985</v>
      </c>
      <c r="B84">
        <v>645</v>
      </c>
      <c r="C84">
        <v>321</v>
      </c>
      <c r="D84" s="7">
        <f>Table279[[#This Row],[Summits]]/Table279[[#This Row],[Climbers]]</f>
        <v>0.49767441860465117</v>
      </c>
    </row>
    <row r="85" spans="1:4" x14ac:dyDescent="0.25">
      <c r="A85">
        <f t="shared" si="0"/>
        <v>1986</v>
      </c>
      <c r="B85">
        <v>755</v>
      </c>
      <c r="C85">
        <v>406</v>
      </c>
      <c r="D85" s="7">
        <f>Table279[[#This Row],[Summits]]/Table279[[#This Row],[Climbers]]</f>
        <v>0.53774834437086094</v>
      </c>
    </row>
    <row r="86" spans="1:4" x14ac:dyDescent="0.25">
      <c r="A86">
        <f t="shared" si="0"/>
        <v>1987</v>
      </c>
      <c r="B86">
        <v>820</v>
      </c>
      <c r="C86">
        <v>251</v>
      </c>
      <c r="D86" s="7">
        <f>Table279[[#This Row],[Summits]]/Table279[[#This Row],[Climbers]]</f>
        <v>0.30609756097560975</v>
      </c>
    </row>
    <row r="87" spans="1:4" x14ac:dyDescent="0.25">
      <c r="A87">
        <f t="shared" si="0"/>
        <v>1988</v>
      </c>
      <c r="B87">
        <v>916</v>
      </c>
      <c r="C87">
        <v>551</v>
      </c>
      <c r="D87" s="7">
        <f>Table279[[#This Row],[Summits]]/Table279[[#This Row],[Climbers]]</f>
        <v>0.60152838427947597</v>
      </c>
    </row>
    <row r="88" spans="1:4" x14ac:dyDescent="0.25">
      <c r="A88">
        <f t="shared" si="0"/>
        <v>1989</v>
      </c>
      <c r="B88">
        <v>1009</v>
      </c>
      <c r="C88">
        <v>517</v>
      </c>
      <c r="D88" s="7">
        <f>Table279[[#This Row],[Summits]]/Table279[[#This Row],[Climbers]]</f>
        <v>0.51238850346878095</v>
      </c>
    </row>
    <row r="89" spans="1:4" x14ac:dyDescent="0.25">
      <c r="A89">
        <f t="shared" si="0"/>
        <v>1990</v>
      </c>
      <c r="B89">
        <v>1002</v>
      </c>
      <c r="C89">
        <v>573</v>
      </c>
      <c r="D89" s="7">
        <f>Table279[[#This Row],[Summits]]/Table279[[#This Row],[Climbers]]</f>
        <v>0.57185628742514971</v>
      </c>
    </row>
    <row r="90" spans="1:4" x14ac:dyDescent="0.25">
      <c r="A90">
        <f t="shared" si="0"/>
        <v>1991</v>
      </c>
      <c r="B90">
        <v>935</v>
      </c>
      <c r="C90">
        <v>553</v>
      </c>
      <c r="D90" s="7">
        <f>Table279[[#This Row],[Summits]]/Table279[[#This Row],[Climbers]]</f>
        <v>0.59144385026737967</v>
      </c>
    </row>
    <row r="91" spans="1:4" x14ac:dyDescent="0.25">
      <c r="A91">
        <f t="shared" si="0"/>
        <v>1992</v>
      </c>
      <c r="B91">
        <v>1081</v>
      </c>
      <c r="C91">
        <v>515</v>
      </c>
      <c r="D91" s="7">
        <f>Table279[[#This Row],[Summits]]/Table279[[#This Row],[Climbers]]</f>
        <v>0.47641073080481033</v>
      </c>
    </row>
    <row r="92" spans="1:4" x14ac:dyDescent="0.25">
      <c r="A92">
        <f t="shared" si="0"/>
        <v>1993</v>
      </c>
      <c r="B92">
        <v>1108</v>
      </c>
      <c r="C92">
        <v>670</v>
      </c>
      <c r="D92" s="7">
        <f>Table279[[#This Row],[Summits]]/Table279[[#This Row],[Climbers]]</f>
        <v>0.60469314079422387</v>
      </c>
    </row>
    <row r="93" spans="1:4" x14ac:dyDescent="0.25">
      <c r="A93">
        <f t="shared" si="0"/>
        <v>1994</v>
      </c>
      <c r="B93">
        <v>1297</v>
      </c>
      <c r="C93">
        <v>573</v>
      </c>
      <c r="D93" s="7">
        <f>Table279[[#This Row],[Summits]]/Table279[[#This Row],[Climbers]]</f>
        <v>0.4417887432536623</v>
      </c>
    </row>
    <row r="94" spans="1:4" x14ac:dyDescent="0.25">
      <c r="A94">
        <f t="shared" si="0"/>
        <v>1995</v>
      </c>
      <c r="B94">
        <v>1208</v>
      </c>
      <c r="C94">
        <v>513</v>
      </c>
      <c r="D94" s="7">
        <f>Table279[[#This Row],[Summits]]/Table279[[#This Row],[Climbers]]</f>
        <v>0.42466887417218541</v>
      </c>
    </row>
    <row r="95" spans="1:4" x14ac:dyDescent="0.25">
      <c r="A95">
        <f t="shared" si="0"/>
        <v>1996</v>
      </c>
      <c r="B95">
        <v>1148</v>
      </c>
      <c r="C95">
        <v>491</v>
      </c>
      <c r="D95" s="7">
        <f>Table279[[#This Row],[Summits]]/Table279[[#This Row],[Climbers]]</f>
        <v>0.42770034843205573</v>
      </c>
    </row>
    <row r="96" spans="1:4" x14ac:dyDescent="0.25">
      <c r="A96">
        <f t="shared" si="0"/>
        <v>1997</v>
      </c>
      <c r="B96">
        <v>1110</v>
      </c>
      <c r="C96">
        <v>561</v>
      </c>
      <c r="D96" s="7">
        <f>Table279[[#This Row],[Summits]]/Table279[[#This Row],[Climbers]]</f>
        <v>0.50540540540540535</v>
      </c>
    </row>
    <row r="97" spans="1:4" x14ac:dyDescent="0.25">
      <c r="A97">
        <f t="shared" si="0"/>
        <v>1998</v>
      </c>
      <c r="B97">
        <v>1166</v>
      </c>
      <c r="C97">
        <v>403</v>
      </c>
      <c r="D97" s="7">
        <f>Table279[[#This Row],[Summits]]/Table279[[#This Row],[Climbers]]</f>
        <v>0.34562607204116635</v>
      </c>
    </row>
    <row r="98" spans="1:4" x14ac:dyDescent="0.25">
      <c r="A98">
        <f t="shared" si="0"/>
        <v>1999</v>
      </c>
      <c r="B98">
        <v>1182</v>
      </c>
      <c r="C98">
        <v>508</v>
      </c>
      <c r="D98" s="7">
        <f>Table279[[#This Row],[Summits]]/Table279[[#This Row],[Climbers]]</f>
        <v>0.42978003384094754</v>
      </c>
    </row>
    <row r="99" spans="1:4" x14ac:dyDescent="0.25">
      <c r="A99">
        <f t="shared" si="0"/>
        <v>2000</v>
      </c>
      <c r="B99">
        <v>1209</v>
      </c>
      <c r="C99">
        <v>633</v>
      </c>
      <c r="D99" s="7">
        <f>Table279[[#This Row],[Summits]]/Table279[[#This Row],[Climbers]]</f>
        <v>0.52357320099255578</v>
      </c>
    </row>
    <row r="100" spans="1:4" x14ac:dyDescent="0.25">
      <c r="A100">
        <f t="shared" si="0"/>
        <v>2001</v>
      </c>
      <c r="B100">
        <v>1305</v>
      </c>
      <c r="C100">
        <v>772</v>
      </c>
      <c r="D100" s="7">
        <f>Table279[[#This Row],[Summits]]/Table279[[#This Row],[Climbers]]</f>
        <v>0.59157088122605361</v>
      </c>
    </row>
    <row r="101" spans="1:4" x14ac:dyDescent="0.25">
      <c r="A101">
        <f t="shared" si="0"/>
        <v>2002</v>
      </c>
      <c r="B101">
        <v>1232</v>
      </c>
      <c r="C101">
        <v>645</v>
      </c>
      <c r="D101" s="7">
        <f>Table279[[#This Row],[Summits]]/Table279[[#This Row],[Climbers]]</f>
        <v>0.52353896103896103</v>
      </c>
    </row>
    <row r="102" spans="1:4" x14ac:dyDescent="0.25">
      <c r="A102">
        <f t="shared" si="0"/>
        <v>2003</v>
      </c>
      <c r="B102">
        <v>1179</v>
      </c>
      <c r="C102">
        <v>688</v>
      </c>
      <c r="D102" s="7">
        <f>Table279[[#This Row],[Summits]]/Table279[[#This Row],[Climbers]]</f>
        <v>0.58354537743850721</v>
      </c>
    </row>
    <row r="103" spans="1:4" x14ac:dyDescent="0.25">
      <c r="A103">
        <f t="shared" si="0"/>
        <v>2004</v>
      </c>
      <c r="B103">
        <v>1275</v>
      </c>
      <c r="C103">
        <v>656</v>
      </c>
      <c r="D103" s="7">
        <f>Table279[[#This Row],[Summits]]/Table279[[#This Row],[Climbers]]</f>
        <v>0.51450980392156864</v>
      </c>
    </row>
    <row r="104" spans="1:4" x14ac:dyDescent="0.25">
      <c r="A104">
        <f t="shared" si="0"/>
        <v>2005</v>
      </c>
      <c r="B104">
        <v>1340</v>
      </c>
      <c r="C104">
        <v>775</v>
      </c>
      <c r="D104" s="7">
        <f>Table279[[#This Row],[Summits]]/Table279[[#This Row],[Climbers]]</f>
        <v>0.57835820895522383</v>
      </c>
    </row>
    <row r="105" spans="1:4" x14ac:dyDescent="0.25">
      <c r="A105">
        <f t="shared" si="0"/>
        <v>2006</v>
      </c>
      <c r="B105">
        <v>1152</v>
      </c>
      <c r="C105">
        <v>582</v>
      </c>
      <c r="D105" s="7">
        <f>Table279[[#This Row],[Summits]]/Table279[[#This Row],[Climbers]]</f>
        <v>0.50520833333333337</v>
      </c>
    </row>
    <row r="106" spans="1:4" x14ac:dyDescent="0.25">
      <c r="A106">
        <f t="shared" si="0"/>
        <v>2007</v>
      </c>
      <c r="B106">
        <v>1218</v>
      </c>
      <c r="C106">
        <v>573</v>
      </c>
      <c r="D106" s="7">
        <f>Table279[[#This Row],[Summits]]/Table279[[#This Row],[Climbers]]</f>
        <v>0.47044334975369456</v>
      </c>
    </row>
    <row r="107" spans="1:4" x14ac:dyDescent="0.25">
      <c r="A107">
        <f t="shared" si="0"/>
        <v>2008</v>
      </c>
      <c r="B107">
        <v>1272</v>
      </c>
      <c r="C107">
        <v>755</v>
      </c>
      <c r="D107" s="7">
        <f>Table279[[#This Row],[Summits]]/Table279[[#This Row],[Climbers]]</f>
        <v>0.59355345911949686</v>
      </c>
    </row>
    <row r="108" spans="1:4" x14ac:dyDescent="0.25">
      <c r="A108">
        <f t="shared" si="0"/>
        <v>2009</v>
      </c>
      <c r="B108">
        <v>1161</v>
      </c>
      <c r="C108">
        <v>682</v>
      </c>
      <c r="D108" s="7">
        <f>Table279[[#This Row],[Summits]]/Table279[[#This Row],[Climbers]]</f>
        <v>0.58742463393626188</v>
      </c>
    </row>
    <row r="109" spans="1:4" x14ac:dyDescent="0.25">
      <c r="A109">
        <f t="shared" si="0"/>
        <v>2010</v>
      </c>
      <c r="B109">
        <v>1222</v>
      </c>
      <c r="C109">
        <v>670</v>
      </c>
      <c r="D109" s="7">
        <f>Table279[[#This Row],[Summits]]/Table279[[#This Row],[Climbers]]</f>
        <v>0.54828150572831424</v>
      </c>
    </row>
    <row r="110" spans="1:4" x14ac:dyDescent="0.25">
      <c r="A110">
        <f t="shared" si="0"/>
        <v>2011</v>
      </c>
      <c r="B110">
        <v>1232</v>
      </c>
      <c r="C110">
        <v>687</v>
      </c>
      <c r="D110" s="7">
        <f>Table279[[#This Row],[Summits]]/Table279[[#This Row],[Climbers]]</f>
        <v>0.55762987012987009</v>
      </c>
    </row>
    <row r="111" spans="1:4" x14ac:dyDescent="0.25">
      <c r="A111">
        <f t="shared" si="0"/>
        <v>2012</v>
      </c>
      <c r="B111">
        <v>1223</v>
      </c>
      <c r="C111">
        <v>498</v>
      </c>
      <c r="D111" s="7">
        <f>Table279[[#This Row],[Summits]]/Table279[[#This Row],[Climbers]]</f>
        <v>0.40719542109566642</v>
      </c>
    </row>
    <row r="112" spans="1:4" x14ac:dyDescent="0.25">
      <c r="A112">
        <f t="shared" si="0"/>
        <v>2013</v>
      </c>
      <c r="B112">
        <v>1151</v>
      </c>
      <c r="C112">
        <v>783</v>
      </c>
      <c r="D112" s="7">
        <f>Table279[[#This Row],[Summits]]/Table279[[#This Row],[Climbers]]</f>
        <v>0.68027801911381403</v>
      </c>
    </row>
    <row r="113" spans="1:5" x14ac:dyDescent="0.25">
      <c r="A113">
        <f t="shared" si="0"/>
        <v>2014</v>
      </c>
      <c r="B113">
        <v>1204</v>
      </c>
      <c r="C113">
        <v>429</v>
      </c>
      <c r="D113" s="7">
        <f>Table279[[#This Row],[Summits]]/Table279[[#This Row],[Climbers]]</f>
        <v>0.35631229235880396</v>
      </c>
    </row>
    <row r="114" spans="1:5" x14ac:dyDescent="0.25">
      <c r="A114">
        <f t="shared" si="0"/>
        <v>2015</v>
      </c>
      <c r="B114">
        <v>1090</v>
      </c>
      <c r="C114">
        <v>628</v>
      </c>
      <c r="D114" s="7">
        <f>Table279[[#This Row],[Summits]]/Table279[[#This Row],[Climbers]]</f>
        <v>0.57614678899082572</v>
      </c>
    </row>
    <row r="115" spans="1:5" x14ac:dyDescent="0.25">
      <c r="A115">
        <f t="shared" si="0"/>
        <v>2016</v>
      </c>
      <c r="B115">
        <v>1126</v>
      </c>
      <c r="C115">
        <v>675</v>
      </c>
      <c r="D115" s="7">
        <f>Table279[[#This Row],[Summits]]/Table279[[#This Row],[Climbers]]</f>
        <v>0.59946714031971582</v>
      </c>
    </row>
    <row r="116" spans="1:5" x14ac:dyDescent="0.25">
      <c r="A116">
        <f t="shared" si="0"/>
        <v>2017</v>
      </c>
      <c r="B116">
        <v>1189</v>
      </c>
      <c r="C116">
        <v>498</v>
      </c>
      <c r="D116" s="7">
        <f>Table279[[#This Row],[Summits]]/Table279[[#This Row],[Climbers]]</f>
        <v>0.4188393608074012</v>
      </c>
    </row>
    <row r="117" spans="1:5" x14ac:dyDescent="0.25">
      <c r="A117">
        <f t="shared" si="0"/>
        <v>2018</v>
      </c>
      <c r="B117">
        <v>1114</v>
      </c>
      <c r="C117">
        <v>496</v>
      </c>
      <c r="D117" s="7">
        <f>Table279[[#This Row],[Summits]]/Table279[[#This Row],[Climbers]]</f>
        <v>0.44524236983842008</v>
      </c>
    </row>
    <row r="122" spans="1:5" x14ac:dyDescent="0.25">
      <c r="A122" t="s">
        <v>142</v>
      </c>
      <c r="B122">
        <f>SUM(Table279[Climbers])</f>
        <v>45441</v>
      </c>
      <c r="C122">
        <f>SUM(Table279[Summits])</f>
        <v>23426</v>
      </c>
      <c r="D122" s="7">
        <f>+C122/B122</f>
        <v>0.51552562663673773</v>
      </c>
    </row>
    <row r="124" spans="1:5" x14ac:dyDescent="0.25">
      <c r="A124" s="10" t="s">
        <v>145</v>
      </c>
      <c r="B124" s="10"/>
      <c r="C124" s="10"/>
      <c r="D124" s="11"/>
      <c r="E124" s="10"/>
    </row>
    <row r="125" spans="1:5" x14ac:dyDescent="0.25">
      <c r="A125" s="10" t="s">
        <v>143</v>
      </c>
      <c r="B125" s="10"/>
      <c r="C125" s="10"/>
      <c r="D125" s="11"/>
      <c r="E125" s="10"/>
    </row>
    <row r="126" spans="1:5" x14ac:dyDescent="0.25">
      <c r="A126" s="10" t="s">
        <v>144</v>
      </c>
      <c r="B126" s="10"/>
      <c r="C126" s="10"/>
      <c r="D126" s="11"/>
      <c r="E126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workbookViewId="0">
      <selection activeCell="D40" sqref="D40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154</v>
      </c>
      <c r="C2">
        <v>483</v>
      </c>
      <c r="D2">
        <v>165</v>
      </c>
    </row>
    <row r="3" spans="1:4" x14ac:dyDescent="0.25">
      <c r="A3" t="s">
        <v>2</v>
      </c>
      <c r="B3">
        <v>27</v>
      </c>
      <c r="C3">
        <v>204</v>
      </c>
      <c r="D3">
        <v>56</v>
      </c>
    </row>
    <row r="4" spans="1:4" x14ac:dyDescent="0.25">
      <c r="A4" t="s">
        <v>3</v>
      </c>
      <c r="B4">
        <v>1</v>
      </c>
      <c r="C4">
        <v>3</v>
      </c>
      <c r="D4">
        <v>0</v>
      </c>
    </row>
    <row r="5" spans="1:4" x14ac:dyDescent="0.25">
      <c r="A5" t="s">
        <v>56</v>
      </c>
      <c r="B5">
        <v>1</v>
      </c>
      <c r="C5">
        <v>14</v>
      </c>
      <c r="D5">
        <v>0</v>
      </c>
    </row>
    <row r="6" spans="1:4" x14ac:dyDescent="0.25">
      <c r="A6" t="s">
        <v>7</v>
      </c>
      <c r="B6">
        <v>6</v>
      </c>
      <c r="C6">
        <v>44</v>
      </c>
      <c r="D6">
        <v>12</v>
      </c>
    </row>
    <row r="7" spans="1:4" x14ac:dyDescent="0.25">
      <c r="A7" t="s">
        <v>55</v>
      </c>
      <c r="B7">
        <v>2</v>
      </c>
      <c r="C7">
        <v>13</v>
      </c>
      <c r="D7">
        <v>0</v>
      </c>
    </row>
    <row r="8" spans="1:4" x14ac:dyDescent="0.25">
      <c r="A8" t="s">
        <v>4</v>
      </c>
      <c r="B8">
        <v>8</v>
      </c>
      <c r="C8">
        <v>17</v>
      </c>
      <c r="D8">
        <v>9</v>
      </c>
    </row>
    <row r="9" spans="1:4" x14ac:dyDescent="0.25">
      <c r="A9" t="s">
        <v>5</v>
      </c>
      <c r="B9">
        <v>1</v>
      </c>
      <c r="C9">
        <v>4</v>
      </c>
      <c r="D9">
        <v>0</v>
      </c>
    </row>
    <row r="10" spans="1:4" x14ac:dyDescent="0.25">
      <c r="A10" t="s">
        <v>8</v>
      </c>
      <c r="B10">
        <v>4</v>
      </c>
      <c r="C10">
        <v>11</v>
      </c>
      <c r="D10">
        <v>2</v>
      </c>
    </row>
    <row r="11" spans="1:4" x14ac:dyDescent="0.25">
      <c r="A11" t="s">
        <v>57</v>
      </c>
      <c r="B11">
        <v>1</v>
      </c>
      <c r="C11">
        <v>9</v>
      </c>
      <c r="D11">
        <v>0</v>
      </c>
    </row>
    <row r="12" spans="1:4" x14ac:dyDescent="0.25">
      <c r="A12" t="s">
        <v>47</v>
      </c>
      <c r="B12">
        <v>1</v>
      </c>
      <c r="C12">
        <v>3</v>
      </c>
      <c r="D12">
        <v>0</v>
      </c>
    </row>
    <row r="13" spans="1:4" x14ac:dyDescent="0.25">
      <c r="A13" t="s">
        <v>60</v>
      </c>
      <c r="B13">
        <v>3</v>
      </c>
      <c r="C13">
        <v>6</v>
      </c>
      <c r="D13">
        <v>3</v>
      </c>
    </row>
    <row r="14" spans="1:4" x14ac:dyDescent="0.25">
      <c r="A14" t="s">
        <v>6</v>
      </c>
      <c r="B14">
        <v>1</v>
      </c>
      <c r="C14">
        <v>2</v>
      </c>
      <c r="D14">
        <v>2</v>
      </c>
    </row>
    <row r="15" spans="1:4" x14ac:dyDescent="0.25">
      <c r="A15" t="s">
        <v>74</v>
      </c>
      <c r="B15">
        <v>1</v>
      </c>
      <c r="C15">
        <v>4</v>
      </c>
      <c r="D15">
        <v>2</v>
      </c>
    </row>
    <row r="16" spans="1:4" x14ac:dyDescent="0.25">
      <c r="A16" t="s">
        <v>47</v>
      </c>
      <c r="B16">
        <v>1</v>
      </c>
      <c r="C16">
        <v>3</v>
      </c>
      <c r="D16">
        <v>0</v>
      </c>
    </row>
    <row r="17" spans="1:4" x14ac:dyDescent="0.25">
      <c r="A17" t="s">
        <v>28</v>
      </c>
      <c r="B17">
        <f>SUM(B2:B16)</f>
        <v>212</v>
      </c>
      <c r="C17">
        <f>SUM(C2:C16)</f>
        <v>820</v>
      </c>
      <c r="D17">
        <f>SUM(D2:D16)</f>
        <v>251</v>
      </c>
    </row>
    <row r="19" spans="1:4" x14ac:dyDescent="0.25">
      <c r="A19" t="s">
        <v>17</v>
      </c>
      <c r="B19" t="s">
        <v>10</v>
      </c>
      <c r="C19" t="s">
        <v>11</v>
      </c>
      <c r="D19" t="s">
        <v>135</v>
      </c>
    </row>
    <row r="20" spans="1:4" x14ac:dyDescent="0.25">
      <c r="A20" t="s">
        <v>32</v>
      </c>
      <c r="B20">
        <v>4</v>
      </c>
      <c r="C20">
        <v>8</v>
      </c>
      <c r="D20">
        <v>0</v>
      </c>
    </row>
    <row r="21" spans="1:4" x14ac:dyDescent="0.25">
      <c r="A21" t="s">
        <v>61</v>
      </c>
      <c r="B21">
        <v>2</v>
      </c>
      <c r="C21">
        <v>11</v>
      </c>
      <c r="D21">
        <v>0</v>
      </c>
    </row>
    <row r="22" spans="1:4" x14ac:dyDescent="0.25">
      <c r="A22" t="s">
        <v>18</v>
      </c>
      <c r="B22">
        <v>6</v>
      </c>
      <c r="C22">
        <v>17</v>
      </c>
      <c r="D22">
        <v>0</v>
      </c>
    </row>
    <row r="23" spans="1:4" x14ac:dyDescent="0.25">
      <c r="A23" t="s">
        <v>19</v>
      </c>
      <c r="B23">
        <v>2</v>
      </c>
      <c r="C23">
        <v>4</v>
      </c>
      <c r="D23">
        <v>2</v>
      </c>
    </row>
    <row r="24" spans="1:4" x14ac:dyDescent="0.25">
      <c r="A24" t="s">
        <v>77</v>
      </c>
      <c r="B24">
        <v>1</v>
      </c>
      <c r="C24">
        <v>4</v>
      </c>
      <c r="D24">
        <v>0</v>
      </c>
    </row>
    <row r="25" spans="1:4" x14ac:dyDescent="0.25">
      <c r="A25" t="s">
        <v>84</v>
      </c>
      <c r="B25">
        <v>1</v>
      </c>
      <c r="C25">
        <v>4</v>
      </c>
      <c r="D25">
        <v>4</v>
      </c>
    </row>
    <row r="26" spans="1:4" x14ac:dyDescent="0.25">
      <c r="A26" t="s">
        <v>85</v>
      </c>
      <c r="B26">
        <v>1</v>
      </c>
      <c r="C26">
        <v>2</v>
      </c>
      <c r="D26">
        <v>2</v>
      </c>
    </row>
    <row r="27" spans="1:4" x14ac:dyDescent="0.25">
      <c r="A27" t="s">
        <v>82</v>
      </c>
      <c r="B27">
        <v>1</v>
      </c>
      <c r="C27">
        <v>2</v>
      </c>
      <c r="D27">
        <v>2</v>
      </c>
    </row>
    <row r="28" spans="1:4" x14ac:dyDescent="0.25">
      <c r="A28" t="s">
        <v>54</v>
      </c>
      <c r="B28">
        <v>1</v>
      </c>
      <c r="C28">
        <v>2</v>
      </c>
      <c r="D28">
        <v>0</v>
      </c>
    </row>
    <row r="29" spans="1:4" x14ac:dyDescent="0.25">
      <c r="A29" t="s">
        <v>81</v>
      </c>
      <c r="B29">
        <v>1</v>
      </c>
      <c r="C29">
        <v>2</v>
      </c>
      <c r="D29">
        <v>0</v>
      </c>
    </row>
    <row r="30" spans="1:4" x14ac:dyDescent="0.25">
      <c r="A30" t="s">
        <v>86</v>
      </c>
      <c r="B30">
        <v>4</v>
      </c>
      <c r="C30">
        <v>12</v>
      </c>
      <c r="D30">
        <v>6</v>
      </c>
    </row>
    <row r="31" spans="1:4" x14ac:dyDescent="0.25">
      <c r="A31" t="s">
        <v>87</v>
      </c>
      <c r="B31">
        <v>1</v>
      </c>
      <c r="C31">
        <v>4</v>
      </c>
      <c r="D31">
        <v>4</v>
      </c>
    </row>
    <row r="32" spans="1:4" x14ac:dyDescent="0.25">
      <c r="A32" t="s">
        <v>22</v>
      </c>
      <c r="B32">
        <v>11</v>
      </c>
      <c r="C32">
        <v>34</v>
      </c>
      <c r="D32">
        <v>14</v>
      </c>
    </row>
    <row r="33" spans="1:4" x14ac:dyDescent="0.25">
      <c r="A33" t="s">
        <v>88</v>
      </c>
      <c r="B33">
        <v>1</v>
      </c>
      <c r="C33">
        <v>3</v>
      </c>
      <c r="D33">
        <v>3</v>
      </c>
    </row>
    <row r="34" spans="1:4" x14ac:dyDescent="0.25">
      <c r="A34" t="s">
        <v>63</v>
      </c>
      <c r="B34">
        <v>3</v>
      </c>
      <c r="C34">
        <v>6</v>
      </c>
      <c r="D34">
        <v>4</v>
      </c>
    </row>
    <row r="35" spans="1:4" x14ac:dyDescent="0.25">
      <c r="A35" t="s">
        <v>24</v>
      </c>
      <c r="B35">
        <v>1</v>
      </c>
      <c r="C35">
        <v>3</v>
      </c>
      <c r="D35">
        <v>3</v>
      </c>
    </row>
    <row r="36" spans="1:4" x14ac:dyDescent="0.25">
      <c r="A36" t="s">
        <v>89</v>
      </c>
      <c r="B36">
        <v>1</v>
      </c>
      <c r="C36">
        <v>3</v>
      </c>
      <c r="D36">
        <v>3</v>
      </c>
    </row>
    <row r="37" spans="1:4" x14ac:dyDescent="0.25">
      <c r="A37" t="s">
        <v>70</v>
      </c>
      <c r="B37">
        <v>2</v>
      </c>
      <c r="C37">
        <v>6</v>
      </c>
      <c r="D37">
        <v>4</v>
      </c>
    </row>
    <row r="38" spans="1:4" x14ac:dyDescent="0.25">
      <c r="A38" t="s">
        <v>51</v>
      </c>
      <c r="B38">
        <v>1</v>
      </c>
      <c r="C38">
        <v>2</v>
      </c>
      <c r="D38">
        <v>0</v>
      </c>
    </row>
    <row r="39" spans="1:4" x14ac:dyDescent="0.25">
      <c r="A39" t="s">
        <v>71</v>
      </c>
      <c r="B39">
        <v>3</v>
      </c>
      <c r="C39">
        <v>3</v>
      </c>
      <c r="D39" t="s">
        <v>66</v>
      </c>
    </row>
    <row r="40" spans="1:4" x14ac:dyDescent="0.25">
      <c r="A40" t="s">
        <v>28</v>
      </c>
      <c r="B40">
        <f>SUM(B20:B39)</f>
        <v>48</v>
      </c>
      <c r="C40">
        <f>SUM(C20:C39)</f>
        <v>132</v>
      </c>
      <c r="D40">
        <f>SUM(D20:D39)</f>
        <v>51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workbookViewId="0">
      <selection activeCell="B28" sqref="B28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146</v>
      </c>
      <c r="C2">
        <v>524</v>
      </c>
      <c r="D2">
        <v>319</v>
      </c>
    </row>
    <row r="3" spans="1:4" x14ac:dyDescent="0.25">
      <c r="A3" t="s">
        <v>2</v>
      </c>
      <c r="B3">
        <v>32</v>
      </c>
      <c r="C3">
        <v>258</v>
      </c>
      <c r="D3">
        <v>161</v>
      </c>
    </row>
    <row r="4" spans="1:4" x14ac:dyDescent="0.25">
      <c r="A4" t="s">
        <v>3</v>
      </c>
      <c r="B4">
        <v>4</v>
      </c>
      <c r="C4">
        <v>12</v>
      </c>
      <c r="D4">
        <v>2</v>
      </c>
    </row>
    <row r="5" spans="1:4" x14ac:dyDescent="0.25">
      <c r="A5" t="s">
        <v>56</v>
      </c>
      <c r="B5">
        <v>1</v>
      </c>
      <c r="C5">
        <v>15</v>
      </c>
      <c r="D5">
        <v>14</v>
      </c>
    </row>
    <row r="6" spans="1:4" x14ac:dyDescent="0.25">
      <c r="A6" t="s">
        <v>7</v>
      </c>
      <c r="B6">
        <v>10</v>
      </c>
      <c r="C6">
        <v>25</v>
      </c>
      <c r="D6">
        <v>16</v>
      </c>
    </row>
    <row r="7" spans="1:4" x14ac:dyDescent="0.25">
      <c r="A7" t="s">
        <v>55</v>
      </c>
      <c r="B7">
        <v>2</v>
      </c>
      <c r="C7">
        <v>14</v>
      </c>
      <c r="D7">
        <v>13</v>
      </c>
    </row>
    <row r="8" spans="1:4" x14ac:dyDescent="0.25">
      <c r="A8" t="s">
        <v>4</v>
      </c>
      <c r="B8">
        <v>7</v>
      </c>
      <c r="C8">
        <v>27</v>
      </c>
      <c r="D8">
        <v>17</v>
      </c>
    </row>
    <row r="9" spans="1:4" x14ac:dyDescent="0.25">
      <c r="A9" t="s">
        <v>5</v>
      </c>
      <c r="B9">
        <v>1</v>
      </c>
      <c r="C9">
        <v>4</v>
      </c>
      <c r="D9">
        <v>0</v>
      </c>
    </row>
    <row r="10" spans="1:4" x14ac:dyDescent="0.25">
      <c r="A10" t="s">
        <v>8</v>
      </c>
      <c r="B10">
        <v>4</v>
      </c>
      <c r="C10">
        <v>15</v>
      </c>
      <c r="D10">
        <v>5</v>
      </c>
    </row>
    <row r="11" spans="1:4" x14ac:dyDescent="0.25">
      <c r="A11" t="s">
        <v>57</v>
      </c>
      <c r="B11">
        <v>1</v>
      </c>
      <c r="C11">
        <v>9</v>
      </c>
      <c r="D11">
        <v>0</v>
      </c>
    </row>
    <row r="12" spans="1:4" x14ac:dyDescent="0.25">
      <c r="A12" t="s">
        <v>46</v>
      </c>
      <c r="B12">
        <v>3</v>
      </c>
      <c r="C12">
        <v>8</v>
      </c>
      <c r="D12">
        <v>4</v>
      </c>
    </row>
    <row r="13" spans="1:4" x14ac:dyDescent="0.25">
      <c r="A13" t="s">
        <v>59</v>
      </c>
      <c r="B13">
        <v>1</v>
      </c>
      <c r="C13">
        <v>5</v>
      </c>
      <c r="D13">
        <v>0</v>
      </c>
    </row>
    <row r="14" spans="1:4" x14ac:dyDescent="0.25">
      <c r="A14" t="s">
        <v>28</v>
      </c>
      <c r="B14">
        <f>SUM(B2:B13)</f>
        <v>212</v>
      </c>
      <c r="C14">
        <f>SUM(C2:C13)</f>
        <v>916</v>
      </c>
      <c r="D14">
        <f>SUM(D2:D13)</f>
        <v>551</v>
      </c>
    </row>
    <row r="16" spans="1:4" x14ac:dyDescent="0.25">
      <c r="A16" t="s">
        <v>17</v>
      </c>
      <c r="B16" t="s">
        <v>10</v>
      </c>
      <c r="C16" t="s">
        <v>11</v>
      </c>
      <c r="D16" t="s">
        <v>135</v>
      </c>
    </row>
    <row r="17" spans="1:4" x14ac:dyDescent="0.25">
      <c r="A17" t="s">
        <v>32</v>
      </c>
      <c r="B17">
        <v>1</v>
      </c>
      <c r="C17">
        <v>2</v>
      </c>
      <c r="D17">
        <v>0</v>
      </c>
    </row>
    <row r="18" spans="1:4" x14ac:dyDescent="0.25">
      <c r="A18" t="s">
        <v>18</v>
      </c>
      <c r="B18">
        <v>5</v>
      </c>
      <c r="C18">
        <v>13</v>
      </c>
      <c r="D18">
        <v>2</v>
      </c>
    </row>
    <row r="19" spans="1:4" x14ac:dyDescent="0.25">
      <c r="A19" t="s">
        <v>19</v>
      </c>
      <c r="B19">
        <v>1</v>
      </c>
      <c r="C19">
        <v>2</v>
      </c>
      <c r="D19">
        <v>0</v>
      </c>
    </row>
    <row r="20" spans="1:4" x14ac:dyDescent="0.25">
      <c r="A20" t="s">
        <v>84</v>
      </c>
      <c r="B20">
        <v>1</v>
      </c>
      <c r="C20">
        <v>5</v>
      </c>
      <c r="D20">
        <v>0</v>
      </c>
    </row>
    <row r="21" spans="1:4" x14ac:dyDescent="0.25">
      <c r="A21" t="s">
        <v>90</v>
      </c>
      <c r="B21">
        <v>1</v>
      </c>
      <c r="C21">
        <v>2</v>
      </c>
      <c r="D21">
        <v>2</v>
      </c>
    </row>
    <row r="22" spans="1:4" x14ac:dyDescent="0.25">
      <c r="A22" t="s">
        <v>51</v>
      </c>
      <c r="B22">
        <v>1</v>
      </c>
      <c r="C22">
        <v>2</v>
      </c>
      <c r="D22">
        <v>0</v>
      </c>
    </row>
    <row r="23" spans="1:4" x14ac:dyDescent="0.25">
      <c r="A23" t="s">
        <v>26</v>
      </c>
      <c r="B23">
        <v>1</v>
      </c>
      <c r="C23">
        <v>3</v>
      </c>
      <c r="D23">
        <v>3</v>
      </c>
    </row>
    <row r="24" spans="1:4" x14ac:dyDescent="0.25">
      <c r="A24" t="s">
        <v>91</v>
      </c>
      <c r="B24">
        <v>2</v>
      </c>
      <c r="C24">
        <v>24</v>
      </c>
      <c r="D24">
        <v>10</v>
      </c>
    </row>
    <row r="25" spans="1:4" x14ac:dyDescent="0.25">
      <c r="A25" t="s">
        <v>24</v>
      </c>
      <c r="B25">
        <v>1</v>
      </c>
      <c r="C25">
        <v>6</v>
      </c>
      <c r="D25">
        <v>0</v>
      </c>
    </row>
    <row r="26" spans="1:4" x14ac:dyDescent="0.25">
      <c r="A26" t="s">
        <v>92</v>
      </c>
      <c r="B26">
        <v>1</v>
      </c>
      <c r="C26">
        <v>19</v>
      </c>
      <c r="D26">
        <v>19</v>
      </c>
    </row>
    <row r="27" spans="1:4" x14ac:dyDescent="0.25">
      <c r="A27" t="s">
        <v>93</v>
      </c>
      <c r="B27">
        <v>1</v>
      </c>
      <c r="C27">
        <v>4</v>
      </c>
      <c r="D27">
        <v>4</v>
      </c>
    </row>
    <row r="28" spans="1:4" x14ac:dyDescent="0.25">
      <c r="A28" t="s">
        <v>71</v>
      </c>
      <c r="B28">
        <v>10</v>
      </c>
      <c r="C28">
        <v>43</v>
      </c>
      <c r="D28" t="s">
        <v>97</v>
      </c>
    </row>
    <row r="29" spans="1:4" x14ac:dyDescent="0.25">
      <c r="A29" t="s">
        <v>94</v>
      </c>
      <c r="B29">
        <v>3</v>
      </c>
      <c r="C29">
        <v>5</v>
      </c>
      <c r="D29">
        <v>0</v>
      </c>
    </row>
    <row r="30" spans="1:4" x14ac:dyDescent="0.25">
      <c r="A30" t="s">
        <v>81</v>
      </c>
      <c r="B30">
        <v>1</v>
      </c>
      <c r="C30">
        <v>2</v>
      </c>
      <c r="D30">
        <v>2</v>
      </c>
    </row>
    <row r="31" spans="1:4" x14ac:dyDescent="0.25">
      <c r="A31" t="s">
        <v>95</v>
      </c>
      <c r="B31">
        <v>3</v>
      </c>
      <c r="C31">
        <v>8</v>
      </c>
      <c r="D31">
        <v>6</v>
      </c>
    </row>
    <row r="32" spans="1:4" x14ac:dyDescent="0.25">
      <c r="A32" t="s">
        <v>22</v>
      </c>
      <c r="B32">
        <v>4</v>
      </c>
      <c r="C32">
        <v>14</v>
      </c>
      <c r="D32">
        <v>8</v>
      </c>
    </row>
    <row r="33" spans="1:4" x14ac:dyDescent="0.25">
      <c r="A33" t="s">
        <v>80</v>
      </c>
      <c r="B33">
        <v>1</v>
      </c>
      <c r="C33">
        <v>4</v>
      </c>
      <c r="D33">
        <v>0</v>
      </c>
    </row>
    <row r="34" spans="1:4" x14ac:dyDescent="0.25">
      <c r="A34" t="s">
        <v>96</v>
      </c>
      <c r="B34">
        <v>4</v>
      </c>
      <c r="C34">
        <v>9</v>
      </c>
      <c r="D34">
        <v>0</v>
      </c>
    </row>
    <row r="35" spans="1:4" x14ac:dyDescent="0.25">
      <c r="A35" t="s">
        <v>54</v>
      </c>
      <c r="B35">
        <v>1</v>
      </c>
      <c r="C35">
        <v>4</v>
      </c>
      <c r="D35">
        <v>4</v>
      </c>
    </row>
    <row r="36" spans="1:4" x14ac:dyDescent="0.25">
      <c r="A36" t="s">
        <v>28</v>
      </c>
      <c r="B36">
        <f>SUM(B17:B35)</f>
        <v>43</v>
      </c>
      <c r="C36">
        <f>SUM(C17:C35)</f>
        <v>171</v>
      </c>
      <c r="D36">
        <f>SUM(D17:D35)</f>
        <v>60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2" sqref="A2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56</v>
      </c>
    </row>
    <row r="6" spans="1:4" x14ac:dyDescent="0.25">
      <c r="A6" t="s">
        <v>7</v>
      </c>
    </row>
    <row r="7" spans="1:4" x14ac:dyDescent="0.25">
      <c r="A7" t="s">
        <v>55</v>
      </c>
    </row>
    <row r="8" spans="1:4" x14ac:dyDescent="0.25">
      <c r="A8" t="s">
        <v>4</v>
      </c>
    </row>
    <row r="9" spans="1:4" x14ac:dyDescent="0.25">
      <c r="A9" t="s">
        <v>5</v>
      </c>
    </row>
    <row r="10" spans="1:4" x14ac:dyDescent="0.25">
      <c r="A10" t="s">
        <v>8</v>
      </c>
    </row>
    <row r="11" spans="1:4" x14ac:dyDescent="0.25">
      <c r="A11" t="s">
        <v>57</v>
      </c>
    </row>
    <row r="12" spans="1:4" x14ac:dyDescent="0.25">
      <c r="A12" t="s">
        <v>46</v>
      </c>
    </row>
    <row r="13" spans="1:4" x14ac:dyDescent="0.25">
      <c r="A13" t="s">
        <v>59</v>
      </c>
    </row>
    <row r="14" spans="1:4" x14ac:dyDescent="0.25">
      <c r="A14" t="s">
        <v>28</v>
      </c>
      <c r="B14">
        <f>SUM(B2:B13)</f>
        <v>0</v>
      </c>
      <c r="C14">
        <f>SUM(C2:C13)</f>
        <v>0</v>
      </c>
      <c r="D14">
        <f>SUM(D2:D13)</f>
        <v>0</v>
      </c>
    </row>
    <row r="16" spans="1:4" x14ac:dyDescent="0.25">
      <c r="A16" t="s">
        <v>17</v>
      </c>
      <c r="B16" t="s">
        <v>10</v>
      </c>
      <c r="C16" t="s">
        <v>11</v>
      </c>
      <c r="D16" t="s">
        <v>135</v>
      </c>
    </row>
    <row r="17" spans="1:1" x14ac:dyDescent="0.25">
      <c r="A17" t="s">
        <v>32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84</v>
      </c>
    </row>
    <row r="21" spans="1:1" x14ac:dyDescent="0.25">
      <c r="A21" t="s">
        <v>90</v>
      </c>
    </row>
    <row r="22" spans="1:1" x14ac:dyDescent="0.25">
      <c r="A22" t="s">
        <v>51</v>
      </c>
    </row>
    <row r="23" spans="1:1" x14ac:dyDescent="0.25">
      <c r="A23" t="s">
        <v>26</v>
      </c>
    </row>
    <row r="24" spans="1:1" x14ac:dyDescent="0.25">
      <c r="A24" t="s">
        <v>91</v>
      </c>
    </row>
    <row r="25" spans="1:1" x14ac:dyDescent="0.25">
      <c r="A25" t="s">
        <v>24</v>
      </c>
    </row>
    <row r="26" spans="1:1" x14ac:dyDescent="0.25">
      <c r="A26" t="s">
        <v>92</v>
      </c>
    </row>
    <row r="27" spans="1:1" x14ac:dyDescent="0.25">
      <c r="A27" t="s">
        <v>93</v>
      </c>
    </row>
    <row r="28" spans="1:1" x14ac:dyDescent="0.25">
      <c r="A28" t="s">
        <v>71</v>
      </c>
    </row>
    <row r="29" spans="1:1" x14ac:dyDescent="0.25">
      <c r="A29" t="s">
        <v>94</v>
      </c>
    </row>
    <row r="30" spans="1:1" x14ac:dyDescent="0.25">
      <c r="A30" t="s">
        <v>81</v>
      </c>
    </row>
    <row r="31" spans="1:1" x14ac:dyDescent="0.25">
      <c r="A31" t="s">
        <v>95</v>
      </c>
    </row>
    <row r="32" spans="1:1" x14ac:dyDescent="0.25">
      <c r="A32" t="s">
        <v>22</v>
      </c>
    </row>
    <row r="33" spans="1:4" x14ac:dyDescent="0.25">
      <c r="A33" t="s">
        <v>80</v>
      </c>
    </row>
    <row r="34" spans="1:4" x14ac:dyDescent="0.25">
      <c r="A34" t="s">
        <v>96</v>
      </c>
    </row>
    <row r="35" spans="1:4" x14ac:dyDescent="0.25">
      <c r="A35" t="s">
        <v>54</v>
      </c>
    </row>
    <row r="36" spans="1:4" x14ac:dyDescent="0.25">
      <c r="A36" t="s">
        <v>28</v>
      </c>
      <c r="B36">
        <f>SUM(B17:B35)</f>
        <v>0</v>
      </c>
      <c r="C36">
        <f>SUM(C17:C35)</f>
        <v>0</v>
      </c>
      <c r="D36">
        <f>SUM(D17:D35)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3"/>
  <sheetViews>
    <sheetView workbookViewId="0">
      <selection activeCell="D32" sqref="D32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132</v>
      </c>
      <c r="C2">
        <v>479</v>
      </c>
      <c r="D2">
        <v>257</v>
      </c>
    </row>
    <row r="3" spans="1:4" x14ac:dyDescent="0.25">
      <c r="A3" t="s">
        <v>2</v>
      </c>
      <c r="B3">
        <v>29</v>
      </c>
      <c r="C3">
        <v>236</v>
      </c>
      <c r="D3">
        <v>162</v>
      </c>
    </row>
    <row r="4" spans="1:4" x14ac:dyDescent="0.25">
      <c r="A4" t="s">
        <v>98</v>
      </c>
      <c r="B4">
        <v>7</v>
      </c>
      <c r="C4">
        <v>31</v>
      </c>
      <c r="D4">
        <v>9</v>
      </c>
    </row>
    <row r="5" spans="1:4" x14ac:dyDescent="0.25">
      <c r="A5" t="s">
        <v>99</v>
      </c>
      <c r="B5">
        <v>4</v>
      </c>
      <c r="C5">
        <v>40</v>
      </c>
      <c r="D5">
        <v>32</v>
      </c>
    </row>
    <row r="6" spans="1:4" x14ac:dyDescent="0.25">
      <c r="A6" t="s">
        <v>3</v>
      </c>
      <c r="B6">
        <v>6</v>
      </c>
      <c r="C6">
        <v>22</v>
      </c>
      <c r="D6">
        <v>8</v>
      </c>
    </row>
    <row r="7" spans="1:4" x14ac:dyDescent="0.25">
      <c r="A7" t="s">
        <v>56</v>
      </c>
      <c r="B7">
        <v>1</v>
      </c>
      <c r="C7">
        <v>15</v>
      </c>
      <c r="D7">
        <v>12</v>
      </c>
    </row>
    <row r="8" spans="1:4" x14ac:dyDescent="0.25">
      <c r="A8" t="s">
        <v>100</v>
      </c>
      <c r="B8">
        <v>3</v>
      </c>
      <c r="C8">
        <v>11</v>
      </c>
      <c r="D8">
        <v>7</v>
      </c>
    </row>
    <row r="9" spans="1:4" x14ac:dyDescent="0.25">
      <c r="A9" t="s">
        <v>7</v>
      </c>
      <c r="B9">
        <v>18</v>
      </c>
      <c r="C9">
        <v>51</v>
      </c>
      <c r="D9">
        <v>26</v>
      </c>
    </row>
    <row r="10" spans="1:4" x14ac:dyDescent="0.25">
      <c r="A10" t="s">
        <v>55</v>
      </c>
      <c r="B10">
        <v>5</v>
      </c>
      <c r="C10">
        <v>29</v>
      </c>
      <c r="D10">
        <v>6</v>
      </c>
    </row>
    <row r="11" spans="1:4" x14ac:dyDescent="0.25">
      <c r="A11" t="s">
        <v>101</v>
      </c>
      <c r="B11">
        <v>4</v>
      </c>
      <c r="C11">
        <v>22</v>
      </c>
      <c r="D11">
        <v>20</v>
      </c>
    </row>
    <row r="12" spans="1:4" x14ac:dyDescent="0.25">
      <c r="A12" t="s">
        <v>60</v>
      </c>
      <c r="B12">
        <v>0</v>
      </c>
      <c r="C12">
        <v>0</v>
      </c>
      <c r="D12">
        <v>0</v>
      </c>
    </row>
    <row r="13" spans="1:4" x14ac:dyDescent="0.25">
      <c r="A13" t="s">
        <v>4</v>
      </c>
      <c r="B13">
        <v>17</v>
      </c>
      <c r="C13">
        <v>42</v>
      </c>
      <c r="D13">
        <v>24</v>
      </c>
    </row>
    <row r="14" spans="1:4" x14ac:dyDescent="0.25">
      <c r="A14" t="s">
        <v>5</v>
      </c>
      <c r="B14">
        <v>1</v>
      </c>
      <c r="C14">
        <v>6</v>
      </c>
      <c r="D14">
        <v>6</v>
      </c>
    </row>
    <row r="15" spans="1:4" x14ac:dyDescent="0.25">
      <c r="A15" t="s">
        <v>8</v>
      </c>
      <c r="B15">
        <v>3</v>
      </c>
      <c r="C15">
        <v>8</v>
      </c>
      <c r="D15">
        <v>4</v>
      </c>
    </row>
    <row r="16" spans="1:4" x14ac:dyDescent="0.25">
      <c r="A16" t="s">
        <v>57</v>
      </c>
      <c r="B16">
        <v>0</v>
      </c>
      <c r="C16">
        <v>0</v>
      </c>
      <c r="D16">
        <v>0</v>
      </c>
    </row>
    <row r="17" spans="1:4" x14ac:dyDescent="0.25">
      <c r="A17" t="s">
        <v>102</v>
      </c>
      <c r="B17">
        <v>1</v>
      </c>
      <c r="C17">
        <v>2</v>
      </c>
      <c r="D17">
        <v>0</v>
      </c>
    </row>
    <row r="18" spans="1:4" x14ac:dyDescent="0.25">
      <c r="A18" t="s">
        <v>76</v>
      </c>
      <c r="B18">
        <v>0</v>
      </c>
      <c r="C18">
        <v>0</v>
      </c>
      <c r="D18">
        <v>0</v>
      </c>
    </row>
    <row r="19" spans="1:4" x14ac:dyDescent="0.25">
      <c r="A19" t="s">
        <v>69</v>
      </c>
      <c r="B19">
        <v>0</v>
      </c>
      <c r="C19">
        <v>0</v>
      </c>
      <c r="D19">
        <v>0</v>
      </c>
    </row>
    <row r="20" spans="1:4" x14ac:dyDescent="0.25">
      <c r="A20" t="s">
        <v>74</v>
      </c>
      <c r="B20">
        <v>2</v>
      </c>
      <c r="C20">
        <v>5</v>
      </c>
      <c r="D20">
        <v>0</v>
      </c>
    </row>
    <row r="21" spans="1:4" x14ac:dyDescent="0.25">
      <c r="A21" t="s">
        <v>46</v>
      </c>
      <c r="B21">
        <v>1</v>
      </c>
      <c r="C21">
        <v>3</v>
      </c>
      <c r="D21">
        <v>0</v>
      </c>
    </row>
    <row r="22" spans="1:4" x14ac:dyDescent="0.25">
      <c r="A22" t="s">
        <v>59</v>
      </c>
      <c r="B22">
        <v>0</v>
      </c>
      <c r="C22">
        <v>0</v>
      </c>
      <c r="D22">
        <v>0</v>
      </c>
    </row>
    <row r="23" spans="1:4" x14ac:dyDescent="0.25">
      <c r="A23" t="s">
        <v>28</v>
      </c>
      <c r="B23">
        <f>SUM(B2:B22)</f>
        <v>234</v>
      </c>
      <c r="C23">
        <f>SUM(C2:C22)</f>
        <v>1002</v>
      </c>
      <c r="D23">
        <f>SUM(D2:D22)</f>
        <v>573</v>
      </c>
    </row>
    <row r="25" spans="1:4" x14ac:dyDescent="0.25">
      <c r="A25" t="s">
        <v>17</v>
      </c>
      <c r="B25" t="s">
        <v>10</v>
      </c>
      <c r="C25" t="s">
        <v>11</v>
      </c>
      <c r="D25" t="s">
        <v>135</v>
      </c>
    </row>
    <row r="26" spans="1:4" x14ac:dyDescent="0.25">
      <c r="A26" t="s">
        <v>32</v>
      </c>
      <c r="B26">
        <v>11</v>
      </c>
      <c r="C26">
        <v>26</v>
      </c>
      <c r="D26">
        <v>6</v>
      </c>
    </row>
    <row r="27" spans="1:4" x14ac:dyDescent="0.25">
      <c r="A27" t="s">
        <v>18</v>
      </c>
      <c r="B27">
        <v>16</v>
      </c>
      <c r="C27">
        <v>44</v>
      </c>
      <c r="D27">
        <v>8</v>
      </c>
    </row>
    <row r="28" spans="1:4" x14ac:dyDescent="0.25">
      <c r="A28" t="s">
        <v>19</v>
      </c>
      <c r="B28">
        <v>4</v>
      </c>
      <c r="C28">
        <v>11</v>
      </c>
      <c r="D28">
        <v>0</v>
      </c>
    </row>
    <row r="29" spans="1:4" x14ac:dyDescent="0.25">
      <c r="A29" t="s">
        <v>84</v>
      </c>
      <c r="B29">
        <v>0</v>
      </c>
      <c r="C29">
        <v>0</v>
      </c>
      <c r="D29">
        <v>0</v>
      </c>
    </row>
    <row r="30" spans="1:4" x14ac:dyDescent="0.25">
      <c r="A30" t="s">
        <v>90</v>
      </c>
      <c r="B30">
        <v>0</v>
      </c>
      <c r="C30">
        <v>0</v>
      </c>
      <c r="D30">
        <v>0</v>
      </c>
    </row>
    <row r="31" spans="1:4" x14ac:dyDescent="0.25">
      <c r="A31" t="s">
        <v>51</v>
      </c>
      <c r="B31">
        <v>0</v>
      </c>
      <c r="C31">
        <v>0</v>
      </c>
      <c r="D31">
        <v>0</v>
      </c>
    </row>
    <row r="32" spans="1:4" x14ac:dyDescent="0.25">
      <c r="A32" t="s">
        <v>26</v>
      </c>
      <c r="B32">
        <v>0</v>
      </c>
      <c r="C32">
        <v>0</v>
      </c>
      <c r="D32">
        <v>0</v>
      </c>
    </row>
    <row r="33" spans="1:4" x14ac:dyDescent="0.25">
      <c r="A33" t="s">
        <v>91</v>
      </c>
      <c r="B33">
        <v>0</v>
      </c>
      <c r="C33">
        <v>0</v>
      </c>
      <c r="D33">
        <v>0</v>
      </c>
    </row>
    <row r="34" spans="1:4" x14ac:dyDescent="0.25">
      <c r="A34" t="s">
        <v>24</v>
      </c>
      <c r="B34">
        <v>2</v>
      </c>
      <c r="C34">
        <v>18</v>
      </c>
      <c r="D34">
        <v>16</v>
      </c>
    </row>
    <row r="35" spans="1:4" x14ac:dyDescent="0.25">
      <c r="A35" t="s">
        <v>71</v>
      </c>
      <c r="B35">
        <v>1</v>
      </c>
      <c r="C35">
        <v>2</v>
      </c>
      <c r="D35">
        <v>2</v>
      </c>
    </row>
    <row r="36" spans="1:4" x14ac:dyDescent="0.25">
      <c r="A36" t="s">
        <v>94</v>
      </c>
      <c r="B36">
        <v>14</v>
      </c>
      <c r="C36">
        <v>47</v>
      </c>
      <c r="D36">
        <v>14</v>
      </c>
    </row>
    <row r="37" spans="1:4" x14ac:dyDescent="0.25">
      <c r="A37" t="s">
        <v>22</v>
      </c>
      <c r="B37">
        <v>11</v>
      </c>
      <c r="C37">
        <v>27</v>
      </c>
      <c r="D37">
        <v>27</v>
      </c>
    </row>
    <row r="38" spans="1:4" x14ac:dyDescent="0.25">
      <c r="A38" t="s">
        <v>80</v>
      </c>
      <c r="B38">
        <v>1</v>
      </c>
      <c r="C38">
        <v>4</v>
      </c>
      <c r="D38">
        <v>4</v>
      </c>
    </row>
    <row r="39" spans="1:4" x14ac:dyDescent="0.25">
      <c r="A39" t="s">
        <v>54</v>
      </c>
      <c r="B39">
        <v>3</v>
      </c>
      <c r="C39">
        <v>9</v>
      </c>
      <c r="D39">
        <v>7</v>
      </c>
    </row>
    <row r="40" spans="1:4" x14ac:dyDescent="0.25">
      <c r="A40" t="s">
        <v>103</v>
      </c>
      <c r="B40">
        <v>0</v>
      </c>
      <c r="C40">
        <v>0</v>
      </c>
      <c r="D40">
        <v>0</v>
      </c>
    </row>
    <row r="41" spans="1:4" x14ac:dyDescent="0.25">
      <c r="A41" t="s">
        <v>104</v>
      </c>
      <c r="B41">
        <v>0</v>
      </c>
      <c r="C41">
        <v>0</v>
      </c>
      <c r="D41">
        <v>0</v>
      </c>
    </row>
    <row r="42" spans="1:4" x14ac:dyDescent="0.25">
      <c r="A42" t="s">
        <v>105</v>
      </c>
      <c r="B42">
        <v>1</v>
      </c>
      <c r="C42">
        <v>2</v>
      </c>
      <c r="D42">
        <v>0</v>
      </c>
    </row>
    <row r="43" spans="1:4" x14ac:dyDescent="0.25">
      <c r="A43" t="s">
        <v>28</v>
      </c>
      <c r="B43">
        <f>SUM(B26:B42)</f>
        <v>64</v>
      </c>
      <c r="C43">
        <f>SUM(C26:C42)</f>
        <v>190</v>
      </c>
      <c r="D43">
        <f>SUM(D26:D42)</f>
        <v>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4"/>
  <sheetViews>
    <sheetView topLeftCell="A7" workbookViewId="0">
      <selection activeCell="B30" sqref="B30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145</v>
      </c>
      <c r="C2">
        <v>475</v>
      </c>
      <c r="D2">
        <v>275</v>
      </c>
    </row>
    <row r="3" spans="1:4" x14ac:dyDescent="0.25">
      <c r="A3" t="s">
        <v>2</v>
      </c>
      <c r="B3">
        <v>24</v>
      </c>
      <c r="C3">
        <v>205</v>
      </c>
      <c r="D3">
        <v>137</v>
      </c>
    </row>
    <row r="4" spans="1:4" x14ac:dyDescent="0.25">
      <c r="A4" t="s">
        <v>98</v>
      </c>
      <c r="B4">
        <v>7</v>
      </c>
      <c r="C4">
        <v>26</v>
      </c>
      <c r="D4">
        <v>15</v>
      </c>
    </row>
    <row r="5" spans="1:4" x14ac:dyDescent="0.25">
      <c r="A5" t="s">
        <v>99</v>
      </c>
      <c r="B5">
        <v>3</v>
      </c>
      <c r="C5">
        <v>23</v>
      </c>
      <c r="D5">
        <v>20</v>
      </c>
    </row>
    <row r="6" spans="1:4" x14ac:dyDescent="0.25">
      <c r="A6" t="s">
        <v>3</v>
      </c>
      <c r="B6">
        <v>2</v>
      </c>
      <c r="C6">
        <v>4</v>
      </c>
      <c r="D6">
        <v>0</v>
      </c>
    </row>
    <row r="7" spans="1:4" x14ac:dyDescent="0.25">
      <c r="A7" t="s">
        <v>56</v>
      </c>
      <c r="B7">
        <v>2</v>
      </c>
      <c r="C7">
        <v>22</v>
      </c>
      <c r="D7">
        <v>10</v>
      </c>
    </row>
    <row r="8" spans="1:4" x14ac:dyDescent="0.25">
      <c r="A8" t="s">
        <v>100</v>
      </c>
      <c r="B8">
        <v>3</v>
      </c>
      <c r="C8">
        <v>9</v>
      </c>
      <c r="D8">
        <v>7</v>
      </c>
    </row>
    <row r="9" spans="1:4" x14ac:dyDescent="0.25">
      <c r="A9" t="s">
        <v>7</v>
      </c>
      <c r="B9">
        <v>3</v>
      </c>
      <c r="C9">
        <v>58</v>
      </c>
      <c r="D9">
        <v>33</v>
      </c>
    </row>
    <row r="10" spans="1:4" x14ac:dyDescent="0.25">
      <c r="A10" t="s">
        <v>55</v>
      </c>
      <c r="B10">
        <v>19</v>
      </c>
      <c r="C10">
        <v>15</v>
      </c>
      <c r="D10">
        <v>11</v>
      </c>
    </row>
    <row r="11" spans="1:4" x14ac:dyDescent="0.25">
      <c r="A11" t="s">
        <v>106</v>
      </c>
      <c r="B11">
        <v>18</v>
      </c>
      <c r="C11">
        <v>46</v>
      </c>
      <c r="D11">
        <v>16</v>
      </c>
    </row>
    <row r="12" spans="1:4" x14ac:dyDescent="0.25">
      <c r="A12" t="s">
        <v>4</v>
      </c>
      <c r="B12">
        <v>0</v>
      </c>
      <c r="C12">
        <v>37</v>
      </c>
      <c r="D12">
        <v>24</v>
      </c>
    </row>
    <row r="13" spans="1:4" x14ac:dyDescent="0.25">
      <c r="A13" t="s">
        <v>5</v>
      </c>
      <c r="B13">
        <v>1</v>
      </c>
      <c r="C13">
        <v>0</v>
      </c>
      <c r="D13">
        <v>0</v>
      </c>
    </row>
    <row r="14" spans="1:4" x14ac:dyDescent="0.25">
      <c r="A14" t="s">
        <v>107</v>
      </c>
      <c r="B14">
        <v>1</v>
      </c>
      <c r="C14">
        <v>2</v>
      </c>
      <c r="D14">
        <v>1</v>
      </c>
    </row>
    <row r="15" spans="1:4" x14ac:dyDescent="0.25">
      <c r="A15" t="s">
        <v>8</v>
      </c>
      <c r="B15">
        <v>2</v>
      </c>
      <c r="C15">
        <v>4</v>
      </c>
      <c r="D15">
        <v>2</v>
      </c>
    </row>
    <row r="16" spans="1:4" x14ac:dyDescent="0.25">
      <c r="A16" t="s">
        <v>69</v>
      </c>
      <c r="B16">
        <v>1</v>
      </c>
      <c r="C16">
        <v>2</v>
      </c>
      <c r="D16">
        <v>0</v>
      </c>
    </row>
    <row r="17" spans="1:4" x14ac:dyDescent="0.25">
      <c r="A17" t="s">
        <v>108</v>
      </c>
      <c r="B17">
        <v>1</v>
      </c>
      <c r="C17">
        <v>3</v>
      </c>
      <c r="D17">
        <v>2</v>
      </c>
    </row>
    <row r="18" spans="1:4" x14ac:dyDescent="0.25">
      <c r="A18" t="s">
        <v>74</v>
      </c>
      <c r="B18">
        <v>2</v>
      </c>
      <c r="C18">
        <v>4</v>
      </c>
      <c r="D18">
        <v>0</v>
      </c>
    </row>
    <row r="19" spans="1:4" x14ac:dyDescent="0.25">
      <c r="A19" t="s">
        <v>59</v>
      </c>
      <c r="B19">
        <v>0</v>
      </c>
      <c r="C19">
        <v>0</v>
      </c>
      <c r="D19">
        <v>0</v>
      </c>
    </row>
    <row r="20" spans="1:4" x14ac:dyDescent="0.25">
      <c r="A20" t="s">
        <v>28</v>
      </c>
      <c r="B20">
        <f>SUM(B2:B19)</f>
        <v>234</v>
      </c>
      <c r="C20">
        <f>SUM(C2:C19)</f>
        <v>935</v>
      </c>
      <c r="D20">
        <f>SUM(D2:D19)</f>
        <v>553</v>
      </c>
    </row>
    <row r="22" spans="1:4" x14ac:dyDescent="0.25">
      <c r="A22" t="s">
        <v>17</v>
      </c>
      <c r="B22" t="s">
        <v>10</v>
      </c>
      <c r="C22" t="s">
        <v>11</v>
      </c>
      <c r="D22" t="s">
        <v>135</v>
      </c>
    </row>
    <row r="23" spans="1:4" x14ac:dyDescent="0.25">
      <c r="A23" t="s">
        <v>32</v>
      </c>
      <c r="B23">
        <v>10</v>
      </c>
      <c r="C23">
        <v>28</v>
      </c>
      <c r="D23">
        <v>4</v>
      </c>
    </row>
    <row r="24" spans="1:4" x14ac:dyDescent="0.25">
      <c r="A24" t="s">
        <v>18</v>
      </c>
      <c r="B24">
        <v>9</v>
      </c>
      <c r="C24">
        <v>24</v>
      </c>
      <c r="D24">
        <v>5</v>
      </c>
    </row>
    <row r="25" spans="1:4" x14ac:dyDescent="0.25">
      <c r="A25" t="s">
        <v>19</v>
      </c>
      <c r="B25">
        <v>6</v>
      </c>
      <c r="C25">
        <v>18</v>
      </c>
      <c r="D25">
        <v>2</v>
      </c>
    </row>
    <row r="26" spans="1:4" x14ac:dyDescent="0.25">
      <c r="A26" t="s">
        <v>22</v>
      </c>
      <c r="B26">
        <v>9</v>
      </c>
      <c r="C26">
        <v>26</v>
      </c>
      <c r="D26">
        <v>9</v>
      </c>
    </row>
    <row r="27" spans="1:4" x14ac:dyDescent="0.25">
      <c r="A27" t="s">
        <v>24</v>
      </c>
      <c r="B27">
        <v>1</v>
      </c>
      <c r="C27">
        <v>6</v>
      </c>
      <c r="D27">
        <v>6</v>
      </c>
    </row>
    <row r="28" spans="1:4" x14ac:dyDescent="0.25">
      <c r="A28" t="s">
        <v>54</v>
      </c>
      <c r="B28">
        <v>1</v>
      </c>
      <c r="C28">
        <v>7</v>
      </c>
      <c r="D28">
        <v>0</v>
      </c>
    </row>
    <row r="29" spans="1:4" x14ac:dyDescent="0.25">
      <c r="A29" t="s">
        <v>96</v>
      </c>
      <c r="B29">
        <v>2</v>
      </c>
      <c r="C29">
        <v>5</v>
      </c>
      <c r="D29">
        <v>3</v>
      </c>
    </row>
    <row r="30" spans="1:4" x14ac:dyDescent="0.25">
      <c r="A30" t="s">
        <v>20</v>
      </c>
      <c r="B30">
        <v>4</v>
      </c>
      <c r="C30">
        <v>9</v>
      </c>
      <c r="D30">
        <v>7</v>
      </c>
    </row>
    <row r="31" spans="1:4" x14ac:dyDescent="0.25">
      <c r="A31" t="s">
        <v>26</v>
      </c>
      <c r="B31">
        <v>2</v>
      </c>
      <c r="C31">
        <v>5</v>
      </c>
      <c r="D31">
        <v>5</v>
      </c>
    </row>
    <row r="32" spans="1:4" x14ac:dyDescent="0.25">
      <c r="A32" t="s">
        <v>51</v>
      </c>
      <c r="B32">
        <v>0</v>
      </c>
      <c r="C32">
        <v>0</v>
      </c>
      <c r="D32">
        <v>0</v>
      </c>
    </row>
    <row r="33" spans="1:4" x14ac:dyDescent="0.25">
      <c r="A33" t="s">
        <v>109</v>
      </c>
      <c r="B33">
        <v>1</v>
      </c>
      <c r="C33">
        <v>2</v>
      </c>
      <c r="D33">
        <v>2</v>
      </c>
    </row>
    <row r="34" spans="1:4" x14ac:dyDescent="0.25">
      <c r="A34" t="s">
        <v>28</v>
      </c>
      <c r="B34">
        <f>SUM(B23:B33)</f>
        <v>45</v>
      </c>
      <c r="C34">
        <f>SUM(C23:C33)</f>
        <v>130</v>
      </c>
      <c r="D34">
        <f>SUM(D23:D33)</f>
        <v>43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2"/>
  <sheetViews>
    <sheetView workbookViewId="0">
      <selection activeCell="D22" sqref="D22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23</v>
      </c>
      <c r="C2">
        <v>56</v>
      </c>
      <c r="D2">
        <v>17</v>
      </c>
    </row>
    <row r="3" spans="1:4" x14ac:dyDescent="0.25">
      <c r="A3" t="s">
        <v>47</v>
      </c>
      <c r="B3">
        <v>2</v>
      </c>
      <c r="C3">
        <v>8</v>
      </c>
      <c r="D3">
        <v>0</v>
      </c>
    </row>
    <row r="4" spans="1:4" x14ac:dyDescent="0.25">
      <c r="A4" t="s">
        <v>3</v>
      </c>
      <c r="B4">
        <v>3</v>
      </c>
      <c r="C4">
        <v>18</v>
      </c>
      <c r="D4">
        <v>0</v>
      </c>
    </row>
    <row r="5" spans="1:4" x14ac:dyDescent="0.25">
      <c r="A5" t="s">
        <v>110</v>
      </c>
      <c r="B5">
        <v>3</v>
      </c>
      <c r="C5">
        <v>8</v>
      </c>
      <c r="D5">
        <v>2</v>
      </c>
    </row>
    <row r="6" spans="1:4" x14ac:dyDescent="0.25">
      <c r="A6" t="s">
        <v>74</v>
      </c>
      <c r="B6">
        <v>0</v>
      </c>
      <c r="C6">
        <v>0</v>
      </c>
      <c r="D6">
        <v>0</v>
      </c>
    </row>
    <row r="7" spans="1:4" x14ac:dyDescent="0.25">
      <c r="A7" t="s">
        <v>8</v>
      </c>
      <c r="B7">
        <v>2</v>
      </c>
      <c r="C7">
        <v>8</v>
      </c>
      <c r="D7">
        <v>4</v>
      </c>
    </row>
    <row r="8" spans="1:4" x14ac:dyDescent="0.25">
      <c r="A8" t="s">
        <v>111</v>
      </c>
      <c r="B8">
        <v>8</v>
      </c>
      <c r="C8">
        <v>38</v>
      </c>
      <c r="D8">
        <v>16</v>
      </c>
    </row>
    <row r="9" spans="1:4" x14ac:dyDescent="0.25">
      <c r="A9" t="s">
        <v>7</v>
      </c>
      <c r="B9">
        <v>31</v>
      </c>
      <c r="C9">
        <v>90</v>
      </c>
      <c r="D9">
        <v>47</v>
      </c>
    </row>
    <row r="10" spans="1:4" x14ac:dyDescent="0.25">
      <c r="A10" t="s">
        <v>1</v>
      </c>
      <c r="B10">
        <v>213</v>
      </c>
      <c r="C10">
        <v>831</v>
      </c>
      <c r="D10">
        <v>429</v>
      </c>
    </row>
    <row r="11" spans="1:4" x14ac:dyDescent="0.25">
      <c r="A11" t="s">
        <v>49</v>
      </c>
      <c r="B11">
        <v>5</v>
      </c>
      <c r="C11">
        <v>20</v>
      </c>
      <c r="D11">
        <v>0</v>
      </c>
    </row>
    <row r="12" spans="1:4" x14ac:dyDescent="0.25">
      <c r="A12" t="s">
        <v>69</v>
      </c>
      <c r="B12">
        <v>0</v>
      </c>
      <c r="C12">
        <v>0</v>
      </c>
      <c r="D12">
        <v>0</v>
      </c>
    </row>
    <row r="13" spans="1:4" x14ac:dyDescent="0.25">
      <c r="A13" t="s">
        <v>46</v>
      </c>
      <c r="B13">
        <v>1</v>
      </c>
      <c r="C13">
        <v>4</v>
      </c>
      <c r="D13">
        <v>0</v>
      </c>
    </row>
    <row r="14" spans="1:4" x14ac:dyDescent="0.25">
      <c r="A14" t="s">
        <v>28</v>
      </c>
      <c r="B14">
        <f>SUM(B2:B13)</f>
        <v>291</v>
      </c>
      <c r="C14">
        <f>SUM(C2:C13)</f>
        <v>1081</v>
      </c>
      <c r="D14">
        <f>SUM(D2:D13)</f>
        <v>515</v>
      </c>
    </row>
    <row r="16" spans="1:4" x14ac:dyDescent="0.25">
      <c r="A16" t="s">
        <v>17</v>
      </c>
      <c r="B16" t="s">
        <v>10</v>
      </c>
      <c r="C16" t="s">
        <v>11</v>
      </c>
      <c r="D16" t="s">
        <v>135</v>
      </c>
    </row>
    <row r="17" spans="1:4" x14ac:dyDescent="0.25">
      <c r="A17" t="s">
        <v>32</v>
      </c>
      <c r="B17">
        <v>8</v>
      </c>
      <c r="C17">
        <v>26</v>
      </c>
      <c r="D17">
        <v>2</v>
      </c>
    </row>
    <row r="18" spans="1:4" x14ac:dyDescent="0.25">
      <c r="A18" t="s">
        <v>18</v>
      </c>
      <c r="B18">
        <v>21</v>
      </c>
      <c r="C18">
        <v>51</v>
      </c>
      <c r="D18">
        <v>4</v>
      </c>
    </row>
    <row r="19" spans="1:4" x14ac:dyDescent="0.25">
      <c r="A19" t="s">
        <v>19</v>
      </c>
      <c r="B19">
        <v>3</v>
      </c>
      <c r="C19">
        <v>8</v>
      </c>
      <c r="D19">
        <v>2</v>
      </c>
    </row>
    <row r="20" spans="1:4" x14ac:dyDescent="0.25">
      <c r="A20" t="s">
        <v>22</v>
      </c>
      <c r="B20">
        <v>8</v>
      </c>
      <c r="C20">
        <v>21</v>
      </c>
      <c r="D20">
        <v>2</v>
      </c>
    </row>
    <row r="21" spans="1:4" x14ac:dyDescent="0.25">
      <c r="A21" t="s">
        <v>112</v>
      </c>
      <c r="B21">
        <v>44</v>
      </c>
      <c r="C21">
        <v>242</v>
      </c>
      <c r="D21" t="s">
        <v>97</v>
      </c>
    </row>
    <row r="22" spans="1:4" x14ac:dyDescent="0.25">
      <c r="A22" t="s">
        <v>28</v>
      </c>
      <c r="B22">
        <f>SUM(B17:B21)</f>
        <v>84</v>
      </c>
      <c r="C22">
        <f>SUM(C17:C21)</f>
        <v>348</v>
      </c>
      <c r="D22">
        <f>SUM(D17:D21)</f>
        <v>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1"/>
  <sheetViews>
    <sheetView workbookViewId="0">
      <selection activeCell="D21" sqref="D21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241</v>
      </c>
      <c r="C2">
        <v>920</v>
      </c>
      <c r="D2">
        <v>561</v>
      </c>
    </row>
    <row r="3" spans="1:4" x14ac:dyDescent="0.25">
      <c r="A3" t="s">
        <v>7</v>
      </c>
      <c r="B3">
        <v>30</v>
      </c>
      <c r="C3">
        <v>92</v>
      </c>
      <c r="D3">
        <v>51</v>
      </c>
    </row>
    <row r="4" spans="1:4" x14ac:dyDescent="0.25">
      <c r="A4" t="s">
        <v>4</v>
      </c>
      <c r="B4">
        <v>8</v>
      </c>
      <c r="C4">
        <v>20</v>
      </c>
      <c r="D4">
        <v>15</v>
      </c>
    </row>
    <row r="5" spans="1:4" x14ac:dyDescent="0.25">
      <c r="A5" t="s">
        <v>3</v>
      </c>
      <c r="B5">
        <v>3</v>
      </c>
      <c r="C5">
        <v>23</v>
      </c>
      <c r="D5">
        <v>4</v>
      </c>
    </row>
    <row r="6" spans="1:4" x14ac:dyDescent="0.25">
      <c r="A6" t="s">
        <v>110</v>
      </c>
      <c r="B6">
        <v>2</v>
      </c>
      <c r="C6">
        <v>8</v>
      </c>
      <c r="D6">
        <v>6</v>
      </c>
    </row>
    <row r="7" spans="1:4" x14ac:dyDescent="0.25">
      <c r="A7" t="s">
        <v>111</v>
      </c>
      <c r="B7">
        <v>8</v>
      </c>
      <c r="C7">
        <v>39</v>
      </c>
      <c r="D7">
        <v>29</v>
      </c>
    </row>
    <row r="8" spans="1:4" x14ac:dyDescent="0.25">
      <c r="A8" t="s">
        <v>8</v>
      </c>
      <c r="B8">
        <v>0</v>
      </c>
      <c r="C8">
        <v>0</v>
      </c>
      <c r="D8">
        <v>0</v>
      </c>
    </row>
    <row r="9" spans="1:4" x14ac:dyDescent="0.25">
      <c r="A9" t="s">
        <v>74</v>
      </c>
      <c r="B9">
        <v>0</v>
      </c>
      <c r="C9">
        <v>0</v>
      </c>
      <c r="D9">
        <v>0</v>
      </c>
    </row>
    <row r="10" spans="1:4" x14ac:dyDescent="0.25">
      <c r="A10" t="s">
        <v>6</v>
      </c>
      <c r="B10">
        <v>0</v>
      </c>
      <c r="C10">
        <v>0</v>
      </c>
      <c r="D10">
        <v>0</v>
      </c>
    </row>
    <row r="11" spans="1:4" x14ac:dyDescent="0.25">
      <c r="A11" t="s">
        <v>113</v>
      </c>
      <c r="B11">
        <v>1</v>
      </c>
      <c r="C11">
        <v>4</v>
      </c>
      <c r="D11">
        <v>4</v>
      </c>
    </row>
    <row r="12" spans="1:4" x14ac:dyDescent="0.25">
      <c r="A12" t="s">
        <v>47</v>
      </c>
      <c r="B12">
        <v>1</v>
      </c>
      <c r="C12">
        <v>2</v>
      </c>
      <c r="D12">
        <v>0</v>
      </c>
    </row>
    <row r="13" spans="1:4" x14ac:dyDescent="0.25">
      <c r="A13" t="s">
        <v>28</v>
      </c>
      <c r="B13">
        <f>SUM(B2:B12)</f>
        <v>294</v>
      </c>
      <c r="C13">
        <f>SUM(C2:C12)</f>
        <v>1108</v>
      </c>
      <c r="D13">
        <f>SUM(D2:D12)</f>
        <v>670</v>
      </c>
    </row>
    <row r="15" spans="1:4" x14ac:dyDescent="0.25">
      <c r="A15" t="s">
        <v>17</v>
      </c>
      <c r="B15" t="s">
        <v>10</v>
      </c>
      <c r="C15" t="s">
        <v>11</v>
      </c>
      <c r="D15" t="s">
        <v>135</v>
      </c>
    </row>
    <row r="16" spans="1:4" x14ac:dyDescent="0.25">
      <c r="A16" t="s">
        <v>32</v>
      </c>
      <c r="B16">
        <v>8</v>
      </c>
      <c r="C16">
        <v>20</v>
      </c>
      <c r="D16">
        <v>6</v>
      </c>
    </row>
    <row r="17" spans="1:4" x14ac:dyDescent="0.25">
      <c r="A17" t="s">
        <v>18</v>
      </c>
      <c r="B17">
        <v>21</v>
      </c>
      <c r="C17">
        <v>55</v>
      </c>
      <c r="D17">
        <v>19</v>
      </c>
    </row>
    <row r="18" spans="1:4" x14ac:dyDescent="0.25">
      <c r="A18" t="s">
        <v>19</v>
      </c>
      <c r="B18">
        <v>2</v>
      </c>
      <c r="C18">
        <v>4</v>
      </c>
      <c r="D18">
        <v>2</v>
      </c>
    </row>
    <row r="19" spans="1:4" x14ac:dyDescent="0.25">
      <c r="A19" t="s">
        <v>22</v>
      </c>
      <c r="B19">
        <v>3</v>
      </c>
      <c r="C19">
        <v>8</v>
      </c>
      <c r="D19">
        <v>4</v>
      </c>
    </row>
    <row r="20" spans="1:4" x14ac:dyDescent="0.25">
      <c r="A20" t="s">
        <v>112</v>
      </c>
      <c r="B20">
        <v>58</v>
      </c>
      <c r="C20">
        <v>200</v>
      </c>
      <c r="D20" t="s">
        <v>97</v>
      </c>
    </row>
    <row r="21" spans="1:4" x14ac:dyDescent="0.25">
      <c r="A21" t="s">
        <v>28</v>
      </c>
      <c r="B21">
        <f>SUM(B16:B20)</f>
        <v>92</v>
      </c>
      <c r="C21">
        <f>SUM(C16:C20)</f>
        <v>287</v>
      </c>
      <c r="D21">
        <f>SUM(D16:D20)</f>
        <v>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workbookViewId="0">
      <selection activeCell="D21" sqref="D21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247</v>
      </c>
      <c r="C2">
        <v>1067</v>
      </c>
      <c r="D2">
        <v>493</v>
      </c>
    </row>
    <row r="3" spans="1:4" x14ac:dyDescent="0.25">
      <c r="A3" t="s">
        <v>7</v>
      </c>
      <c r="B3">
        <v>31</v>
      </c>
      <c r="C3">
        <v>106</v>
      </c>
      <c r="D3">
        <v>40</v>
      </c>
    </row>
    <row r="4" spans="1:4" x14ac:dyDescent="0.25">
      <c r="A4" t="s">
        <v>4</v>
      </c>
      <c r="B4">
        <v>6</v>
      </c>
      <c r="C4">
        <v>14</v>
      </c>
      <c r="D4">
        <v>2</v>
      </c>
    </row>
    <row r="5" spans="1:4" x14ac:dyDescent="0.25">
      <c r="A5" t="s">
        <v>3</v>
      </c>
      <c r="B5">
        <v>6</v>
      </c>
      <c r="C5">
        <v>33</v>
      </c>
      <c r="D5">
        <v>18</v>
      </c>
    </row>
    <row r="6" spans="1:4" x14ac:dyDescent="0.25">
      <c r="A6" t="s">
        <v>110</v>
      </c>
      <c r="B6">
        <v>4</v>
      </c>
      <c r="C6">
        <v>17</v>
      </c>
      <c r="D6">
        <v>7</v>
      </c>
    </row>
    <row r="7" spans="1:4" x14ac:dyDescent="0.25">
      <c r="A7" t="s">
        <v>111</v>
      </c>
      <c r="B7">
        <v>4</v>
      </c>
      <c r="C7">
        <v>23</v>
      </c>
      <c r="D7">
        <v>0</v>
      </c>
    </row>
    <row r="8" spans="1:4" x14ac:dyDescent="0.25">
      <c r="A8" t="s">
        <v>8</v>
      </c>
      <c r="B8">
        <v>4</v>
      </c>
      <c r="C8">
        <v>17</v>
      </c>
      <c r="D8">
        <v>6</v>
      </c>
    </row>
    <row r="9" spans="1:4" x14ac:dyDescent="0.25">
      <c r="A9" t="s">
        <v>74</v>
      </c>
      <c r="B9">
        <v>0</v>
      </c>
      <c r="C9">
        <v>0</v>
      </c>
      <c r="D9">
        <v>0</v>
      </c>
    </row>
    <row r="10" spans="1:4" x14ac:dyDescent="0.25">
      <c r="A10" t="s">
        <v>76</v>
      </c>
      <c r="B10">
        <v>2</v>
      </c>
      <c r="C10">
        <v>9</v>
      </c>
      <c r="D10">
        <v>4</v>
      </c>
    </row>
    <row r="11" spans="1:4" x14ac:dyDescent="0.25">
      <c r="A11" t="s">
        <v>113</v>
      </c>
      <c r="B11">
        <v>1</v>
      </c>
      <c r="C11">
        <v>3</v>
      </c>
      <c r="D11">
        <v>3</v>
      </c>
    </row>
    <row r="12" spans="1:4" x14ac:dyDescent="0.25">
      <c r="A12" t="s">
        <v>47</v>
      </c>
      <c r="B12">
        <v>1</v>
      </c>
      <c r="C12">
        <v>8</v>
      </c>
      <c r="D12">
        <v>0</v>
      </c>
    </row>
    <row r="13" spans="1:4" x14ac:dyDescent="0.25">
      <c r="A13" t="s">
        <v>28</v>
      </c>
      <c r="B13">
        <f>SUM(B2:B12)</f>
        <v>306</v>
      </c>
      <c r="C13">
        <f>SUM(C2:C12)</f>
        <v>1297</v>
      </c>
      <c r="D13">
        <f>SUM(D2:D12)</f>
        <v>573</v>
      </c>
    </row>
    <row r="15" spans="1:4" x14ac:dyDescent="0.25">
      <c r="A15" t="s">
        <v>17</v>
      </c>
      <c r="B15" t="s">
        <v>10</v>
      </c>
      <c r="C15" t="s">
        <v>11</v>
      </c>
      <c r="D15" t="s">
        <v>135</v>
      </c>
    </row>
    <row r="16" spans="1:4" x14ac:dyDescent="0.25">
      <c r="A16" t="s">
        <v>32</v>
      </c>
      <c r="B16">
        <v>14</v>
      </c>
      <c r="C16">
        <v>36</v>
      </c>
      <c r="D16">
        <v>0</v>
      </c>
    </row>
    <row r="17" spans="1:4" x14ac:dyDescent="0.25">
      <c r="A17" t="s">
        <v>18</v>
      </c>
      <c r="B17">
        <v>14</v>
      </c>
      <c r="C17">
        <v>37</v>
      </c>
      <c r="D17">
        <v>14</v>
      </c>
    </row>
    <row r="18" spans="1:4" x14ac:dyDescent="0.25">
      <c r="A18" t="s">
        <v>19</v>
      </c>
      <c r="B18">
        <v>1</v>
      </c>
      <c r="C18">
        <v>2</v>
      </c>
      <c r="D18">
        <v>0</v>
      </c>
    </row>
    <row r="19" spans="1:4" x14ac:dyDescent="0.25">
      <c r="A19" t="s">
        <v>22</v>
      </c>
      <c r="B19">
        <v>5</v>
      </c>
      <c r="C19">
        <v>20</v>
      </c>
      <c r="D19">
        <v>3</v>
      </c>
    </row>
    <row r="20" spans="1:4" x14ac:dyDescent="0.25">
      <c r="A20" t="s">
        <v>112</v>
      </c>
      <c r="B20">
        <v>8</v>
      </c>
      <c r="C20">
        <v>21</v>
      </c>
      <c r="D20">
        <v>12</v>
      </c>
    </row>
    <row r="21" spans="1:4" x14ac:dyDescent="0.25">
      <c r="A21" t="s">
        <v>28</v>
      </c>
      <c r="B21">
        <f>SUM(B16:B20)</f>
        <v>42</v>
      </c>
      <c r="C21">
        <f>SUM(C16:C20)</f>
        <v>116</v>
      </c>
      <c r="D21">
        <f>SUM(D16:D20)</f>
        <v>29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1"/>
  <sheetViews>
    <sheetView workbookViewId="0">
      <selection activeCell="A12" sqref="A12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13</v>
      </c>
      <c r="C2">
        <v>30</v>
      </c>
      <c r="D2">
        <v>18</v>
      </c>
    </row>
    <row r="3" spans="1:4" x14ac:dyDescent="0.25">
      <c r="A3" t="s">
        <v>114</v>
      </c>
      <c r="B3">
        <v>1</v>
      </c>
      <c r="C3">
        <v>1</v>
      </c>
      <c r="D3">
        <v>0</v>
      </c>
    </row>
    <row r="4" spans="1:4" x14ac:dyDescent="0.25">
      <c r="A4" t="s">
        <v>60</v>
      </c>
      <c r="B4">
        <v>1</v>
      </c>
      <c r="C4">
        <v>2</v>
      </c>
      <c r="D4">
        <v>2</v>
      </c>
    </row>
    <row r="5" spans="1:4" x14ac:dyDescent="0.25">
      <c r="A5" t="s">
        <v>3</v>
      </c>
      <c r="B5">
        <v>5</v>
      </c>
      <c r="C5">
        <v>27</v>
      </c>
      <c r="D5">
        <v>19</v>
      </c>
    </row>
    <row r="6" spans="1:4" x14ac:dyDescent="0.25">
      <c r="A6" t="s">
        <v>74</v>
      </c>
      <c r="B6">
        <v>2</v>
      </c>
      <c r="C6">
        <v>4</v>
      </c>
      <c r="D6">
        <v>2</v>
      </c>
    </row>
    <row r="7" spans="1:4" x14ac:dyDescent="0.25">
      <c r="A7" t="s">
        <v>108</v>
      </c>
      <c r="B7">
        <v>1</v>
      </c>
      <c r="C7">
        <v>2</v>
      </c>
      <c r="D7">
        <v>0</v>
      </c>
    </row>
    <row r="8" spans="1:4" x14ac:dyDescent="0.25">
      <c r="A8" t="s">
        <v>8</v>
      </c>
      <c r="B8">
        <v>4</v>
      </c>
      <c r="C8">
        <v>15</v>
      </c>
      <c r="D8">
        <v>5</v>
      </c>
    </row>
    <row r="9" spans="1:4" x14ac:dyDescent="0.25">
      <c r="A9" t="s">
        <v>1</v>
      </c>
      <c r="B9">
        <v>230</v>
      </c>
      <c r="C9">
        <v>968</v>
      </c>
      <c r="D9">
        <v>388</v>
      </c>
    </row>
    <row r="10" spans="1:4" x14ac:dyDescent="0.25">
      <c r="A10" t="s">
        <v>111</v>
      </c>
      <c r="B10">
        <v>5</v>
      </c>
      <c r="C10">
        <v>41</v>
      </c>
      <c r="D10">
        <v>36</v>
      </c>
    </row>
    <row r="11" spans="1:4" x14ac:dyDescent="0.25">
      <c r="A11" t="s">
        <v>7</v>
      </c>
      <c r="B11">
        <v>33</v>
      </c>
      <c r="C11">
        <v>118</v>
      </c>
      <c r="D11">
        <v>43</v>
      </c>
    </row>
    <row r="12" spans="1:4" x14ac:dyDescent="0.25">
      <c r="A12" t="s">
        <v>28</v>
      </c>
      <c r="B12">
        <f>SUM(B2:B11)</f>
        <v>295</v>
      </c>
      <c r="C12">
        <f>SUM(C2:C11)</f>
        <v>1208</v>
      </c>
      <c r="D12">
        <f>SUM(D2:D11)</f>
        <v>513</v>
      </c>
    </row>
    <row r="14" spans="1:4" x14ac:dyDescent="0.25">
      <c r="A14" t="s">
        <v>17</v>
      </c>
      <c r="B14" t="s">
        <v>10</v>
      </c>
      <c r="C14" t="s">
        <v>11</v>
      </c>
      <c r="D14" t="s">
        <v>135</v>
      </c>
    </row>
    <row r="15" spans="1:4" x14ac:dyDescent="0.25">
      <c r="A15" t="s">
        <v>32</v>
      </c>
      <c r="B15">
        <v>9</v>
      </c>
      <c r="C15">
        <v>25</v>
      </c>
      <c r="D15">
        <v>10</v>
      </c>
    </row>
    <row r="16" spans="1:4" x14ac:dyDescent="0.25">
      <c r="A16" t="s">
        <v>18</v>
      </c>
      <c r="B16">
        <v>13</v>
      </c>
      <c r="C16">
        <v>33</v>
      </c>
    </row>
    <row r="17" spans="1:4" x14ac:dyDescent="0.25">
      <c r="A17" t="s">
        <v>19</v>
      </c>
      <c r="B17">
        <v>3</v>
      </c>
      <c r="C17">
        <v>7</v>
      </c>
    </row>
    <row r="18" spans="1:4" x14ac:dyDescent="0.25">
      <c r="A18" t="s">
        <v>24</v>
      </c>
      <c r="B18">
        <v>2</v>
      </c>
      <c r="C18">
        <v>3</v>
      </c>
    </row>
    <row r="19" spans="1:4" x14ac:dyDescent="0.25">
      <c r="A19" t="s">
        <v>22</v>
      </c>
      <c r="B19">
        <v>2</v>
      </c>
      <c r="C19">
        <v>14</v>
      </c>
    </row>
    <row r="20" spans="1:4" x14ac:dyDescent="0.25">
      <c r="A20" t="s">
        <v>96</v>
      </c>
      <c r="B20">
        <v>1</v>
      </c>
      <c r="C20">
        <v>2</v>
      </c>
    </row>
    <row r="21" spans="1:4" x14ac:dyDescent="0.25">
      <c r="A21" t="s">
        <v>28</v>
      </c>
      <c r="B21">
        <f>SUM(B15:B20)</f>
        <v>30</v>
      </c>
      <c r="C21">
        <f>SUM(C15:C20)</f>
        <v>84</v>
      </c>
      <c r="D21">
        <f>SUM(D15:D20)</f>
        <v>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"/>
  <sheetViews>
    <sheetView workbookViewId="0">
      <selection activeCell="A24" sqref="A24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11</v>
      </c>
      <c r="C2">
        <v>30</v>
      </c>
      <c r="D2" s="5">
        <f>C2*0.47</f>
        <v>14.1</v>
      </c>
    </row>
    <row r="3" spans="1:4" x14ac:dyDescent="0.25">
      <c r="A3" t="s">
        <v>47</v>
      </c>
      <c r="B3">
        <v>1</v>
      </c>
      <c r="C3">
        <v>3</v>
      </c>
      <c r="D3">
        <v>0</v>
      </c>
    </row>
    <row r="4" spans="1:4" x14ac:dyDescent="0.25">
      <c r="A4" t="s">
        <v>60</v>
      </c>
      <c r="B4">
        <v>4</v>
      </c>
      <c r="C4">
        <v>8</v>
      </c>
      <c r="D4">
        <v>2</v>
      </c>
    </row>
    <row r="5" spans="1:4" x14ac:dyDescent="0.25">
      <c r="A5" t="s">
        <v>3</v>
      </c>
      <c r="B5">
        <v>3</v>
      </c>
      <c r="C5">
        <v>20</v>
      </c>
      <c r="D5">
        <f>20*0.6</f>
        <v>12</v>
      </c>
    </row>
    <row r="6" spans="1:4" x14ac:dyDescent="0.25">
      <c r="A6" t="s">
        <v>115</v>
      </c>
      <c r="B6">
        <v>3</v>
      </c>
      <c r="C6">
        <v>7</v>
      </c>
      <c r="D6" s="5">
        <f>7*0.29</f>
        <v>2.0299999999999998</v>
      </c>
    </row>
    <row r="7" spans="1:4" x14ac:dyDescent="0.25">
      <c r="A7" t="s">
        <v>116</v>
      </c>
      <c r="B7">
        <v>1</v>
      </c>
      <c r="C7">
        <v>4</v>
      </c>
      <c r="D7">
        <v>4</v>
      </c>
    </row>
    <row r="8" spans="1:4" x14ac:dyDescent="0.25">
      <c r="A8" t="s">
        <v>8</v>
      </c>
      <c r="B8">
        <v>5</v>
      </c>
      <c r="C8">
        <v>15</v>
      </c>
      <c r="D8" s="5">
        <f>15*0.13</f>
        <v>1.9500000000000002</v>
      </c>
    </row>
    <row r="9" spans="1:4" x14ac:dyDescent="0.25">
      <c r="A9" t="s">
        <v>6</v>
      </c>
      <c r="B9">
        <v>1</v>
      </c>
      <c r="C9">
        <v>7</v>
      </c>
      <c r="D9" s="5">
        <f>7*0.57</f>
        <v>3.9899999999999998</v>
      </c>
    </row>
    <row r="10" spans="1:4" x14ac:dyDescent="0.25">
      <c r="A10" t="s">
        <v>1</v>
      </c>
      <c r="B10">
        <v>245</v>
      </c>
      <c r="C10">
        <v>943</v>
      </c>
      <c r="D10" s="5">
        <f>943*0.42</f>
        <v>396.06</v>
      </c>
    </row>
    <row r="11" spans="1:4" x14ac:dyDescent="0.25">
      <c r="A11" t="s">
        <v>111</v>
      </c>
      <c r="B11">
        <v>6</v>
      </c>
      <c r="C11">
        <v>33</v>
      </c>
      <c r="D11" s="5">
        <f>33*0.73</f>
        <v>24.09</v>
      </c>
    </row>
    <row r="12" spans="1:4" x14ac:dyDescent="0.25">
      <c r="A12" t="s">
        <v>7</v>
      </c>
      <c r="B12">
        <v>22</v>
      </c>
      <c r="C12">
        <v>72</v>
      </c>
      <c r="D12" s="5">
        <f>72*0.38</f>
        <v>27.36</v>
      </c>
    </row>
    <row r="13" spans="1:4" x14ac:dyDescent="0.25">
      <c r="A13" t="s">
        <v>117</v>
      </c>
      <c r="B13">
        <v>1</v>
      </c>
      <c r="C13">
        <v>1</v>
      </c>
      <c r="D13">
        <v>1</v>
      </c>
    </row>
    <row r="14" spans="1:4" x14ac:dyDescent="0.25">
      <c r="A14" t="s">
        <v>118</v>
      </c>
      <c r="B14">
        <v>1</v>
      </c>
      <c r="C14">
        <v>2</v>
      </c>
      <c r="D14">
        <v>2</v>
      </c>
    </row>
    <row r="15" spans="1:4" x14ac:dyDescent="0.25">
      <c r="A15" t="s">
        <v>59</v>
      </c>
      <c r="B15">
        <v>1</v>
      </c>
      <c r="C15">
        <v>3</v>
      </c>
      <c r="D15">
        <v>0</v>
      </c>
    </row>
    <row r="16" spans="1:4" x14ac:dyDescent="0.25">
      <c r="A16" t="s">
        <v>28</v>
      </c>
      <c r="B16">
        <f>SUM(B2:B15)</f>
        <v>305</v>
      </c>
      <c r="C16">
        <f>SUM(C2:C15)</f>
        <v>1148</v>
      </c>
      <c r="D16" s="5">
        <f>SUM(D2:D15)</f>
        <v>490.58</v>
      </c>
    </row>
    <row r="18" spans="1:4" x14ac:dyDescent="0.25">
      <c r="A18" t="s">
        <v>17</v>
      </c>
      <c r="B18" t="s">
        <v>10</v>
      </c>
      <c r="C18" t="s">
        <v>11</v>
      </c>
      <c r="D18" t="s">
        <v>135</v>
      </c>
    </row>
    <row r="19" spans="1:4" x14ac:dyDescent="0.25">
      <c r="A19" t="s">
        <v>32</v>
      </c>
      <c r="B19">
        <v>12</v>
      </c>
      <c r="C19">
        <v>34</v>
      </c>
      <c r="D19" s="5">
        <f>34*0.26</f>
        <v>8.84</v>
      </c>
    </row>
    <row r="20" spans="1:4" x14ac:dyDescent="0.25">
      <c r="A20" t="s">
        <v>28</v>
      </c>
      <c r="B20">
        <f>SUM(B19:B19)</f>
        <v>12</v>
      </c>
      <c r="C20">
        <f>SUM(C19:C19)</f>
        <v>34</v>
      </c>
      <c r="D20">
        <f>SUM(D19:D19)</f>
        <v>8.84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workbookViewId="0">
      <selection activeCell="D2" sqref="D2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64</v>
      </c>
      <c r="C2">
        <v>240</v>
      </c>
      <c r="D2">
        <v>124</v>
      </c>
    </row>
    <row r="3" spans="1:4" x14ac:dyDescent="0.25">
      <c r="A3" t="s">
        <v>2</v>
      </c>
      <c r="B3">
        <v>14</v>
      </c>
      <c r="C3">
        <v>188</v>
      </c>
      <c r="D3">
        <v>165</v>
      </c>
    </row>
    <row r="4" spans="1:4" x14ac:dyDescent="0.25">
      <c r="A4" t="s">
        <v>3</v>
      </c>
      <c r="B4">
        <v>1</v>
      </c>
      <c r="C4">
        <v>5</v>
      </c>
      <c r="D4">
        <v>0</v>
      </c>
    </row>
    <row r="5" spans="1:4" x14ac:dyDescent="0.25">
      <c r="A5" t="s">
        <v>4</v>
      </c>
      <c r="B5">
        <v>8</v>
      </c>
      <c r="C5">
        <v>28</v>
      </c>
      <c r="D5">
        <v>24</v>
      </c>
    </row>
    <row r="6" spans="1:4" x14ac:dyDescent="0.25">
      <c r="A6" t="s">
        <v>5</v>
      </c>
      <c r="B6">
        <v>1</v>
      </c>
      <c r="C6">
        <v>3</v>
      </c>
      <c r="D6">
        <v>3</v>
      </c>
    </row>
    <row r="7" spans="1:4" x14ac:dyDescent="0.25">
      <c r="A7" t="s">
        <v>6</v>
      </c>
      <c r="B7">
        <v>1</v>
      </c>
      <c r="C7">
        <v>4</v>
      </c>
      <c r="D7">
        <v>0</v>
      </c>
    </row>
    <row r="8" spans="1:4" x14ac:dyDescent="0.25">
      <c r="A8" t="s">
        <v>7</v>
      </c>
      <c r="B8">
        <v>12</v>
      </c>
      <c r="C8">
        <v>54</v>
      </c>
      <c r="D8">
        <v>31</v>
      </c>
    </row>
    <row r="9" spans="1:4" x14ac:dyDescent="0.25">
      <c r="A9" t="s">
        <v>8</v>
      </c>
      <c r="B9">
        <v>2</v>
      </c>
      <c r="C9">
        <v>9</v>
      </c>
      <c r="D9">
        <v>4</v>
      </c>
    </row>
    <row r="10" spans="1:4" x14ac:dyDescent="0.25">
      <c r="A10" t="s">
        <v>9</v>
      </c>
      <c r="B10">
        <v>1</v>
      </c>
      <c r="C10">
        <v>2</v>
      </c>
      <c r="D10">
        <v>0</v>
      </c>
    </row>
    <row r="11" spans="1:4" x14ac:dyDescent="0.25">
      <c r="A11" t="s">
        <v>28</v>
      </c>
      <c r="B11">
        <v>104</v>
      </c>
      <c r="C11">
        <v>533</v>
      </c>
      <c r="D11">
        <v>351</v>
      </c>
    </row>
    <row r="13" spans="1:4" x14ac:dyDescent="0.25">
      <c r="A13" t="s">
        <v>12</v>
      </c>
      <c r="B13" t="s">
        <v>10</v>
      </c>
      <c r="C13" t="s">
        <v>11</v>
      </c>
      <c r="D13" t="s">
        <v>135</v>
      </c>
    </row>
    <row r="14" spans="1:4" x14ac:dyDescent="0.25">
      <c r="A14" t="s">
        <v>13</v>
      </c>
      <c r="B14">
        <v>3</v>
      </c>
      <c r="C14">
        <v>13</v>
      </c>
      <c r="D14">
        <v>0</v>
      </c>
    </row>
    <row r="15" spans="1:4" x14ac:dyDescent="0.25">
      <c r="A15" t="s">
        <v>14</v>
      </c>
      <c r="B15">
        <v>2</v>
      </c>
      <c r="C15">
        <v>5</v>
      </c>
      <c r="D15">
        <v>3</v>
      </c>
    </row>
    <row r="16" spans="1:4" x14ac:dyDescent="0.25">
      <c r="A16" t="s">
        <v>15</v>
      </c>
      <c r="B16">
        <v>1</v>
      </c>
      <c r="C16">
        <v>6</v>
      </c>
      <c r="D16">
        <v>5</v>
      </c>
    </row>
    <row r="17" spans="1:4" x14ac:dyDescent="0.25">
      <c r="A17" t="s">
        <v>16</v>
      </c>
      <c r="B17">
        <v>1</v>
      </c>
      <c r="C17">
        <v>4</v>
      </c>
      <c r="D17">
        <v>0</v>
      </c>
    </row>
    <row r="18" spans="1:4" x14ac:dyDescent="0.25">
      <c r="A18" t="s">
        <v>28</v>
      </c>
      <c r="B18">
        <v>7</v>
      </c>
      <c r="C18">
        <v>28</v>
      </c>
      <c r="D18">
        <v>8</v>
      </c>
    </row>
    <row r="20" spans="1:4" x14ac:dyDescent="0.25">
      <c r="A20" t="s">
        <v>17</v>
      </c>
      <c r="B20" t="s">
        <v>10</v>
      </c>
      <c r="C20" t="s">
        <v>11</v>
      </c>
      <c r="D20" t="s">
        <v>135</v>
      </c>
    </row>
    <row r="21" spans="1:4" x14ac:dyDescent="0.25">
      <c r="A21" t="s">
        <v>18</v>
      </c>
      <c r="B21">
        <v>7</v>
      </c>
      <c r="C21">
        <v>19</v>
      </c>
      <c r="D21">
        <v>8</v>
      </c>
    </row>
    <row r="22" spans="1:4" x14ac:dyDescent="0.25">
      <c r="A22" t="s">
        <v>19</v>
      </c>
      <c r="B22">
        <v>4</v>
      </c>
      <c r="C22">
        <v>11</v>
      </c>
      <c r="D22">
        <v>4</v>
      </c>
    </row>
    <row r="23" spans="1:4" x14ac:dyDescent="0.25">
      <c r="A23" t="s">
        <v>20</v>
      </c>
      <c r="B23">
        <v>9</v>
      </c>
      <c r="C23">
        <v>32</v>
      </c>
      <c r="D23">
        <v>16</v>
      </c>
    </row>
    <row r="24" spans="1:4" x14ac:dyDescent="0.25">
      <c r="A24" t="s">
        <v>21</v>
      </c>
      <c r="B24">
        <v>3</v>
      </c>
      <c r="C24">
        <v>6</v>
      </c>
      <c r="D24">
        <v>2</v>
      </c>
    </row>
    <row r="25" spans="1:4" x14ac:dyDescent="0.25">
      <c r="A25" t="s">
        <v>22</v>
      </c>
      <c r="B25">
        <v>6</v>
      </c>
      <c r="C25">
        <v>16</v>
      </c>
      <c r="D25">
        <v>0</v>
      </c>
    </row>
    <row r="26" spans="1:4" x14ac:dyDescent="0.25">
      <c r="A26" t="s">
        <v>23</v>
      </c>
      <c r="B26">
        <v>2</v>
      </c>
      <c r="C26">
        <v>4</v>
      </c>
      <c r="D26">
        <v>4</v>
      </c>
    </row>
    <row r="27" spans="1:4" x14ac:dyDescent="0.25">
      <c r="A27" t="s">
        <v>24</v>
      </c>
      <c r="B27">
        <v>1</v>
      </c>
      <c r="C27">
        <v>2</v>
      </c>
      <c r="D27">
        <v>0</v>
      </c>
    </row>
    <row r="28" spans="1:4" x14ac:dyDescent="0.25">
      <c r="A28" t="s">
        <v>25</v>
      </c>
      <c r="B28">
        <v>1</v>
      </c>
      <c r="C28">
        <v>18</v>
      </c>
      <c r="D28">
        <v>0</v>
      </c>
    </row>
    <row r="29" spans="1:4" x14ac:dyDescent="0.25">
      <c r="A29" t="s">
        <v>26</v>
      </c>
      <c r="B29">
        <v>1</v>
      </c>
      <c r="C29">
        <v>2</v>
      </c>
      <c r="D29">
        <v>2</v>
      </c>
    </row>
    <row r="30" spans="1:4" x14ac:dyDescent="0.25">
      <c r="A30" t="s">
        <v>27</v>
      </c>
      <c r="B30">
        <v>4</v>
      </c>
      <c r="C30">
        <v>9</v>
      </c>
      <c r="D30">
        <v>3</v>
      </c>
    </row>
    <row r="31" spans="1:4" x14ac:dyDescent="0.25">
      <c r="A31" t="s">
        <v>28</v>
      </c>
      <c r="B31">
        <f>SUM(B21:B30)</f>
        <v>38</v>
      </c>
      <c r="C31">
        <f>SUM(C21:C30)</f>
        <v>119</v>
      </c>
      <c r="D31">
        <f>SUM(D21:D30)</f>
        <v>39</v>
      </c>
    </row>
    <row r="33" spans="1:5" x14ac:dyDescent="0.25">
      <c r="A33" t="s">
        <v>37</v>
      </c>
      <c r="B33" t="s">
        <v>29</v>
      </c>
      <c r="C33" t="s">
        <v>10</v>
      </c>
      <c r="D33" t="s">
        <v>11</v>
      </c>
      <c r="E33" t="s">
        <v>135</v>
      </c>
    </row>
    <row r="34" spans="1:5" x14ac:dyDescent="0.25">
      <c r="A34" t="s">
        <v>30</v>
      </c>
      <c r="B34" t="s">
        <v>1</v>
      </c>
      <c r="C34">
        <v>4</v>
      </c>
      <c r="D34">
        <v>69</v>
      </c>
      <c r="E34">
        <v>67</v>
      </c>
    </row>
    <row r="35" spans="1:5" x14ac:dyDescent="0.25">
      <c r="A35" t="s">
        <v>31</v>
      </c>
      <c r="B35" t="s">
        <v>1</v>
      </c>
      <c r="C35">
        <v>3</v>
      </c>
      <c r="D35">
        <v>39</v>
      </c>
      <c r="E35">
        <v>38</v>
      </c>
    </row>
    <row r="36" spans="1:5" x14ac:dyDescent="0.25">
      <c r="A36" t="s">
        <v>31</v>
      </c>
      <c r="B36" t="s">
        <v>32</v>
      </c>
      <c r="C36">
        <v>1</v>
      </c>
      <c r="D36">
        <v>6</v>
      </c>
      <c r="E36">
        <v>5</v>
      </c>
    </row>
    <row r="37" spans="1:5" x14ac:dyDescent="0.25">
      <c r="A37" t="s">
        <v>33</v>
      </c>
      <c r="B37" t="s">
        <v>1</v>
      </c>
      <c r="C37">
        <v>3</v>
      </c>
      <c r="D37">
        <v>31</v>
      </c>
      <c r="E37">
        <v>16</v>
      </c>
    </row>
    <row r="38" spans="1:5" x14ac:dyDescent="0.25">
      <c r="A38" t="s">
        <v>33</v>
      </c>
      <c r="B38" t="s">
        <v>34</v>
      </c>
      <c r="C38">
        <v>1</v>
      </c>
      <c r="D38">
        <v>5</v>
      </c>
      <c r="E38">
        <v>5</v>
      </c>
    </row>
    <row r="39" spans="1:5" x14ac:dyDescent="0.25">
      <c r="A39" t="s">
        <v>35</v>
      </c>
      <c r="B39" t="s">
        <v>4</v>
      </c>
      <c r="C39">
        <v>1</v>
      </c>
      <c r="D39">
        <v>3</v>
      </c>
      <c r="E39">
        <v>3</v>
      </c>
    </row>
    <row r="40" spans="1:5" x14ac:dyDescent="0.25">
      <c r="A40" t="s">
        <v>36</v>
      </c>
      <c r="B40" t="s">
        <v>1</v>
      </c>
      <c r="C40">
        <v>1</v>
      </c>
      <c r="D40">
        <v>19</v>
      </c>
      <c r="E40">
        <v>17</v>
      </c>
    </row>
    <row r="41" spans="1:5" x14ac:dyDescent="0.25">
      <c r="A41" t="s">
        <v>38</v>
      </c>
      <c r="B41" t="s">
        <v>1</v>
      </c>
      <c r="C41">
        <v>1</v>
      </c>
      <c r="D41">
        <v>20</v>
      </c>
      <c r="E41">
        <v>18</v>
      </c>
    </row>
    <row r="42" spans="1:5" x14ac:dyDescent="0.25">
      <c r="A42" t="s">
        <v>39</v>
      </c>
      <c r="B42" t="s">
        <v>1</v>
      </c>
      <c r="C42">
        <v>1</v>
      </c>
      <c r="D42">
        <v>10</v>
      </c>
      <c r="E42">
        <v>9</v>
      </c>
    </row>
    <row r="44" spans="1:5" x14ac:dyDescent="0.25">
      <c r="A44" s="3" t="s">
        <v>40</v>
      </c>
      <c r="B44" s="3" t="s">
        <v>29</v>
      </c>
      <c r="C44" s="3" t="s">
        <v>10</v>
      </c>
      <c r="D44" s="3" t="s">
        <v>11</v>
      </c>
      <c r="E44" s="3" t="s">
        <v>135</v>
      </c>
    </row>
    <row r="45" spans="1:5" x14ac:dyDescent="0.25">
      <c r="A45" s="1" t="s">
        <v>41</v>
      </c>
      <c r="B45" s="1" t="s">
        <v>1</v>
      </c>
      <c r="C45" s="1">
        <v>2</v>
      </c>
      <c r="D45" s="1">
        <v>5</v>
      </c>
      <c r="E45" s="1">
        <v>4</v>
      </c>
    </row>
    <row r="46" spans="1:5" x14ac:dyDescent="0.25">
      <c r="A46" s="2" t="s">
        <v>42</v>
      </c>
      <c r="B46" s="2" t="s">
        <v>1</v>
      </c>
      <c r="C46" s="2">
        <v>1</v>
      </c>
      <c r="D46" s="2">
        <v>14</v>
      </c>
      <c r="E46" s="2">
        <v>13</v>
      </c>
    </row>
    <row r="47" spans="1:5" x14ac:dyDescent="0.25">
      <c r="A47" s="1" t="s">
        <v>43</v>
      </c>
      <c r="B47" s="1" t="s">
        <v>1</v>
      </c>
      <c r="C47" s="1">
        <v>1</v>
      </c>
      <c r="D47" s="1">
        <v>8</v>
      </c>
      <c r="E47" s="1">
        <v>5</v>
      </c>
    </row>
    <row r="48" spans="1:5" x14ac:dyDescent="0.25">
      <c r="A48" s="2" t="s">
        <v>44</v>
      </c>
      <c r="B48" s="2" t="s">
        <v>1</v>
      </c>
      <c r="C48" s="2">
        <v>1</v>
      </c>
      <c r="D48" s="2">
        <v>9</v>
      </c>
      <c r="E48" s="2">
        <v>9</v>
      </c>
    </row>
    <row r="49" spans="1:5" x14ac:dyDescent="0.25">
      <c r="A49" s="4" t="s">
        <v>45</v>
      </c>
      <c r="B49" s="4" t="s">
        <v>1</v>
      </c>
      <c r="C49" s="4">
        <v>1</v>
      </c>
      <c r="D49" s="4">
        <v>11</v>
      </c>
      <c r="E49" s="4">
        <v>2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7"/>
  <sheetViews>
    <sheetView workbookViewId="0">
      <selection activeCell="B7" sqref="B7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119</v>
      </c>
      <c r="B2" t="s">
        <v>66</v>
      </c>
      <c r="C2" s="6">
        <v>1100</v>
      </c>
      <c r="D2">
        <f>1100*0.51</f>
        <v>561</v>
      </c>
    </row>
    <row r="3" spans="1:4" x14ac:dyDescent="0.25">
      <c r="A3" t="s">
        <v>28</v>
      </c>
      <c r="B3">
        <f>SUM(B2:B2)</f>
        <v>0</v>
      </c>
      <c r="C3">
        <f>SUM(C2:C2)</f>
        <v>1100</v>
      </c>
      <c r="D3">
        <f>SUM(D2:D2)</f>
        <v>561</v>
      </c>
    </row>
    <row r="5" spans="1:4" x14ac:dyDescent="0.25">
      <c r="A5" t="s">
        <v>17</v>
      </c>
      <c r="B5" t="s">
        <v>10</v>
      </c>
      <c r="C5" t="s">
        <v>11</v>
      </c>
      <c r="D5" t="s">
        <v>135</v>
      </c>
    </row>
    <row r="6" spans="1:4" x14ac:dyDescent="0.25">
      <c r="A6" t="s">
        <v>32</v>
      </c>
      <c r="B6" t="s">
        <v>66</v>
      </c>
      <c r="C6">
        <v>27</v>
      </c>
      <c r="D6">
        <v>9</v>
      </c>
    </row>
    <row r="7" spans="1:4" x14ac:dyDescent="0.25">
      <c r="A7" t="s">
        <v>28</v>
      </c>
      <c r="B7">
        <f>SUM(B6:B6)</f>
        <v>0</v>
      </c>
      <c r="C7">
        <f>SUM(C6:C6)</f>
        <v>27</v>
      </c>
      <c r="D7">
        <f>SUM(D6:D6)</f>
        <v>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8"/>
  <sheetViews>
    <sheetView workbookViewId="0">
      <selection activeCell="B26" sqref="B26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3" x14ac:dyDescent="0.25">
      <c r="A1" t="s">
        <v>0</v>
      </c>
      <c r="B1" t="s">
        <v>11</v>
      </c>
      <c r="C1" t="s">
        <v>135</v>
      </c>
    </row>
    <row r="2" spans="1:3" x14ac:dyDescent="0.25">
      <c r="A2" t="s">
        <v>76</v>
      </c>
      <c r="B2">
        <v>2</v>
      </c>
      <c r="C2">
        <v>2</v>
      </c>
    </row>
    <row r="3" spans="1:3" x14ac:dyDescent="0.25">
      <c r="A3" t="s">
        <v>4</v>
      </c>
      <c r="B3">
        <v>2</v>
      </c>
      <c r="C3">
        <v>0</v>
      </c>
    </row>
    <row r="4" spans="1:3" x14ac:dyDescent="0.25">
      <c r="A4" t="s">
        <v>120</v>
      </c>
      <c r="B4">
        <v>1</v>
      </c>
      <c r="C4">
        <v>0</v>
      </c>
    </row>
    <row r="5" spans="1:3" x14ac:dyDescent="0.25">
      <c r="A5" t="s">
        <v>3</v>
      </c>
      <c r="B5">
        <v>27</v>
      </c>
      <c r="C5">
        <v>19</v>
      </c>
    </row>
    <row r="6" spans="1:3" x14ac:dyDescent="0.25">
      <c r="A6" t="s">
        <v>115</v>
      </c>
      <c r="B6">
        <v>13</v>
      </c>
      <c r="C6">
        <v>6</v>
      </c>
    </row>
    <row r="7" spans="1:3" x14ac:dyDescent="0.25">
      <c r="A7" t="s">
        <v>121</v>
      </c>
      <c r="B7">
        <v>5</v>
      </c>
      <c r="C7">
        <v>0</v>
      </c>
    </row>
    <row r="8" spans="1:3" x14ac:dyDescent="0.25">
      <c r="A8" t="s">
        <v>8</v>
      </c>
      <c r="B8">
        <v>1</v>
      </c>
      <c r="C8">
        <v>0</v>
      </c>
    </row>
    <row r="9" spans="1:3" x14ac:dyDescent="0.25">
      <c r="A9" t="s">
        <v>1</v>
      </c>
      <c r="B9">
        <v>1027</v>
      </c>
      <c r="C9">
        <v>366</v>
      </c>
    </row>
    <row r="10" spans="1:3" x14ac:dyDescent="0.25">
      <c r="A10" t="s">
        <v>111</v>
      </c>
      <c r="B10">
        <v>40</v>
      </c>
      <c r="C10">
        <v>3</v>
      </c>
    </row>
    <row r="11" spans="1:3" x14ac:dyDescent="0.25">
      <c r="A11" t="s">
        <v>7</v>
      </c>
      <c r="B11">
        <v>20</v>
      </c>
      <c r="C11">
        <v>3</v>
      </c>
    </row>
    <row r="12" spans="1:3" x14ac:dyDescent="0.25">
      <c r="A12" t="s">
        <v>122</v>
      </c>
      <c r="B12">
        <v>28</v>
      </c>
      <c r="C12">
        <v>4</v>
      </c>
    </row>
    <row r="13" spans="1:3" x14ac:dyDescent="0.25">
      <c r="A13" t="s">
        <v>28</v>
      </c>
      <c r="B13">
        <f>SUM(B2:B12)</f>
        <v>1166</v>
      </c>
      <c r="C13">
        <f>SUM(C2:C12)</f>
        <v>403</v>
      </c>
    </row>
    <row r="15" spans="1:3" x14ac:dyDescent="0.25">
      <c r="A15" t="s">
        <v>17</v>
      </c>
      <c r="B15" t="s">
        <v>11</v>
      </c>
      <c r="C15" t="s">
        <v>135</v>
      </c>
    </row>
    <row r="16" spans="1:3" x14ac:dyDescent="0.25">
      <c r="A16" t="s">
        <v>32</v>
      </c>
      <c r="B16">
        <v>11</v>
      </c>
      <c r="C16">
        <v>0</v>
      </c>
    </row>
    <row r="17" spans="1:3" x14ac:dyDescent="0.25">
      <c r="A17" t="s">
        <v>18</v>
      </c>
      <c r="B17">
        <v>31</v>
      </c>
      <c r="C17" t="s">
        <v>66</v>
      </c>
    </row>
    <row r="18" spans="1:3" x14ac:dyDescent="0.25">
      <c r="A18" t="s">
        <v>28</v>
      </c>
      <c r="B18">
        <f>SUM(B16:B17)</f>
        <v>42</v>
      </c>
      <c r="C18">
        <f>SUM(C16:C17)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5"/>
  <sheetViews>
    <sheetView workbookViewId="0">
      <selection activeCell="A15" sqref="A15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4</v>
      </c>
      <c r="C2">
        <v>8</v>
      </c>
      <c r="D2">
        <v>2</v>
      </c>
    </row>
    <row r="3" spans="1:4" x14ac:dyDescent="0.25">
      <c r="A3" t="s">
        <v>120</v>
      </c>
      <c r="B3">
        <v>1</v>
      </c>
      <c r="C3">
        <v>1</v>
      </c>
      <c r="D3">
        <v>0</v>
      </c>
    </row>
    <row r="4" spans="1:4" x14ac:dyDescent="0.25">
      <c r="A4" t="s">
        <v>60</v>
      </c>
      <c r="B4">
        <v>3</v>
      </c>
      <c r="C4">
        <v>4</v>
      </c>
      <c r="D4">
        <v>4</v>
      </c>
    </row>
    <row r="5" spans="1:4" x14ac:dyDescent="0.25">
      <c r="A5" t="s">
        <v>3</v>
      </c>
      <c r="B5">
        <v>5</v>
      </c>
      <c r="C5">
        <v>26</v>
      </c>
      <c r="D5">
        <v>12</v>
      </c>
    </row>
    <row r="6" spans="1:4" x14ac:dyDescent="0.25">
      <c r="A6" t="s">
        <v>115</v>
      </c>
      <c r="B6">
        <v>1</v>
      </c>
      <c r="C6">
        <v>3</v>
      </c>
      <c r="D6">
        <v>3</v>
      </c>
    </row>
    <row r="7" spans="1:4" x14ac:dyDescent="0.25">
      <c r="A7" t="s">
        <v>74</v>
      </c>
      <c r="B7">
        <v>1</v>
      </c>
      <c r="C7">
        <v>2</v>
      </c>
      <c r="D7">
        <v>2</v>
      </c>
    </row>
    <row r="8" spans="1:4" x14ac:dyDescent="0.25">
      <c r="A8" t="s">
        <v>121</v>
      </c>
      <c r="B8">
        <v>1</v>
      </c>
      <c r="C8">
        <v>2</v>
      </c>
      <c r="D8">
        <v>2</v>
      </c>
    </row>
    <row r="9" spans="1:4" x14ac:dyDescent="0.25">
      <c r="A9" t="s">
        <v>46</v>
      </c>
      <c r="B9">
        <v>1</v>
      </c>
      <c r="C9">
        <v>4</v>
      </c>
      <c r="D9">
        <v>0</v>
      </c>
    </row>
    <row r="10" spans="1:4" x14ac:dyDescent="0.25">
      <c r="A10" t="s">
        <v>1</v>
      </c>
      <c r="B10">
        <v>263</v>
      </c>
      <c r="C10">
        <v>996</v>
      </c>
      <c r="D10">
        <v>444</v>
      </c>
    </row>
    <row r="11" spans="1:4" x14ac:dyDescent="0.25">
      <c r="A11" t="s">
        <v>111</v>
      </c>
      <c r="B11">
        <v>5</v>
      </c>
      <c r="C11">
        <v>34</v>
      </c>
      <c r="D11">
        <v>6</v>
      </c>
    </row>
    <row r="12" spans="1:4" x14ac:dyDescent="0.25">
      <c r="A12" t="s">
        <v>7</v>
      </c>
      <c r="B12">
        <v>18</v>
      </c>
      <c r="C12">
        <v>60</v>
      </c>
      <c r="D12">
        <v>18</v>
      </c>
    </row>
    <row r="13" spans="1:4" x14ac:dyDescent="0.25">
      <c r="A13" t="s">
        <v>122</v>
      </c>
      <c r="B13">
        <v>13</v>
      </c>
      <c r="C13">
        <v>40</v>
      </c>
      <c r="D13">
        <v>15</v>
      </c>
    </row>
    <row r="14" spans="1:4" x14ac:dyDescent="0.25">
      <c r="A14" t="s">
        <v>59</v>
      </c>
      <c r="B14">
        <v>1</v>
      </c>
      <c r="C14">
        <v>2</v>
      </c>
      <c r="D14">
        <v>0</v>
      </c>
    </row>
    <row r="15" spans="1:4" x14ac:dyDescent="0.25">
      <c r="A15" t="s">
        <v>28</v>
      </c>
      <c r="B15">
        <f>SUM(B2:B14)</f>
        <v>317</v>
      </c>
      <c r="C15">
        <f>SUM(C2:C14)</f>
        <v>1182</v>
      </c>
      <c r="D15">
        <f>SUM(D2:D14)</f>
        <v>508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3"/>
  <sheetViews>
    <sheetView workbookViewId="0">
      <selection activeCell="D13" sqref="D13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7</v>
      </c>
      <c r="C2">
        <v>15</v>
      </c>
      <c r="D2">
        <v>9</v>
      </c>
    </row>
    <row r="3" spans="1:4" x14ac:dyDescent="0.25">
      <c r="A3" t="s">
        <v>123</v>
      </c>
      <c r="B3">
        <v>2</v>
      </c>
      <c r="C3">
        <v>5</v>
      </c>
      <c r="D3">
        <v>5</v>
      </c>
    </row>
    <row r="4" spans="1:4" x14ac:dyDescent="0.25">
      <c r="A4" t="s">
        <v>107</v>
      </c>
      <c r="B4">
        <v>1</v>
      </c>
      <c r="C4">
        <v>1</v>
      </c>
      <c r="D4">
        <v>0</v>
      </c>
    </row>
    <row r="5" spans="1:4" x14ac:dyDescent="0.25">
      <c r="A5" t="s">
        <v>60</v>
      </c>
      <c r="B5">
        <v>3</v>
      </c>
      <c r="C5">
        <v>12</v>
      </c>
      <c r="D5">
        <v>7</v>
      </c>
    </row>
    <row r="6" spans="1:4" x14ac:dyDescent="0.25">
      <c r="A6" t="s">
        <v>3</v>
      </c>
      <c r="B6">
        <v>5</v>
      </c>
      <c r="C6">
        <v>22</v>
      </c>
      <c r="D6">
        <v>11</v>
      </c>
    </row>
    <row r="7" spans="1:4" x14ac:dyDescent="0.25">
      <c r="A7" t="s">
        <v>74</v>
      </c>
      <c r="B7">
        <v>1</v>
      </c>
      <c r="C7">
        <v>3</v>
      </c>
      <c r="D7">
        <v>0</v>
      </c>
    </row>
    <row r="8" spans="1:4" x14ac:dyDescent="0.25">
      <c r="A8" t="s">
        <v>69</v>
      </c>
      <c r="B8">
        <v>1</v>
      </c>
      <c r="C8">
        <v>1</v>
      </c>
      <c r="D8">
        <v>1</v>
      </c>
    </row>
    <row r="9" spans="1:4" x14ac:dyDescent="0.25">
      <c r="A9" t="s">
        <v>1</v>
      </c>
      <c r="B9">
        <v>280</v>
      </c>
      <c r="C9">
        <v>1048</v>
      </c>
      <c r="D9">
        <v>556</v>
      </c>
    </row>
    <row r="10" spans="1:4" x14ac:dyDescent="0.25">
      <c r="A10" t="s">
        <v>111</v>
      </c>
      <c r="B10">
        <v>8</v>
      </c>
      <c r="C10">
        <v>39</v>
      </c>
      <c r="D10">
        <v>24</v>
      </c>
    </row>
    <row r="11" spans="1:4" x14ac:dyDescent="0.25">
      <c r="A11" t="s">
        <v>7</v>
      </c>
      <c r="B11">
        <v>11</v>
      </c>
      <c r="C11">
        <v>31</v>
      </c>
      <c r="D11">
        <v>4</v>
      </c>
    </row>
    <row r="12" spans="1:4" x14ac:dyDescent="0.25">
      <c r="A12" t="s">
        <v>122</v>
      </c>
      <c r="B12">
        <v>13</v>
      </c>
      <c r="C12">
        <v>32</v>
      </c>
      <c r="D12">
        <v>16</v>
      </c>
    </row>
    <row r="13" spans="1:4" x14ac:dyDescent="0.25">
      <c r="A13" t="s">
        <v>28</v>
      </c>
      <c r="B13">
        <f>SUM(B2:B12)</f>
        <v>332</v>
      </c>
      <c r="C13">
        <f>SUM(C2:C12)</f>
        <v>1209</v>
      </c>
      <c r="D13">
        <f>SUM(D2:D12)</f>
        <v>633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9"/>
  <sheetViews>
    <sheetView workbookViewId="0">
      <selection activeCell="B19" sqref="B19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76</v>
      </c>
      <c r="B2">
        <v>1</v>
      </c>
      <c r="C2">
        <v>1</v>
      </c>
      <c r="D2">
        <v>0</v>
      </c>
    </row>
    <row r="3" spans="1:4" x14ac:dyDescent="0.25">
      <c r="A3" t="s">
        <v>4</v>
      </c>
      <c r="B3">
        <v>11</v>
      </c>
      <c r="C3">
        <v>26</v>
      </c>
      <c r="D3" s="5">
        <v>13</v>
      </c>
    </row>
    <row r="4" spans="1:4" x14ac:dyDescent="0.25">
      <c r="A4" t="s">
        <v>3</v>
      </c>
      <c r="B4">
        <v>2</v>
      </c>
      <c r="C4">
        <v>19</v>
      </c>
      <c r="D4">
        <v>0</v>
      </c>
    </row>
    <row r="5" spans="1:4" x14ac:dyDescent="0.25">
      <c r="A5" t="s">
        <v>110</v>
      </c>
      <c r="B5">
        <v>5</v>
      </c>
      <c r="C5">
        <v>19</v>
      </c>
      <c r="D5">
        <v>11</v>
      </c>
    </row>
    <row r="6" spans="1:4" x14ac:dyDescent="0.25">
      <c r="A6" t="s">
        <v>124</v>
      </c>
      <c r="B6">
        <v>3</v>
      </c>
      <c r="C6">
        <v>6</v>
      </c>
      <c r="D6">
        <v>2</v>
      </c>
    </row>
    <row r="7" spans="1:4" x14ac:dyDescent="0.25">
      <c r="A7" t="s">
        <v>116</v>
      </c>
      <c r="B7">
        <v>1</v>
      </c>
      <c r="C7">
        <v>2</v>
      </c>
      <c r="D7" s="5">
        <v>2</v>
      </c>
    </row>
    <row r="8" spans="1:4" x14ac:dyDescent="0.25">
      <c r="A8" t="s">
        <v>46</v>
      </c>
      <c r="B8">
        <v>2</v>
      </c>
      <c r="C8">
        <v>3</v>
      </c>
      <c r="D8">
        <v>0</v>
      </c>
    </row>
    <row r="9" spans="1:4" x14ac:dyDescent="0.25">
      <c r="A9" t="s">
        <v>8</v>
      </c>
      <c r="B9">
        <v>1</v>
      </c>
      <c r="C9">
        <v>2</v>
      </c>
      <c r="D9" s="5">
        <v>0</v>
      </c>
    </row>
    <row r="10" spans="1:4" x14ac:dyDescent="0.25">
      <c r="A10" t="s">
        <v>1</v>
      </c>
      <c r="B10">
        <v>292</v>
      </c>
      <c r="C10">
        <v>1109</v>
      </c>
      <c r="D10" s="5">
        <v>670</v>
      </c>
    </row>
    <row r="11" spans="1:4" x14ac:dyDescent="0.25">
      <c r="A11" t="s">
        <v>111</v>
      </c>
      <c r="B11">
        <v>8</v>
      </c>
      <c r="C11">
        <v>45</v>
      </c>
      <c r="D11" s="5">
        <v>33</v>
      </c>
    </row>
    <row r="12" spans="1:4" x14ac:dyDescent="0.25">
      <c r="A12" t="s">
        <v>7</v>
      </c>
      <c r="B12">
        <v>19</v>
      </c>
      <c r="C12">
        <v>40</v>
      </c>
      <c r="D12" s="5">
        <v>16</v>
      </c>
    </row>
    <row r="13" spans="1:4" x14ac:dyDescent="0.25">
      <c r="A13" t="s">
        <v>122</v>
      </c>
      <c r="B13">
        <v>12</v>
      </c>
      <c r="C13">
        <v>32</v>
      </c>
      <c r="D13">
        <v>25</v>
      </c>
    </row>
    <row r="14" spans="1:4" x14ac:dyDescent="0.25">
      <c r="A14" t="s">
        <v>59</v>
      </c>
      <c r="B14">
        <v>1</v>
      </c>
      <c r="C14">
        <v>1</v>
      </c>
      <c r="D14">
        <v>0</v>
      </c>
    </row>
    <row r="15" spans="1:4" x14ac:dyDescent="0.25">
      <c r="A15" t="s">
        <v>28</v>
      </c>
      <c r="B15">
        <f>SUM(B2:B14)</f>
        <v>358</v>
      </c>
      <c r="C15">
        <f>SUM(C2:C14)</f>
        <v>1305</v>
      </c>
      <c r="D15">
        <f>SUM(D2:D14)</f>
        <v>772</v>
      </c>
    </row>
    <row r="17" spans="1:4" x14ac:dyDescent="0.25">
      <c r="A17" t="s">
        <v>17</v>
      </c>
      <c r="B17" t="s">
        <v>10</v>
      </c>
      <c r="C17" t="s">
        <v>11</v>
      </c>
      <c r="D17" t="s">
        <v>135</v>
      </c>
    </row>
    <row r="18" spans="1:4" x14ac:dyDescent="0.25">
      <c r="A18" t="s">
        <v>32</v>
      </c>
      <c r="B18">
        <v>17</v>
      </c>
      <c r="C18">
        <v>40</v>
      </c>
      <c r="D18" s="5">
        <v>11</v>
      </c>
    </row>
    <row r="19" spans="1:4" x14ac:dyDescent="0.25">
      <c r="A19" t="s">
        <v>28</v>
      </c>
      <c r="B19">
        <f>SUM(B18:B18)</f>
        <v>17</v>
      </c>
      <c r="C19">
        <f>SUM(C18:C18)</f>
        <v>40</v>
      </c>
      <c r="D19">
        <f>SUM(D18:D18)</f>
        <v>11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9"/>
  <sheetViews>
    <sheetView workbookViewId="0">
      <selection activeCell="D37" sqref="D37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4</v>
      </c>
      <c r="C2">
        <v>7</v>
      </c>
      <c r="D2">
        <v>4</v>
      </c>
    </row>
    <row r="3" spans="1:4" x14ac:dyDescent="0.25">
      <c r="A3" t="s">
        <v>125</v>
      </c>
      <c r="B3">
        <v>1</v>
      </c>
      <c r="C3">
        <v>2</v>
      </c>
      <c r="D3" s="5">
        <v>2</v>
      </c>
    </row>
    <row r="4" spans="1:4" x14ac:dyDescent="0.25">
      <c r="A4" t="s">
        <v>120</v>
      </c>
      <c r="B4">
        <v>1</v>
      </c>
      <c r="C4">
        <v>2</v>
      </c>
      <c r="D4">
        <v>0</v>
      </c>
    </row>
    <row r="5" spans="1:4" x14ac:dyDescent="0.25">
      <c r="A5" t="s">
        <v>60</v>
      </c>
      <c r="B5">
        <v>1</v>
      </c>
      <c r="C5">
        <v>2</v>
      </c>
      <c r="D5">
        <v>0</v>
      </c>
    </row>
    <row r="6" spans="1:4" x14ac:dyDescent="0.25">
      <c r="A6" t="s">
        <v>3</v>
      </c>
      <c r="B6">
        <v>5</v>
      </c>
      <c r="C6">
        <v>29</v>
      </c>
      <c r="D6">
        <v>8</v>
      </c>
    </row>
    <row r="7" spans="1:4" x14ac:dyDescent="0.25">
      <c r="A7" t="s">
        <v>110</v>
      </c>
      <c r="B7">
        <v>1</v>
      </c>
      <c r="C7">
        <v>4</v>
      </c>
      <c r="D7" s="5">
        <v>3</v>
      </c>
    </row>
    <row r="8" spans="1:4" x14ac:dyDescent="0.25">
      <c r="A8" t="s">
        <v>74</v>
      </c>
      <c r="B8">
        <v>1</v>
      </c>
      <c r="C8">
        <v>2</v>
      </c>
      <c r="D8">
        <v>0</v>
      </c>
    </row>
    <row r="9" spans="1:4" x14ac:dyDescent="0.25">
      <c r="A9" t="s">
        <v>69</v>
      </c>
      <c r="B9">
        <v>1</v>
      </c>
      <c r="C9">
        <v>2</v>
      </c>
      <c r="D9" s="5">
        <v>0</v>
      </c>
    </row>
    <row r="10" spans="1:4" x14ac:dyDescent="0.25">
      <c r="A10" t="s">
        <v>13</v>
      </c>
      <c r="B10">
        <v>1</v>
      </c>
      <c r="C10">
        <v>1</v>
      </c>
      <c r="D10" s="5">
        <v>0</v>
      </c>
    </row>
    <row r="11" spans="1:4" x14ac:dyDescent="0.25">
      <c r="A11" t="s">
        <v>1</v>
      </c>
      <c r="B11">
        <v>280</v>
      </c>
      <c r="C11">
        <v>1093</v>
      </c>
      <c r="D11" s="5">
        <v>575</v>
      </c>
    </row>
    <row r="12" spans="1:4" x14ac:dyDescent="0.25">
      <c r="A12" t="s">
        <v>111</v>
      </c>
      <c r="B12">
        <v>4</v>
      </c>
      <c r="C12">
        <v>18</v>
      </c>
      <c r="D12" s="5">
        <v>12</v>
      </c>
    </row>
    <row r="13" spans="1:4" x14ac:dyDescent="0.25">
      <c r="A13" t="s">
        <v>7</v>
      </c>
      <c r="B13">
        <v>21</v>
      </c>
      <c r="C13">
        <v>54</v>
      </c>
      <c r="D13">
        <v>31</v>
      </c>
    </row>
    <row r="14" spans="1:4" x14ac:dyDescent="0.25">
      <c r="A14" t="s">
        <v>122</v>
      </c>
      <c r="B14">
        <v>7</v>
      </c>
      <c r="C14">
        <v>16</v>
      </c>
      <c r="D14">
        <v>10</v>
      </c>
    </row>
    <row r="15" spans="1:4" x14ac:dyDescent="0.25">
      <c r="A15" t="s">
        <v>28</v>
      </c>
      <c r="B15">
        <f>SUM(B2:B14)</f>
        <v>328</v>
      </c>
      <c r="C15">
        <f>SUM(C2:C14)</f>
        <v>1232</v>
      </c>
      <c r="D15">
        <f>SUM(D2:D14)</f>
        <v>645</v>
      </c>
    </row>
    <row r="17" spans="1:4" x14ac:dyDescent="0.25">
      <c r="A17" t="s">
        <v>17</v>
      </c>
      <c r="B17" t="s">
        <v>10</v>
      </c>
      <c r="C17" t="s">
        <v>11</v>
      </c>
      <c r="D17" t="s">
        <v>135</v>
      </c>
    </row>
    <row r="18" spans="1:4" x14ac:dyDescent="0.25">
      <c r="A18" t="s">
        <v>32</v>
      </c>
      <c r="B18">
        <v>14</v>
      </c>
      <c r="C18">
        <v>36</v>
      </c>
      <c r="D18" s="5">
        <v>7</v>
      </c>
    </row>
    <row r="19" spans="1:4" x14ac:dyDescent="0.25">
      <c r="A19" t="s">
        <v>28</v>
      </c>
      <c r="B19">
        <f>SUM(B18:B18)</f>
        <v>14</v>
      </c>
      <c r="C19">
        <f>SUM(C18:C18)</f>
        <v>36</v>
      </c>
      <c r="D19">
        <f>SUM(D18:D18)</f>
        <v>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9"/>
  <sheetViews>
    <sheetView workbookViewId="0">
      <selection activeCell="B2" sqref="B2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5</v>
      </c>
      <c r="C2">
        <v>10</v>
      </c>
      <c r="D2">
        <v>5</v>
      </c>
    </row>
    <row r="3" spans="1:4" x14ac:dyDescent="0.25">
      <c r="A3" t="s">
        <v>126</v>
      </c>
      <c r="B3">
        <v>1</v>
      </c>
      <c r="C3">
        <v>4</v>
      </c>
      <c r="D3">
        <v>0</v>
      </c>
    </row>
    <row r="4" spans="1:4" x14ac:dyDescent="0.25">
      <c r="A4" t="s">
        <v>60</v>
      </c>
      <c r="B4">
        <v>2</v>
      </c>
      <c r="C4">
        <v>5</v>
      </c>
      <c r="D4" s="5">
        <v>2</v>
      </c>
    </row>
    <row r="5" spans="1:4" x14ac:dyDescent="0.25">
      <c r="A5" t="s">
        <v>3</v>
      </c>
      <c r="B5">
        <v>3</v>
      </c>
      <c r="C5">
        <v>19</v>
      </c>
      <c r="D5">
        <v>17</v>
      </c>
    </row>
    <row r="6" spans="1:4" x14ac:dyDescent="0.25">
      <c r="A6" t="s">
        <v>127</v>
      </c>
      <c r="B6">
        <v>1</v>
      </c>
      <c r="C6">
        <v>2</v>
      </c>
      <c r="D6">
        <v>2</v>
      </c>
    </row>
    <row r="7" spans="1:4" x14ac:dyDescent="0.25">
      <c r="A7" t="s">
        <v>124</v>
      </c>
      <c r="B7">
        <v>1</v>
      </c>
      <c r="C7">
        <v>2</v>
      </c>
      <c r="D7">
        <v>0</v>
      </c>
    </row>
    <row r="8" spans="1:4" x14ac:dyDescent="0.25">
      <c r="A8" t="s">
        <v>74</v>
      </c>
      <c r="B8">
        <v>1</v>
      </c>
      <c r="C8">
        <v>6</v>
      </c>
      <c r="D8" s="5">
        <v>3</v>
      </c>
    </row>
    <row r="9" spans="1:4" x14ac:dyDescent="0.25">
      <c r="A9" t="s">
        <v>121</v>
      </c>
      <c r="B9">
        <v>1</v>
      </c>
      <c r="C9">
        <v>8</v>
      </c>
      <c r="D9">
        <v>3</v>
      </c>
    </row>
    <row r="10" spans="1:4" x14ac:dyDescent="0.25">
      <c r="A10" t="s">
        <v>128</v>
      </c>
      <c r="B10">
        <v>2</v>
      </c>
      <c r="C10">
        <v>5</v>
      </c>
      <c r="D10" s="5">
        <v>0</v>
      </c>
    </row>
    <row r="11" spans="1:4" x14ac:dyDescent="0.25">
      <c r="A11" t="s">
        <v>1</v>
      </c>
      <c r="B11">
        <v>261</v>
      </c>
      <c r="C11">
        <v>952</v>
      </c>
      <c r="D11" s="5">
        <v>556</v>
      </c>
    </row>
    <row r="12" spans="1:4" x14ac:dyDescent="0.25">
      <c r="A12" t="s">
        <v>111</v>
      </c>
      <c r="B12">
        <v>8</v>
      </c>
      <c r="C12">
        <v>53</v>
      </c>
      <c r="D12" s="5">
        <v>47</v>
      </c>
    </row>
    <row r="13" spans="1:4" x14ac:dyDescent="0.25">
      <c r="A13" t="s">
        <v>7</v>
      </c>
      <c r="B13">
        <v>21</v>
      </c>
      <c r="C13">
        <v>65</v>
      </c>
      <c r="D13">
        <v>20</v>
      </c>
    </row>
    <row r="14" spans="1:4" x14ac:dyDescent="0.25">
      <c r="A14" t="s">
        <v>122</v>
      </c>
      <c r="B14">
        <v>18</v>
      </c>
      <c r="C14">
        <v>48</v>
      </c>
      <c r="D14">
        <v>33</v>
      </c>
    </row>
    <row r="15" spans="1:4" x14ac:dyDescent="0.25">
      <c r="A15" t="s">
        <v>28</v>
      </c>
      <c r="B15">
        <f>SUM(B2:B14)</f>
        <v>325</v>
      </c>
      <c r="C15">
        <f>SUM(C2:C14)</f>
        <v>1179</v>
      </c>
      <c r="D15">
        <f>SUM(D2:D14)</f>
        <v>688</v>
      </c>
    </row>
    <row r="17" spans="1:4" x14ac:dyDescent="0.25">
      <c r="A17" t="s">
        <v>17</v>
      </c>
      <c r="B17" t="s">
        <v>10</v>
      </c>
      <c r="C17" t="s">
        <v>11</v>
      </c>
      <c r="D17" t="s">
        <v>135</v>
      </c>
    </row>
    <row r="18" spans="1:4" x14ac:dyDescent="0.25">
      <c r="A18" t="s">
        <v>32</v>
      </c>
      <c r="B18">
        <v>13</v>
      </c>
      <c r="C18">
        <v>34</v>
      </c>
      <c r="D18" s="5">
        <v>2</v>
      </c>
    </row>
    <row r="19" spans="1:4" x14ac:dyDescent="0.25">
      <c r="A19" t="s">
        <v>28</v>
      </c>
      <c r="B19">
        <f>SUM(B18:B18)</f>
        <v>13</v>
      </c>
      <c r="C19">
        <f>SUM(C18:C18)</f>
        <v>34</v>
      </c>
      <c r="D19">
        <f>SUM(D18:D18)</f>
        <v>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5"/>
  <sheetViews>
    <sheetView workbookViewId="0">
      <selection activeCell="A15" sqref="A15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1</v>
      </c>
      <c r="C2">
        <v>2</v>
      </c>
      <c r="D2">
        <v>2</v>
      </c>
    </row>
    <row r="3" spans="1:4" x14ac:dyDescent="0.25">
      <c r="A3" t="s">
        <v>60</v>
      </c>
      <c r="B3">
        <v>2</v>
      </c>
      <c r="C3">
        <v>6</v>
      </c>
      <c r="D3" s="5">
        <v>1</v>
      </c>
    </row>
    <row r="4" spans="1:4" x14ac:dyDescent="0.25">
      <c r="A4" t="s">
        <v>3</v>
      </c>
      <c r="B4">
        <v>4</v>
      </c>
      <c r="C4">
        <v>25</v>
      </c>
      <c r="D4">
        <v>0</v>
      </c>
    </row>
    <row r="5" spans="1:4" x14ac:dyDescent="0.25">
      <c r="A5" t="s">
        <v>110</v>
      </c>
      <c r="B5">
        <v>1</v>
      </c>
      <c r="C5">
        <v>3</v>
      </c>
      <c r="D5">
        <v>0</v>
      </c>
    </row>
    <row r="6" spans="1:4" x14ac:dyDescent="0.25">
      <c r="A6" t="s">
        <v>74</v>
      </c>
      <c r="B6">
        <v>1</v>
      </c>
      <c r="C6">
        <v>2</v>
      </c>
      <c r="D6" s="5">
        <v>0</v>
      </c>
    </row>
    <row r="7" spans="1:4" x14ac:dyDescent="0.25">
      <c r="A7" t="s">
        <v>1</v>
      </c>
      <c r="B7">
        <v>289</v>
      </c>
      <c r="C7">
        <v>1173</v>
      </c>
      <c r="D7" s="5">
        <v>628</v>
      </c>
    </row>
    <row r="8" spans="1:4" x14ac:dyDescent="0.25">
      <c r="A8" t="s">
        <v>111</v>
      </c>
      <c r="B8">
        <v>1</v>
      </c>
      <c r="C8">
        <v>3</v>
      </c>
      <c r="D8" s="5">
        <v>0</v>
      </c>
    </row>
    <row r="9" spans="1:4" x14ac:dyDescent="0.25">
      <c r="A9" t="s">
        <v>7</v>
      </c>
      <c r="B9">
        <v>15</v>
      </c>
      <c r="C9">
        <v>40</v>
      </c>
      <c r="D9">
        <v>14</v>
      </c>
    </row>
    <row r="10" spans="1:4" x14ac:dyDescent="0.25">
      <c r="A10" t="s">
        <v>122</v>
      </c>
      <c r="B10">
        <v>9</v>
      </c>
      <c r="C10">
        <v>21</v>
      </c>
      <c r="D10">
        <v>11</v>
      </c>
    </row>
    <row r="11" spans="1:4" x14ac:dyDescent="0.25">
      <c r="A11" t="s">
        <v>28</v>
      </c>
      <c r="B11">
        <f>SUM(B2:B10)</f>
        <v>323</v>
      </c>
      <c r="C11">
        <f>SUM(C2:C10)</f>
        <v>1275</v>
      </c>
      <c r="D11">
        <f>SUM(D2:D10)</f>
        <v>656</v>
      </c>
    </row>
    <row r="13" spans="1:4" x14ac:dyDescent="0.25">
      <c r="A13" t="s">
        <v>17</v>
      </c>
      <c r="B13" t="s">
        <v>10</v>
      </c>
      <c r="C13" t="s">
        <v>11</v>
      </c>
      <c r="D13" t="s">
        <v>135</v>
      </c>
    </row>
    <row r="14" spans="1:4" x14ac:dyDescent="0.25">
      <c r="A14" t="s">
        <v>32</v>
      </c>
      <c r="B14">
        <v>6</v>
      </c>
      <c r="C14">
        <v>16</v>
      </c>
      <c r="D14" s="5">
        <v>4</v>
      </c>
    </row>
    <row r="15" spans="1:4" x14ac:dyDescent="0.25">
      <c r="A15" t="s">
        <v>28</v>
      </c>
      <c r="B15">
        <f>SUM(B14:B14)</f>
        <v>6</v>
      </c>
      <c r="C15">
        <f>SUM(C14:C14)</f>
        <v>16</v>
      </c>
      <c r="D15">
        <f>SUM(D14:D14)</f>
        <v>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8"/>
  <sheetViews>
    <sheetView workbookViewId="0">
      <selection activeCell="B19" sqref="B19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6</v>
      </c>
      <c r="C2">
        <v>13</v>
      </c>
      <c r="D2">
        <v>11</v>
      </c>
    </row>
    <row r="3" spans="1:4" x14ac:dyDescent="0.25">
      <c r="A3" t="s">
        <v>125</v>
      </c>
      <c r="B3">
        <v>1</v>
      </c>
      <c r="C3">
        <v>2</v>
      </c>
      <c r="D3">
        <v>2</v>
      </c>
    </row>
    <row r="4" spans="1:4" x14ac:dyDescent="0.25">
      <c r="A4" t="s">
        <v>47</v>
      </c>
      <c r="B4">
        <v>1</v>
      </c>
      <c r="C4">
        <v>2</v>
      </c>
      <c r="D4">
        <v>0</v>
      </c>
    </row>
    <row r="5" spans="1:4" x14ac:dyDescent="0.25">
      <c r="A5" t="s">
        <v>129</v>
      </c>
      <c r="B5">
        <v>1</v>
      </c>
      <c r="C5">
        <v>2</v>
      </c>
      <c r="D5">
        <v>0</v>
      </c>
    </row>
    <row r="6" spans="1:4" x14ac:dyDescent="0.25">
      <c r="A6" t="s">
        <v>3</v>
      </c>
      <c r="B6">
        <v>3</v>
      </c>
      <c r="C6">
        <v>19</v>
      </c>
      <c r="D6" s="5">
        <v>14</v>
      </c>
    </row>
    <row r="7" spans="1:4" ht="15.75" customHeight="1" x14ac:dyDescent="0.25">
      <c r="A7" t="s">
        <v>110</v>
      </c>
      <c r="B7">
        <v>4</v>
      </c>
      <c r="C7">
        <v>10</v>
      </c>
      <c r="D7">
        <v>5</v>
      </c>
    </row>
    <row r="8" spans="1:4" x14ac:dyDescent="0.25">
      <c r="A8" t="s">
        <v>124</v>
      </c>
      <c r="B8">
        <v>1</v>
      </c>
      <c r="C8">
        <v>2</v>
      </c>
      <c r="D8">
        <v>2</v>
      </c>
    </row>
    <row r="9" spans="1:4" x14ac:dyDescent="0.25">
      <c r="A9" t="s">
        <v>46</v>
      </c>
      <c r="B9">
        <v>1</v>
      </c>
      <c r="C9">
        <v>2</v>
      </c>
      <c r="D9" s="5">
        <v>0</v>
      </c>
    </row>
    <row r="10" spans="1:4" x14ac:dyDescent="0.25">
      <c r="A10" t="s">
        <v>1</v>
      </c>
      <c r="B10">
        <v>294</v>
      </c>
      <c r="C10">
        <v>1208</v>
      </c>
      <c r="D10" s="5">
        <v>716</v>
      </c>
    </row>
    <row r="11" spans="1:4" x14ac:dyDescent="0.25">
      <c r="A11" t="s">
        <v>111</v>
      </c>
      <c r="B11">
        <v>3</v>
      </c>
      <c r="C11">
        <v>17</v>
      </c>
      <c r="D11" s="5">
        <v>3</v>
      </c>
    </row>
    <row r="12" spans="1:4" x14ac:dyDescent="0.25">
      <c r="A12" t="s">
        <v>7</v>
      </c>
      <c r="B12">
        <v>13</v>
      </c>
      <c r="C12">
        <v>40</v>
      </c>
      <c r="D12">
        <v>12</v>
      </c>
    </row>
    <row r="13" spans="1:4" x14ac:dyDescent="0.25">
      <c r="A13" t="s">
        <v>122</v>
      </c>
      <c r="B13">
        <v>8</v>
      </c>
      <c r="C13">
        <v>23</v>
      </c>
      <c r="D13">
        <v>10</v>
      </c>
    </row>
    <row r="14" spans="1:4" x14ac:dyDescent="0.25">
      <c r="A14" t="s">
        <v>28</v>
      </c>
      <c r="B14">
        <f>SUM(B2:B13)</f>
        <v>336</v>
      </c>
      <c r="C14">
        <f>SUM(C2:C13)</f>
        <v>1340</v>
      </c>
      <c r="D14">
        <f>SUM(D2:D13)</f>
        <v>775</v>
      </c>
    </row>
    <row r="16" spans="1:4" x14ac:dyDescent="0.25">
      <c r="A16" t="s">
        <v>17</v>
      </c>
      <c r="B16" t="s">
        <v>10</v>
      </c>
      <c r="C16" t="s">
        <v>11</v>
      </c>
      <c r="D16" t="s">
        <v>135</v>
      </c>
    </row>
    <row r="17" spans="1:4" x14ac:dyDescent="0.25">
      <c r="A17" t="s">
        <v>32</v>
      </c>
      <c r="B17">
        <v>14</v>
      </c>
      <c r="C17">
        <v>32</v>
      </c>
      <c r="D17" s="5">
        <v>4</v>
      </c>
    </row>
    <row r="18" spans="1:4" x14ac:dyDescent="0.25">
      <c r="A18" t="s">
        <v>28</v>
      </c>
      <c r="B18">
        <f>SUM(B17:B17)</f>
        <v>14</v>
      </c>
      <c r="C18">
        <f>SUM(C17:C17)</f>
        <v>32</v>
      </c>
      <c r="D18">
        <f>SUM(D17:D17)</f>
        <v>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7"/>
  <sheetViews>
    <sheetView workbookViewId="0">
      <selection activeCell="A16" sqref="A16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4</v>
      </c>
      <c r="B2">
        <v>7</v>
      </c>
      <c r="C2">
        <v>16</v>
      </c>
      <c r="D2">
        <v>8</v>
      </c>
    </row>
    <row r="3" spans="1:4" x14ac:dyDescent="0.25">
      <c r="A3" t="s">
        <v>60</v>
      </c>
      <c r="B3">
        <v>1</v>
      </c>
      <c r="C3">
        <v>4</v>
      </c>
      <c r="D3" s="5">
        <v>4</v>
      </c>
    </row>
    <row r="4" spans="1:4" x14ac:dyDescent="0.25">
      <c r="A4" t="s">
        <v>3</v>
      </c>
      <c r="B4">
        <v>2</v>
      </c>
      <c r="C4">
        <v>5</v>
      </c>
      <c r="D4">
        <v>5</v>
      </c>
    </row>
    <row r="5" spans="1:4" x14ac:dyDescent="0.25">
      <c r="A5" t="s">
        <v>124</v>
      </c>
      <c r="B5">
        <v>3</v>
      </c>
      <c r="C5">
        <v>16</v>
      </c>
      <c r="D5">
        <v>0</v>
      </c>
    </row>
    <row r="6" spans="1:4" x14ac:dyDescent="0.25">
      <c r="A6" t="s">
        <v>130</v>
      </c>
      <c r="B6">
        <v>1</v>
      </c>
      <c r="C6">
        <v>3</v>
      </c>
      <c r="D6" s="5">
        <v>0</v>
      </c>
    </row>
    <row r="7" spans="1:4" x14ac:dyDescent="0.25">
      <c r="A7" t="s">
        <v>131</v>
      </c>
      <c r="B7">
        <v>1</v>
      </c>
      <c r="C7">
        <v>0</v>
      </c>
      <c r="D7" s="5">
        <v>0</v>
      </c>
    </row>
    <row r="8" spans="1:4" x14ac:dyDescent="0.25">
      <c r="A8" t="s">
        <v>128</v>
      </c>
      <c r="B8">
        <v>1</v>
      </c>
      <c r="C8">
        <v>2</v>
      </c>
      <c r="D8" s="5">
        <v>0</v>
      </c>
    </row>
    <row r="9" spans="1:4" x14ac:dyDescent="0.25">
      <c r="A9" t="s">
        <v>1</v>
      </c>
      <c r="B9">
        <v>255</v>
      </c>
      <c r="C9">
        <v>1053</v>
      </c>
      <c r="D9" s="5">
        <v>545</v>
      </c>
    </row>
    <row r="10" spans="1:4" x14ac:dyDescent="0.25">
      <c r="A10" t="s">
        <v>111</v>
      </c>
      <c r="B10">
        <v>1</v>
      </c>
      <c r="C10">
        <v>10</v>
      </c>
      <c r="D10" s="5">
        <v>4</v>
      </c>
    </row>
    <row r="11" spans="1:4" x14ac:dyDescent="0.25">
      <c r="A11" t="s">
        <v>7</v>
      </c>
      <c r="B11">
        <v>4</v>
      </c>
      <c r="C11">
        <v>12</v>
      </c>
      <c r="D11">
        <v>3</v>
      </c>
    </row>
    <row r="12" spans="1:4" x14ac:dyDescent="0.25">
      <c r="A12" t="s">
        <v>122</v>
      </c>
      <c r="B12">
        <v>11</v>
      </c>
      <c r="C12">
        <v>31</v>
      </c>
      <c r="D12">
        <v>13</v>
      </c>
    </row>
    <row r="13" spans="1:4" x14ac:dyDescent="0.25">
      <c r="A13" t="s">
        <v>28</v>
      </c>
      <c r="B13">
        <f>SUM(B2:B12)</f>
        <v>287</v>
      </c>
      <c r="C13">
        <f>SUM(C2:C12)</f>
        <v>1152</v>
      </c>
      <c r="D13">
        <f>SUM(D2:D12)</f>
        <v>582</v>
      </c>
    </row>
    <row r="15" spans="1:4" x14ac:dyDescent="0.25">
      <c r="A15" t="s">
        <v>17</v>
      </c>
      <c r="B15" t="s">
        <v>10</v>
      </c>
      <c r="C15" t="s">
        <v>11</v>
      </c>
      <c r="D15" t="s">
        <v>135</v>
      </c>
    </row>
    <row r="16" spans="1:4" x14ac:dyDescent="0.25">
      <c r="A16" t="s">
        <v>32</v>
      </c>
      <c r="B16">
        <v>11</v>
      </c>
      <c r="C16">
        <v>28</v>
      </c>
      <c r="D16" s="5">
        <v>0</v>
      </c>
    </row>
    <row r="17" spans="1:4" x14ac:dyDescent="0.25">
      <c r="A17" t="s">
        <v>28</v>
      </c>
      <c r="B17">
        <f>SUM(B16:B16)</f>
        <v>11</v>
      </c>
      <c r="C17">
        <f>SUM(C16:C16)</f>
        <v>28</v>
      </c>
      <c r="D17">
        <f>SUM(D16:D16)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D31" sqref="D31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99</v>
      </c>
      <c r="C2">
        <v>492</v>
      </c>
      <c r="D2">
        <v>210</v>
      </c>
    </row>
    <row r="3" spans="1:4" x14ac:dyDescent="0.25">
      <c r="A3" t="s">
        <v>3</v>
      </c>
      <c r="B3">
        <v>8</v>
      </c>
      <c r="C3">
        <v>45</v>
      </c>
      <c r="D3">
        <v>28</v>
      </c>
    </row>
    <row r="4" spans="1:4" x14ac:dyDescent="0.25">
      <c r="A4" t="s">
        <v>4</v>
      </c>
      <c r="B4">
        <v>11</v>
      </c>
      <c r="C4">
        <v>34</v>
      </c>
      <c r="D4">
        <v>5</v>
      </c>
    </row>
    <row r="5" spans="1:4" x14ac:dyDescent="0.25">
      <c r="A5" t="s">
        <v>6</v>
      </c>
      <c r="B5">
        <v>4</v>
      </c>
      <c r="C5">
        <v>10</v>
      </c>
      <c r="D5">
        <v>5</v>
      </c>
    </row>
    <row r="6" spans="1:4" x14ac:dyDescent="0.25">
      <c r="A6" t="s">
        <v>7</v>
      </c>
      <c r="B6">
        <v>10</v>
      </c>
      <c r="C6">
        <v>37</v>
      </c>
      <c r="D6">
        <v>24</v>
      </c>
    </row>
    <row r="7" spans="1:4" x14ac:dyDescent="0.25">
      <c r="A7" t="s">
        <v>8</v>
      </c>
      <c r="B7">
        <v>6</v>
      </c>
      <c r="C7">
        <v>20</v>
      </c>
      <c r="D7">
        <v>8</v>
      </c>
    </row>
    <row r="8" spans="1:4" x14ac:dyDescent="0.25">
      <c r="A8" t="s">
        <v>46</v>
      </c>
      <c r="B8">
        <v>1</v>
      </c>
      <c r="C8">
        <v>3</v>
      </c>
      <c r="D8">
        <v>3</v>
      </c>
    </row>
    <row r="9" spans="1:4" x14ac:dyDescent="0.25">
      <c r="A9" t="s">
        <v>47</v>
      </c>
      <c r="B9">
        <v>1</v>
      </c>
      <c r="C9">
        <v>2</v>
      </c>
      <c r="D9">
        <v>0</v>
      </c>
    </row>
    <row r="10" spans="1:4" x14ac:dyDescent="0.25">
      <c r="A10" t="s">
        <v>48</v>
      </c>
      <c r="B10">
        <v>1</v>
      </c>
      <c r="C10">
        <v>3</v>
      </c>
      <c r="D10">
        <v>0</v>
      </c>
    </row>
    <row r="11" spans="1:4" x14ac:dyDescent="0.25">
      <c r="A11" t="s">
        <v>49</v>
      </c>
      <c r="B11">
        <v>1</v>
      </c>
      <c r="C11">
        <v>2</v>
      </c>
      <c r="D11">
        <v>0</v>
      </c>
    </row>
    <row r="12" spans="1:4" x14ac:dyDescent="0.25">
      <c r="A12" t="s">
        <v>50</v>
      </c>
      <c r="B12">
        <v>1</v>
      </c>
      <c r="C12">
        <v>11</v>
      </c>
      <c r="D12">
        <v>0</v>
      </c>
    </row>
    <row r="13" spans="1:4" x14ac:dyDescent="0.25">
      <c r="A13" t="s">
        <v>28</v>
      </c>
      <c r="B13">
        <v>143</v>
      </c>
      <c r="C13">
        <v>659</v>
      </c>
      <c r="D13">
        <v>283</v>
      </c>
    </row>
    <row r="15" spans="1:4" x14ac:dyDescent="0.25">
      <c r="A15" t="s">
        <v>17</v>
      </c>
      <c r="B15" t="s">
        <v>10</v>
      </c>
      <c r="C15" t="s">
        <v>11</v>
      </c>
      <c r="D15" t="s">
        <v>135</v>
      </c>
    </row>
    <row r="16" spans="1:4" x14ac:dyDescent="0.25">
      <c r="A16" t="s">
        <v>32</v>
      </c>
      <c r="B16">
        <v>8</v>
      </c>
      <c r="C16">
        <v>30</v>
      </c>
      <c r="D16">
        <v>13</v>
      </c>
    </row>
    <row r="17" spans="1:4" x14ac:dyDescent="0.25">
      <c r="A17" t="s">
        <v>51</v>
      </c>
      <c r="B17">
        <v>1</v>
      </c>
      <c r="C17">
        <v>2</v>
      </c>
      <c r="D17">
        <v>0</v>
      </c>
    </row>
    <row r="18" spans="1:4" x14ac:dyDescent="0.25">
      <c r="A18" t="s">
        <v>52</v>
      </c>
      <c r="B18">
        <v>3</v>
      </c>
      <c r="C18">
        <v>16</v>
      </c>
      <c r="D18">
        <v>0</v>
      </c>
    </row>
    <row r="19" spans="1:4" x14ac:dyDescent="0.25">
      <c r="A19" t="s">
        <v>24</v>
      </c>
      <c r="B19">
        <v>2</v>
      </c>
      <c r="C19">
        <v>9</v>
      </c>
      <c r="D19">
        <v>9</v>
      </c>
    </row>
    <row r="20" spans="1:4" x14ac:dyDescent="0.25">
      <c r="A20" t="s">
        <v>25</v>
      </c>
      <c r="B20">
        <v>1</v>
      </c>
      <c r="C20">
        <v>4</v>
      </c>
      <c r="D20">
        <v>0</v>
      </c>
    </row>
    <row r="21" spans="1:4" x14ac:dyDescent="0.25">
      <c r="A21" t="s">
        <v>26</v>
      </c>
      <c r="B21">
        <v>3</v>
      </c>
      <c r="C21">
        <v>7</v>
      </c>
      <c r="D21">
        <v>2</v>
      </c>
    </row>
    <row r="22" spans="1:4" x14ac:dyDescent="0.25">
      <c r="A22" t="s">
        <v>53</v>
      </c>
      <c r="B22">
        <v>1</v>
      </c>
      <c r="C22">
        <v>2</v>
      </c>
      <c r="D22">
        <v>2</v>
      </c>
    </row>
    <row r="23" spans="1:4" x14ac:dyDescent="0.25">
      <c r="A23" t="s">
        <v>18</v>
      </c>
      <c r="B23">
        <v>11</v>
      </c>
      <c r="C23">
        <v>34</v>
      </c>
      <c r="D23">
        <v>5</v>
      </c>
    </row>
    <row r="24" spans="1:4" x14ac:dyDescent="0.25">
      <c r="A24" t="s">
        <v>19</v>
      </c>
      <c r="B24">
        <v>9</v>
      </c>
      <c r="C24">
        <v>26</v>
      </c>
      <c r="D24">
        <v>4</v>
      </c>
    </row>
    <row r="25" spans="1:4" x14ac:dyDescent="0.25">
      <c r="A25" t="s">
        <v>22</v>
      </c>
      <c r="B25">
        <v>5</v>
      </c>
      <c r="C25">
        <v>11</v>
      </c>
      <c r="D25">
        <v>0</v>
      </c>
    </row>
    <row r="26" spans="1:4" x14ac:dyDescent="0.25">
      <c r="A26" t="s">
        <v>23</v>
      </c>
      <c r="B26">
        <v>2</v>
      </c>
      <c r="C26">
        <v>4</v>
      </c>
      <c r="D26">
        <v>4</v>
      </c>
    </row>
    <row r="27" spans="1:4" x14ac:dyDescent="0.25">
      <c r="A27" t="s">
        <v>54</v>
      </c>
      <c r="B27">
        <v>4</v>
      </c>
      <c r="C27">
        <v>12</v>
      </c>
      <c r="D27">
        <v>10</v>
      </c>
    </row>
    <row r="28" spans="1:4" x14ac:dyDescent="0.25">
      <c r="A28" t="s">
        <v>21</v>
      </c>
      <c r="B28">
        <v>1</v>
      </c>
      <c r="C28">
        <v>3</v>
      </c>
      <c r="D28">
        <v>3</v>
      </c>
    </row>
    <row r="29" spans="1:4" x14ac:dyDescent="0.25">
      <c r="A29" t="s">
        <v>20</v>
      </c>
      <c r="B29">
        <v>6</v>
      </c>
      <c r="C29">
        <v>23</v>
      </c>
      <c r="D29">
        <v>4</v>
      </c>
    </row>
    <row r="30" spans="1:4" x14ac:dyDescent="0.25">
      <c r="A30" t="s">
        <v>27</v>
      </c>
      <c r="B30">
        <v>7</v>
      </c>
      <c r="C30">
        <v>19</v>
      </c>
      <c r="D30">
        <v>13</v>
      </c>
    </row>
    <row r="31" spans="1:4" x14ac:dyDescent="0.25">
      <c r="A31" t="s">
        <v>28</v>
      </c>
      <c r="B31">
        <f>SUM(B16:B30)</f>
        <v>64</v>
      </c>
      <c r="C31">
        <f>SUM(C16:C30)</f>
        <v>202</v>
      </c>
      <c r="D31">
        <f>SUM(D16:D30)</f>
        <v>69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4"/>
  <sheetViews>
    <sheetView workbookViewId="0">
      <selection activeCell="B14" sqref="B14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10</v>
      </c>
      <c r="C2">
        <v>3</v>
      </c>
      <c r="D2" s="7">
        <f>Table21520222426283032343638404446485061636567697321319436375[[#This Row],[Summits]]/Table21520222426283032343638404446485061636567697321319436375[[#This Row],[Climbers]]</f>
        <v>0.3</v>
      </c>
    </row>
    <row r="3" spans="1:4" x14ac:dyDescent="0.25">
      <c r="A3" t="s">
        <v>125</v>
      </c>
      <c r="B3">
        <v>2</v>
      </c>
      <c r="C3">
        <v>2</v>
      </c>
      <c r="D3" s="7">
        <f>Table21520222426283032343638404446485061636567697321319436375[[#This Row],[Summits]]/Table21520222426283032343638404446485061636567697321319436375[[#This Row],[Climbers]]</f>
        <v>1</v>
      </c>
    </row>
    <row r="4" spans="1:4" x14ac:dyDescent="0.25">
      <c r="A4" t="s">
        <v>3</v>
      </c>
      <c r="B4">
        <v>19</v>
      </c>
      <c r="C4">
        <v>14</v>
      </c>
      <c r="D4" s="7">
        <f>Table21520222426283032343638404446485061636567697321319436375[[#This Row],[Summits]]/Table21520222426283032343638404446485061636567697321319436375[[#This Row],[Climbers]]</f>
        <v>0.73684210526315785</v>
      </c>
    </row>
    <row r="5" spans="1:4" x14ac:dyDescent="0.25">
      <c r="A5" t="s">
        <v>8</v>
      </c>
      <c r="B5">
        <v>3</v>
      </c>
      <c r="C5">
        <v>0</v>
      </c>
      <c r="D5" s="7">
        <f>Table21520222426283032343638404446485061636567697321319436375[[#This Row],[Summits]]/Table21520222426283032343638404446485061636567697321319436375[[#This Row],[Climbers]]</f>
        <v>0</v>
      </c>
    </row>
    <row r="6" spans="1:4" x14ac:dyDescent="0.25">
      <c r="A6" t="s">
        <v>1</v>
      </c>
      <c r="B6">
        <v>1099</v>
      </c>
      <c r="C6">
        <v>513</v>
      </c>
      <c r="D6" s="7">
        <f>Table21520222426283032343638404446485061636567697321319436375[[#This Row],[Summits]]/Table21520222426283032343638404446485061636567697321319436375[[#This Row],[Climbers]]</f>
        <v>0.46678798908098273</v>
      </c>
    </row>
    <row r="7" spans="1:4" x14ac:dyDescent="0.25">
      <c r="A7" t="s">
        <v>111</v>
      </c>
      <c r="B7">
        <v>17</v>
      </c>
      <c r="C7">
        <v>13</v>
      </c>
      <c r="D7" s="7">
        <f>Table21520222426283032343638404446485061636567697321319436375[[#This Row],[Summits]]/Table21520222426283032343638404446485061636567697321319436375[[#This Row],[Climbers]]</f>
        <v>0.76470588235294112</v>
      </c>
    </row>
    <row r="8" spans="1:4" x14ac:dyDescent="0.25">
      <c r="A8" t="s">
        <v>7</v>
      </c>
      <c r="B8">
        <v>15</v>
      </c>
      <c r="C8">
        <v>2</v>
      </c>
      <c r="D8" s="7">
        <f>Table21520222426283032343638404446485061636567697321319436375[[#This Row],[Summits]]/Table21520222426283032343638404446485061636567697321319436375[[#This Row],[Climbers]]</f>
        <v>0.13333333333333333</v>
      </c>
    </row>
    <row r="9" spans="1:4" x14ac:dyDescent="0.25">
      <c r="A9" t="s">
        <v>122</v>
      </c>
      <c r="B9">
        <v>53</v>
      </c>
      <c r="C9">
        <v>26</v>
      </c>
      <c r="D9" s="7">
        <f>Table21520222426283032343638404446485061636567697321319436375[[#This Row],[Summits]]/Table21520222426283032343638404446485061636567697321319436375[[#This Row],[Climbers]]</f>
        <v>0.49056603773584906</v>
      </c>
    </row>
    <row r="10" spans="1:4" x14ac:dyDescent="0.25">
      <c r="A10" t="s">
        <v>28</v>
      </c>
      <c r="B10">
        <f>SUM(B2:B9)</f>
        <v>1218</v>
      </c>
      <c r="C10">
        <f>SUM(C2:C9)</f>
        <v>573</v>
      </c>
      <c r="D10" s="7">
        <f>Table21520222426283032343638404446485061636567697321319436375[[#This Row],[Summits]]/Table21520222426283032343638404446485061636567697321319436375[[#This Row],[Climbers]]</f>
        <v>0.47044334975369456</v>
      </c>
    </row>
    <row r="12" spans="1:4" x14ac:dyDescent="0.25">
      <c r="A12" t="s">
        <v>17</v>
      </c>
      <c r="B12" t="s">
        <v>11</v>
      </c>
      <c r="C12" t="s">
        <v>132</v>
      </c>
      <c r="D12" t="s">
        <v>133</v>
      </c>
    </row>
    <row r="13" spans="1:4" x14ac:dyDescent="0.25">
      <c r="A13" t="s">
        <v>32</v>
      </c>
      <c r="B13">
        <v>21</v>
      </c>
      <c r="C13">
        <v>1</v>
      </c>
      <c r="D13" s="7">
        <f>Table251721232527293133353739414547495162646668707491442576476[[#This Row],[Summits]]/Table251721232527293133353739414547495162646668707491442576476[[#This Row],[Climbers]]</f>
        <v>4.7619047619047616E-2</v>
      </c>
    </row>
    <row r="14" spans="1:4" x14ac:dyDescent="0.25">
      <c r="A14" t="s">
        <v>28</v>
      </c>
      <c r="B14">
        <f>SUM(B13:B13)</f>
        <v>21</v>
      </c>
      <c r="C14">
        <f>SUM(C13:C13)</f>
        <v>1</v>
      </c>
      <c r="D14" s="7">
        <f>Table251721232527293133353739414547495162646668707491442576476[[#This Row],[Summits]]/Table251721232527293133353739414547495162646668707491442576476[[#This Row],[Climbers]]</f>
        <v>4.7619047619047616E-2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7"/>
  <sheetViews>
    <sheetView workbookViewId="0">
      <selection activeCell="B17" sqref="B17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134</v>
      </c>
      <c r="B2">
        <v>1</v>
      </c>
      <c r="C2">
        <v>0</v>
      </c>
      <c r="D2" s="7">
        <f>Table215202224262830323436384044464850616365676973213194363[[#This Row],[Summits]]/Table215202224262830323436384044464850616365676973213194363[[#This Row],[Climbers]]</f>
        <v>0</v>
      </c>
    </row>
    <row r="3" spans="1:4" x14ac:dyDescent="0.25">
      <c r="A3" t="s">
        <v>4</v>
      </c>
      <c r="B3">
        <v>22</v>
      </c>
      <c r="C3">
        <v>20</v>
      </c>
      <c r="D3" s="7">
        <f>Table215202224262830323436384044464850616365676973213194363[[#This Row],[Summits]]/Table215202224262830323436384044464850616365676973213194363[[#This Row],[Climbers]]</f>
        <v>0.90909090909090906</v>
      </c>
    </row>
    <row r="4" spans="1:4" x14ac:dyDescent="0.25">
      <c r="A4" t="s">
        <v>125</v>
      </c>
      <c r="B4">
        <v>6</v>
      </c>
      <c r="C4">
        <v>5</v>
      </c>
      <c r="D4" s="7">
        <f>Table215202224262830323436384044464850616365676973213194363[[#This Row],[Summits]]/Table215202224262830323436384044464850616365676973213194363[[#This Row],[Climbers]]</f>
        <v>0.83333333333333337</v>
      </c>
    </row>
    <row r="5" spans="1:4" x14ac:dyDescent="0.25">
      <c r="A5" t="s">
        <v>126</v>
      </c>
      <c r="B5">
        <v>5</v>
      </c>
      <c r="C5">
        <v>3</v>
      </c>
      <c r="D5" s="7">
        <f>Table215202224262830323436384044464850616365676973213194363[[#This Row],[Summits]]/Table215202224262830323436384044464850616365676973213194363[[#This Row],[Climbers]]</f>
        <v>0.6</v>
      </c>
    </row>
    <row r="6" spans="1:4" x14ac:dyDescent="0.25">
      <c r="A6" t="s">
        <v>60</v>
      </c>
      <c r="B6">
        <v>2</v>
      </c>
      <c r="C6">
        <v>0</v>
      </c>
      <c r="D6" s="7">
        <f>Table215202224262830323436384044464850616365676973213194363[[#This Row],[Summits]]/Table215202224262830323436384044464850616365676973213194363[[#This Row],[Climbers]]</f>
        <v>0</v>
      </c>
    </row>
    <row r="7" spans="1:4" x14ac:dyDescent="0.25">
      <c r="A7" t="s">
        <v>3</v>
      </c>
      <c r="B7">
        <v>25</v>
      </c>
      <c r="C7">
        <v>15</v>
      </c>
      <c r="D7" s="7">
        <f>Table215202224262830323436384044464850616365676973213194363[[#This Row],[Summits]]/Table215202224262830323436384044464850616365676973213194363[[#This Row],[Climbers]]</f>
        <v>0.6</v>
      </c>
    </row>
    <row r="8" spans="1:4" x14ac:dyDescent="0.25">
      <c r="A8" t="s">
        <v>110</v>
      </c>
      <c r="B8">
        <v>4</v>
      </c>
      <c r="C8">
        <v>2</v>
      </c>
      <c r="D8" s="7">
        <f>Table215202224262830323436384044464850616365676973213194363[[#This Row],[Summits]]/Table215202224262830323436384044464850616365676973213194363[[#This Row],[Climbers]]</f>
        <v>0.5</v>
      </c>
    </row>
    <row r="9" spans="1:4" x14ac:dyDescent="0.25">
      <c r="A9" t="s">
        <v>121</v>
      </c>
      <c r="B9">
        <v>5</v>
      </c>
      <c r="C9">
        <v>5</v>
      </c>
      <c r="D9" s="7">
        <f>Table215202224262830323436384044464850616365676973213194363[[#This Row],[Summits]]/Table215202224262830323436384044464850616365676973213194363[[#This Row],[Climbers]]</f>
        <v>1</v>
      </c>
    </row>
    <row r="10" spans="1:4" x14ac:dyDescent="0.25">
      <c r="A10" t="s">
        <v>1</v>
      </c>
      <c r="B10">
        <v>1123</v>
      </c>
      <c r="C10">
        <v>652</v>
      </c>
      <c r="D10" s="7">
        <f>Table215202224262830323436384044464850616365676973213194363[[#This Row],[Summits]]/Table215202224262830323436384044464850616365676973213194363[[#This Row],[Climbers]]</f>
        <v>0.58058771148708821</v>
      </c>
    </row>
    <row r="11" spans="1:4" x14ac:dyDescent="0.25">
      <c r="A11" t="s">
        <v>7</v>
      </c>
      <c r="B11">
        <v>42</v>
      </c>
      <c r="C11">
        <v>24</v>
      </c>
      <c r="D11" s="7">
        <f>Table215202224262830323436384044464850616365676973213194363[[#This Row],[Summits]]/Table215202224262830323436384044464850616365676973213194363[[#This Row],[Climbers]]</f>
        <v>0.5714285714285714</v>
      </c>
    </row>
    <row r="12" spans="1:4" x14ac:dyDescent="0.25">
      <c r="A12" t="s">
        <v>122</v>
      </c>
      <c r="B12">
        <v>37</v>
      </c>
      <c r="C12">
        <v>29</v>
      </c>
      <c r="D12" s="7">
        <f>Table215202224262830323436384044464850616365676973213194363[[#This Row],[Summits]]/Table215202224262830323436384044464850616365676973213194363[[#This Row],[Climbers]]</f>
        <v>0.78378378378378377</v>
      </c>
    </row>
    <row r="13" spans="1:4" x14ac:dyDescent="0.25">
      <c r="A13" t="s">
        <v>28</v>
      </c>
      <c r="B13">
        <f>SUM(B2:B12)</f>
        <v>1272</v>
      </c>
      <c r="C13">
        <f>SUM(C2:C12)</f>
        <v>755</v>
      </c>
      <c r="D13" s="7">
        <f>Table215202224262830323436384044464850616365676973213194363[[#This Row],[Summits]]/Table215202224262830323436384044464850616365676973213194363[[#This Row],[Climbers]]</f>
        <v>0.59355345911949686</v>
      </c>
    </row>
    <row r="15" spans="1:4" x14ac:dyDescent="0.25">
      <c r="A15" t="s">
        <v>17</v>
      </c>
      <c r="B15" t="s">
        <v>11</v>
      </c>
      <c r="C15" t="s">
        <v>132</v>
      </c>
      <c r="D15" t="s">
        <v>133</v>
      </c>
    </row>
    <row r="16" spans="1:4" x14ac:dyDescent="0.25">
      <c r="A16" t="s">
        <v>32</v>
      </c>
      <c r="B16">
        <v>16</v>
      </c>
      <c r="C16">
        <v>1</v>
      </c>
      <c r="D16" s="7">
        <f>Table2517212325272931333537394145474951626466687074914425764[[#This Row],[Summits]]/Table2517212325272931333537394145474951626466687074914425764[[#This Row],[Climbers]]</f>
        <v>6.25E-2</v>
      </c>
    </row>
    <row r="17" spans="1:4" x14ac:dyDescent="0.25">
      <c r="A17" t="s">
        <v>28</v>
      </c>
      <c r="B17">
        <f>SUM(B16:B16)</f>
        <v>16</v>
      </c>
      <c r="C17">
        <f>SUM(C16:C16)</f>
        <v>1</v>
      </c>
      <c r="D17" s="7">
        <f>Table2517212325272931333537394145474951626466687074914425764[[#This Row],[Summits]]/Table2517212325272931333537394145474951626466687074914425764[[#This Row],[Climbers]]</f>
        <v>6.25E-2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6"/>
  <sheetViews>
    <sheetView workbookViewId="0">
      <selection activeCell="C16" sqref="C16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17</v>
      </c>
      <c r="C2">
        <v>9</v>
      </c>
      <c r="D2" s="7">
        <f>Table215202224262830323436384044464850616365676973213194359[[#This Row],[Summits]]/Table215202224262830323436384044464850616365676973213194359[[#This Row],[Climbers]]</f>
        <v>0.52941176470588236</v>
      </c>
    </row>
    <row r="3" spans="1:4" x14ac:dyDescent="0.25">
      <c r="A3" t="s">
        <v>3</v>
      </c>
      <c r="B3">
        <v>14</v>
      </c>
      <c r="C3">
        <v>0</v>
      </c>
      <c r="D3" s="7">
        <f>Table215202224262830323436384044464850616365676973213194359[[#This Row],[Summits]]/Table215202224262830323436384044464850616365676973213194359[[#This Row],[Climbers]]</f>
        <v>0</v>
      </c>
    </row>
    <row r="4" spans="1:4" x14ac:dyDescent="0.25">
      <c r="A4" t="s">
        <v>110</v>
      </c>
      <c r="B4">
        <v>6</v>
      </c>
      <c r="C4">
        <v>6</v>
      </c>
      <c r="D4" s="7">
        <f>Table215202224262830323436384044464850616365676973213194359[[#This Row],[Summits]]/Table215202224262830323436384044464850616365676973213194359[[#This Row],[Climbers]]</f>
        <v>1</v>
      </c>
    </row>
    <row r="5" spans="1:4" x14ac:dyDescent="0.25">
      <c r="A5" t="s">
        <v>74</v>
      </c>
      <c r="B5">
        <v>1</v>
      </c>
      <c r="C5">
        <v>1</v>
      </c>
      <c r="D5" s="7">
        <f>Table215202224262830323436384044464850616365676973213194359[[#This Row],[Summits]]/Table215202224262830323436384044464850616365676973213194359[[#This Row],[Climbers]]</f>
        <v>1</v>
      </c>
    </row>
    <row r="6" spans="1:4" x14ac:dyDescent="0.25">
      <c r="A6" t="s">
        <v>8</v>
      </c>
      <c r="B6">
        <v>2</v>
      </c>
      <c r="C6">
        <v>0</v>
      </c>
      <c r="D6" s="7">
        <f>Table215202224262830323436384044464850616365676973213194359[[#This Row],[Summits]]/Table215202224262830323436384044464850616365676973213194359[[#This Row],[Climbers]]</f>
        <v>0</v>
      </c>
    </row>
    <row r="7" spans="1:4" x14ac:dyDescent="0.25">
      <c r="A7" t="s">
        <v>6</v>
      </c>
      <c r="B7">
        <v>2</v>
      </c>
      <c r="C7">
        <v>0</v>
      </c>
      <c r="D7" s="7">
        <f>Table215202224262830323436384044464850616365676973213194359[[#This Row],[Summits]]/Table215202224262830323436384044464850616365676973213194359[[#This Row],[Climbers]]</f>
        <v>0</v>
      </c>
    </row>
    <row r="8" spans="1:4" x14ac:dyDescent="0.25">
      <c r="A8" t="s">
        <v>1</v>
      </c>
      <c r="B8">
        <v>1078</v>
      </c>
      <c r="C8">
        <v>649</v>
      </c>
      <c r="D8" s="7">
        <f>Table215202224262830323436384044464850616365676973213194359[[#This Row],[Summits]]/Table215202224262830323436384044464850616365676973213194359[[#This Row],[Climbers]]</f>
        <v>0.60204081632653061</v>
      </c>
    </row>
    <row r="9" spans="1:4" x14ac:dyDescent="0.25">
      <c r="A9" t="s">
        <v>111</v>
      </c>
      <c r="B9">
        <v>10</v>
      </c>
      <c r="C9">
        <v>5</v>
      </c>
      <c r="D9" s="7">
        <f>Table215202224262830323436384044464850616365676973213194359[[#This Row],[Summits]]/Table215202224262830323436384044464850616365676973213194359[[#This Row],[Climbers]]</f>
        <v>0.5</v>
      </c>
    </row>
    <row r="10" spans="1:4" x14ac:dyDescent="0.25">
      <c r="A10" t="s">
        <v>7</v>
      </c>
      <c r="B10">
        <v>19</v>
      </c>
      <c r="C10">
        <v>9</v>
      </c>
      <c r="D10" s="7">
        <f>Table215202224262830323436384044464850616365676973213194359[[#This Row],[Summits]]/Table215202224262830323436384044464850616365676973213194359[[#This Row],[Climbers]]</f>
        <v>0.47368421052631576</v>
      </c>
    </row>
    <row r="11" spans="1:4" x14ac:dyDescent="0.25">
      <c r="A11" t="s">
        <v>122</v>
      </c>
      <c r="B11">
        <v>12</v>
      </c>
      <c r="C11">
        <v>3</v>
      </c>
      <c r="D11" s="7">
        <f>Table215202224262830323436384044464850616365676973213194359[[#This Row],[Summits]]/Table215202224262830323436384044464850616365676973213194359[[#This Row],[Climbers]]</f>
        <v>0.25</v>
      </c>
    </row>
    <row r="12" spans="1:4" x14ac:dyDescent="0.25">
      <c r="A12" t="s">
        <v>28</v>
      </c>
      <c r="B12">
        <f>SUM(B2:B11)</f>
        <v>1161</v>
      </c>
      <c r="C12">
        <f>SUM(C2:C11)</f>
        <v>682</v>
      </c>
      <c r="D12" s="7">
        <f>Table215202224262830323436384044464850616365676973213194359[[#This Row],[Summits]]/Table215202224262830323436384044464850616365676973213194359[[#This Row],[Climbers]]</f>
        <v>0.58742463393626188</v>
      </c>
    </row>
    <row r="14" spans="1:4" x14ac:dyDescent="0.25">
      <c r="A14" t="s">
        <v>17</v>
      </c>
      <c r="B14" t="s">
        <v>11</v>
      </c>
      <c r="C14" t="s">
        <v>132</v>
      </c>
      <c r="D14" t="s">
        <v>133</v>
      </c>
    </row>
    <row r="15" spans="1:4" x14ac:dyDescent="0.25">
      <c r="A15" t="s">
        <v>32</v>
      </c>
      <c r="B15">
        <v>15</v>
      </c>
      <c r="C15">
        <v>8</v>
      </c>
      <c r="D15" s="7">
        <f>Table2517212325272931333537394145474951626466687074914425760[[#This Row],[Summits]]/Table2517212325272931333537394145474951626466687074914425760[[#This Row],[Climbers]]</f>
        <v>0.53333333333333333</v>
      </c>
    </row>
    <row r="16" spans="1:4" x14ac:dyDescent="0.25">
      <c r="A16" t="s">
        <v>28</v>
      </c>
      <c r="B16">
        <f>SUM(B15:B15)</f>
        <v>15</v>
      </c>
      <c r="C16">
        <f>SUM(C15:C15)</f>
        <v>8</v>
      </c>
      <c r="D16" s="7">
        <f>Table2517212325272931333537394145474951626466687074914425760[[#This Row],[Summits]]/Table2517212325272931333537394145474951626466687074914425760[[#This Row],[Climbers]]</f>
        <v>0.53333333333333333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7"/>
  <sheetViews>
    <sheetView workbookViewId="0">
      <selection activeCell="B16" sqref="B16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24</v>
      </c>
      <c r="C2">
        <v>11</v>
      </c>
      <c r="D2" s="7">
        <f>Table2152022242628303234363840444648506163656769732131943[[#This Row],[Summits]]/Table2152022242628303234363840444648506163656769732131943[[#This Row],[Climbers]]</f>
        <v>0.45833333333333331</v>
      </c>
    </row>
    <row r="3" spans="1:4" x14ac:dyDescent="0.25">
      <c r="A3" t="s">
        <v>123</v>
      </c>
      <c r="B3">
        <v>4</v>
      </c>
      <c r="C3">
        <v>4</v>
      </c>
      <c r="D3" s="7">
        <f>Table2152022242628303234363840444648506163656769732131943[[#This Row],[Summits]]/Table2152022242628303234363840444648506163656769732131943[[#This Row],[Climbers]]</f>
        <v>1</v>
      </c>
    </row>
    <row r="4" spans="1:4" x14ac:dyDescent="0.25">
      <c r="A4" t="s">
        <v>125</v>
      </c>
      <c r="B4">
        <v>3</v>
      </c>
      <c r="C4">
        <v>3</v>
      </c>
      <c r="D4" s="7">
        <f>Table2152022242628303234363840444648506163656769732131943[[#This Row],[Summits]]/Table2152022242628303234363840444648506163656769732131943[[#This Row],[Climbers]]</f>
        <v>1</v>
      </c>
    </row>
    <row r="5" spans="1:4" x14ac:dyDescent="0.25">
      <c r="A5" t="s">
        <v>3</v>
      </c>
      <c r="B5">
        <v>3</v>
      </c>
      <c r="C5">
        <v>0</v>
      </c>
      <c r="D5" s="7">
        <f>Table2152022242628303234363840444648506163656769732131943[[#This Row],[Summits]]/Table2152022242628303234363840444648506163656769732131943[[#This Row],[Climbers]]</f>
        <v>0</v>
      </c>
    </row>
    <row r="6" spans="1:4" x14ac:dyDescent="0.25">
      <c r="A6" t="s">
        <v>110</v>
      </c>
      <c r="B6">
        <v>4</v>
      </c>
      <c r="C6">
        <v>2</v>
      </c>
      <c r="D6" s="7">
        <f>Table2152022242628303234363840444648506163656769732131943[[#This Row],[Summits]]/Table2152022242628303234363840444648506163656769732131943[[#This Row],[Climbers]]</f>
        <v>0.5</v>
      </c>
    </row>
    <row r="7" spans="1:4" x14ac:dyDescent="0.25">
      <c r="A7" t="s">
        <v>46</v>
      </c>
      <c r="B7">
        <v>2</v>
      </c>
      <c r="C7">
        <v>0</v>
      </c>
      <c r="D7" s="7">
        <f>Table2152022242628303234363840444648506163656769732131943[[#This Row],[Summits]]/Table2152022242628303234363840444648506163656769732131943[[#This Row],[Climbers]]</f>
        <v>0</v>
      </c>
    </row>
    <row r="8" spans="1:4" x14ac:dyDescent="0.25">
      <c r="A8" t="s">
        <v>6</v>
      </c>
      <c r="B8">
        <v>3</v>
      </c>
      <c r="C8">
        <v>3</v>
      </c>
      <c r="D8" s="7">
        <f>Table2152022242628303234363840444648506163656769732131943[[#This Row],[Summits]]/Table2152022242628303234363840444648506163656769732131943[[#This Row],[Climbers]]</f>
        <v>1</v>
      </c>
    </row>
    <row r="9" spans="1:4" x14ac:dyDescent="0.25">
      <c r="A9" t="s">
        <v>1</v>
      </c>
      <c r="B9">
        <v>1135</v>
      </c>
      <c r="C9">
        <v>630</v>
      </c>
      <c r="D9" s="7">
        <f>Table2152022242628303234363840444648506163656769732131943[[#This Row],[Summits]]/Table2152022242628303234363840444648506163656769732131943[[#This Row],[Climbers]]</f>
        <v>0.55506607929515417</v>
      </c>
    </row>
    <row r="10" spans="1:4" x14ac:dyDescent="0.25">
      <c r="A10" t="s">
        <v>111</v>
      </c>
      <c r="B10">
        <v>12</v>
      </c>
      <c r="C10">
        <v>0</v>
      </c>
      <c r="D10" s="7">
        <f>Table2152022242628303234363840444648506163656769732131943[[#This Row],[Summits]]/Table2152022242628303234363840444648506163656769732131943[[#This Row],[Climbers]]</f>
        <v>0</v>
      </c>
    </row>
    <row r="11" spans="1:4" x14ac:dyDescent="0.25">
      <c r="A11" t="s">
        <v>7</v>
      </c>
      <c r="B11">
        <v>23</v>
      </c>
      <c r="C11">
        <v>11</v>
      </c>
      <c r="D11" s="7">
        <f>Table2152022242628303234363840444648506163656769732131943[[#This Row],[Summits]]/Table2152022242628303234363840444648506163656769732131943[[#This Row],[Climbers]]</f>
        <v>0.47826086956521741</v>
      </c>
    </row>
    <row r="12" spans="1:4" x14ac:dyDescent="0.25">
      <c r="A12" t="s">
        <v>122</v>
      </c>
      <c r="B12">
        <v>9</v>
      </c>
      <c r="C12">
        <v>6</v>
      </c>
      <c r="D12" s="7">
        <f>Table2152022242628303234363840444648506163656769732131943[[#This Row],[Summits]]/Table2152022242628303234363840444648506163656769732131943[[#This Row],[Climbers]]</f>
        <v>0.66666666666666663</v>
      </c>
    </row>
    <row r="13" spans="1:4" x14ac:dyDescent="0.25">
      <c r="A13" t="s">
        <v>28</v>
      </c>
      <c r="B13">
        <f>SUM(B2:B12)</f>
        <v>1222</v>
      </c>
      <c r="C13">
        <f>SUM(C2:C12)</f>
        <v>670</v>
      </c>
      <c r="D13" s="7">
        <f>Table2152022242628303234363840444648506163656769732131943[[#This Row],[Summits]]/Table2152022242628303234363840444648506163656769732131943[[#This Row],[Climbers]]</f>
        <v>0.54828150572831424</v>
      </c>
    </row>
    <row r="15" spans="1:4" x14ac:dyDescent="0.25">
      <c r="A15" t="s">
        <v>17</v>
      </c>
      <c r="B15" t="s">
        <v>11</v>
      </c>
      <c r="C15" t="s">
        <v>132</v>
      </c>
      <c r="D15" t="s">
        <v>133</v>
      </c>
    </row>
    <row r="16" spans="1:4" x14ac:dyDescent="0.25">
      <c r="A16" t="s">
        <v>32</v>
      </c>
      <c r="B16">
        <v>9</v>
      </c>
      <c r="C16">
        <v>2</v>
      </c>
      <c r="D16" s="7">
        <f>Table25172123252729313335373941454749516264666870749144257[[#This Row],[Summits]]/Table25172123252729313335373941454749516264666870749144257[[#This Row],[Climbers]]</f>
        <v>0.22222222222222221</v>
      </c>
    </row>
    <row r="17" spans="1:4" x14ac:dyDescent="0.25">
      <c r="A17" t="s">
        <v>28</v>
      </c>
      <c r="B17">
        <f>SUM(B16:B16)</f>
        <v>9</v>
      </c>
      <c r="C17">
        <f>SUM(C16:C16)</f>
        <v>2</v>
      </c>
      <c r="D17" s="7">
        <f>Table25172123252729313335373941454749516264666870749144257[[#This Row],[Summits]]/Table25172123252729313335373941454749516264666870749144257[[#This Row],[Climbers]]</f>
        <v>0.22222222222222221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5"/>
  <sheetViews>
    <sheetView workbookViewId="0">
      <selection activeCell="E30" sqref="E30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19</v>
      </c>
      <c r="C2">
        <v>12</v>
      </c>
      <c r="D2" s="7">
        <f>Table21520222426283032343638404446485061636567697321319[[#This Row],[Summits]]/Table21520222426283032343638404446485061636567697321319[[#This Row],[Climbers]]</f>
        <v>0.63157894736842102</v>
      </c>
    </row>
    <row r="3" spans="1:4" x14ac:dyDescent="0.25">
      <c r="A3" t="s">
        <v>60</v>
      </c>
      <c r="B3">
        <v>4</v>
      </c>
      <c r="C3">
        <v>3</v>
      </c>
      <c r="D3" s="7">
        <f>Table21520222426283032343638404446485061636567697321319[[#This Row],[Summits]]/Table21520222426283032343638404446485061636567697321319[[#This Row],[Climbers]]</f>
        <v>0.75</v>
      </c>
    </row>
    <row r="4" spans="1:4" x14ac:dyDescent="0.25">
      <c r="A4" t="s">
        <v>3</v>
      </c>
      <c r="B4">
        <v>23</v>
      </c>
      <c r="C4">
        <v>19</v>
      </c>
      <c r="D4" s="7">
        <f>Table21520222426283032343638404446485061636567697321319[[#This Row],[Summits]]/Table21520222426283032343638404446485061636567697321319[[#This Row],[Climbers]]</f>
        <v>0.82608695652173914</v>
      </c>
    </row>
    <row r="5" spans="1:4" x14ac:dyDescent="0.25">
      <c r="A5" t="s">
        <v>110</v>
      </c>
      <c r="B5">
        <v>10</v>
      </c>
      <c r="C5">
        <v>9</v>
      </c>
      <c r="D5" s="7">
        <f>Table21520222426283032343638404446485061636567697321319[[#This Row],[Summits]]/Table21520222426283032343638404446485061636567697321319[[#This Row],[Climbers]]</f>
        <v>0.9</v>
      </c>
    </row>
    <row r="6" spans="1:4" x14ac:dyDescent="0.25">
      <c r="A6" t="s">
        <v>74</v>
      </c>
      <c r="B6">
        <v>6</v>
      </c>
      <c r="C6">
        <v>0</v>
      </c>
      <c r="D6" s="7">
        <f>Table21520222426283032343638404446485061636567697321319[[#This Row],[Summits]]/Table21520222426283032343638404446485061636567697321319[[#This Row],[Climbers]]</f>
        <v>0</v>
      </c>
    </row>
    <row r="7" spans="1:4" x14ac:dyDescent="0.25">
      <c r="A7" t="s">
        <v>1</v>
      </c>
      <c r="B7">
        <v>1135</v>
      </c>
      <c r="C7">
        <v>623</v>
      </c>
      <c r="D7" s="7">
        <f>Table21520222426283032343638404446485061636567697321319[[#This Row],[Summits]]/Table21520222426283032343638404446485061636567697321319[[#This Row],[Climbers]]</f>
        <v>0.5488986784140969</v>
      </c>
    </row>
    <row r="8" spans="1:4" x14ac:dyDescent="0.25">
      <c r="A8" t="s">
        <v>111</v>
      </c>
      <c r="B8">
        <v>6</v>
      </c>
      <c r="C8">
        <v>6</v>
      </c>
      <c r="D8" s="7">
        <f>Table21520222426283032343638404446485061636567697321319[[#This Row],[Summits]]/Table21520222426283032343638404446485061636567697321319[[#This Row],[Climbers]]</f>
        <v>1</v>
      </c>
    </row>
    <row r="9" spans="1:4" x14ac:dyDescent="0.25">
      <c r="A9" t="s">
        <v>7</v>
      </c>
      <c r="B9">
        <v>7</v>
      </c>
      <c r="C9">
        <v>3</v>
      </c>
      <c r="D9" s="7">
        <f>Table21520222426283032343638404446485061636567697321319[[#This Row],[Summits]]/Table21520222426283032343638404446485061636567697321319[[#This Row],[Climbers]]</f>
        <v>0.42857142857142855</v>
      </c>
    </row>
    <row r="10" spans="1:4" x14ac:dyDescent="0.25">
      <c r="A10" t="s">
        <v>122</v>
      </c>
      <c r="B10">
        <v>22</v>
      </c>
      <c r="C10">
        <v>12</v>
      </c>
      <c r="D10" s="7">
        <f>Table21520222426283032343638404446485061636567697321319[[#This Row],[Summits]]/Table21520222426283032343638404446485061636567697321319[[#This Row],[Climbers]]</f>
        <v>0.54545454545454541</v>
      </c>
    </row>
    <row r="11" spans="1:4" x14ac:dyDescent="0.25">
      <c r="A11" t="s">
        <v>28</v>
      </c>
      <c r="B11">
        <f>SUM(B2:B10)</f>
        <v>1232</v>
      </c>
      <c r="C11">
        <f>SUM(C2:C10)</f>
        <v>687</v>
      </c>
      <c r="D11" s="7">
        <f>Table21520222426283032343638404446485061636567697321319[[#This Row],[Summits]]/Table21520222426283032343638404446485061636567697321319[[#This Row],[Climbers]]</f>
        <v>0.55762987012987009</v>
      </c>
    </row>
    <row r="13" spans="1:4" x14ac:dyDescent="0.25">
      <c r="A13" t="s">
        <v>17</v>
      </c>
      <c r="B13" t="s">
        <v>11</v>
      </c>
      <c r="C13" t="s">
        <v>132</v>
      </c>
      <c r="D13" t="s">
        <v>133</v>
      </c>
    </row>
    <row r="14" spans="1:4" x14ac:dyDescent="0.25">
      <c r="A14" t="s">
        <v>32</v>
      </c>
      <c r="B14">
        <v>14</v>
      </c>
      <c r="C14">
        <v>5</v>
      </c>
      <c r="D14" s="7">
        <f>Table251721232527293133353739414547495162646668707491442[[#This Row],[Summits]]/Table251721232527293133353739414547495162646668707491442[[#This Row],[Climbers]]</f>
        <v>0.35714285714285715</v>
      </c>
    </row>
    <row r="15" spans="1:4" x14ac:dyDescent="0.25">
      <c r="A15" t="s">
        <v>28</v>
      </c>
      <c r="B15">
        <f>SUM(B14:B14)</f>
        <v>14</v>
      </c>
      <c r="C15">
        <f>SUM(C14:C14)</f>
        <v>5</v>
      </c>
      <c r="D15" s="7">
        <f>Table251721232527293133353739414547495162646668707491442[[#This Row],[Summits]]/Table251721232527293133353739414547495162646668707491442[[#This Row],[Climbers]]</f>
        <v>0.35714285714285715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4"/>
  <sheetViews>
    <sheetView workbookViewId="0">
      <selection activeCell="A29" sqref="A29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14</v>
      </c>
      <c r="C2">
        <v>8</v>
      </c>
      <c r="D2" s="7">
        <f>Table215202224262830323436384044464850616365676973213[[#This Row],[Summits]]/Table215202224262830323436384044464850616365676973213[[#This Row],[Climbers]]</f>
        <v>0.5714285714285714</v>
      </c>
    </row>
    <row r="3" spans="1:4" x14ac:dyDescent="0.25">
      <c r="A3" t="s">
        <v>123</v>
      </c>
      <c r="B3">
        <v>4</v>
      </c>
      <c r="C3">
        <v>2</v>
      </c>
      <c r="D3" s="7">
        <f>Table215202224262830323436384044464850616365676973213[[#This Row],[Summits]]/Table215202224262830323436384044464850616365676973213[[#This Row],[Climbers]]</f>
        <v>0.5</v>
      </c>
    </row>
    <row r="4" spans="1:4" x14ac:dyDescent="0.25">
      <c r="A4" t="s">
        <v>60</v>
      </c>
      <c r="B4">
        <v>6</v>
      </c>
      <c r="C4">
        <v>0</v>
      </c>
      <c r="D4" s="7">
        <f>Table215202224262830323436384044464850616365676973213[[#This Row],[Summits]]/Table215202224262830323436384044464850616365676973213[[#This Row],[Climbers]]</f>
        <v>0</v>
      </c>
    </row>
    <row r="5" spans="1:4" x14ac:dyDescent="0.25">
      <c r="A5" t="s">
        <v>110</v>
      </c>
      <c r="B5">
        <v>3</v>
      </c>
      <c r="C5">
        <v>0</v>
      </c>
      <c r="D5" s="7">
        <f>Table215202224262830323436384044464850616365676973213[[#This Row],[Summits]]/Table215202224262830323436384044464850616365676973213[[#This Row],[Climbers]]</f>
        <v>0</v>
      </c>
    </row>
    <row r="6" spans="1:4" x14ac:dyDescent="0.25">
      <c r="A6" t="s">
        <v>1</v>
      </c>
      <c r="B6">
        <v>1134</v>
      </c>
      <c r="C6">
        <v>460</v>
      </c>
      <c r="D6" s="7">
        <f>Table215202224262830323436384044464850616365676973213[[#This Row],[Summits]]/Table215202224262830323436384044464850616365676973213[[#This Row],[Climbers]]</f>
        <v>0.40564373897707229</v>
      </c>
    </row>
    <row r="7" spans="1:4" x14ac:dyDescent="0.25">
      <c r="A7" t="s">
        <v>111</v>
      </c>
      <c r="B7">
        <v>7</v>
      </c>
      <c r="C7">
        <v>0</v>
      </c>
      <c r="D7" s="7">
        <f>Table215202224262830323436384044464850616365676973213[[#This Row],[Summits]]/Table215202224262830323436384044464850616365676973213[[#This Row],[Climbers]]</f>
        <v>0</v>
      </c>
    </row>
    <row r="8" spans="1:4" x14ac:dyDescent="0.25">
      <c r="A8" t="s">
        <v>7</v>
      </c>
      <c r="B8">
        <v>25</v>
      </c>
      <c r="C8">
        <v>13</v>
      </c>
      <c r="D8" s="7">
        <f>Table215202224262830323436384044464850616365676973213[[#This Row],[Summits]]/Table215202224262830323436384044464850616365676973213[[#This Row],[Climbers]]</f>
        <v>0.52</v>
      </c>
    </row>
    <row r="9" spans="1:4" x14ac:dyDescent="0.25">
      <c r="A9" t="s">
        <v>122</v>
      </c>
      <c r="B9">
        <v>30</v>
      </c>
      <c r="C9">
        <v>15</v>
      </c>
      <c r="D9" s="7">
        <f>Table215202224262830323436384044464850616365676973213[[#This Row],[Summits]]/Table215202224262830323436384044464850616365676973213[[#This Row],[Climbers]]</f>
        <v>0.5</v>
      </c>
    </row>
    <row r="10" spans="1:4" x14ac:dyDescent="0.25">
      <c r="A10" t="s">
        <v>28</v>
      </c>
      <c r="B10">
        <f>SUM(B2:B9)</f>
        <v>1223</v>
      </c>
      <c r="C10">
        <f>SUM(C2:C9)</f>
        <v>498</v>
      </c>
      <c r="D10" s="7">
        <f>Table215202224262830323436384044464850616365676973213[[#This Row],[Summits]]/Table215202224262830323436384044464850616365676973213[[#This Row],[Climbers]]</f>
        <v>0.40719542109566642</v>
      </c>
    </row>
    <row r="12" spans="1:4" x14ac:dyDescent="0.25">
      <c r="A12" t="s">
        <v>17</v>
      </c>
      <c r="B12" t="s">
        <v>11</v>
      </c>
      <c r="C12" t="s">
        <v>132</v>
      </c>
      <c r="D12" t="s">
        <v>133</v>
      </c>
    </row>
    <row r="13" spans="1:4" x14ac:dyDescent="0.25">
      <c r="A13" t="s">
        <v>32</v>
      </c>
      <c r="B13">
        <v>3</v>
      </c>
      <c r="C13">
        <v>0</v>
      </c>
      <c r="D13" s="7">
        <f>Table2517212325272931333537394145474951626466687074914[[#This Row],[Summits]]/Table2517212325272931333537394145474951626466687074914[[#This Row],[Climbers]]</f>
        <v>0</v>
      </c>
    </row>
    <row r="14" spans="1:4" x14ac:dyDescent="0.25">
      <c r="A14" t="s">
        <v>28</v>
      </c>
      <c r="B14">
        <f>SUM(B13:B13)</f>
        <v>3</v>
      </c>
      <c r="C14">
        <f>SUM(C13:C13)</f>
        <v>0</v>
      </c>
      <c r="D14" s="7">
        <f>Table2517212325272931333537394145474951626466687074914[[#This Row],[Summits]]/Table2517212325272931333537394145474951626466687074914[[#This Row],[Climbers]]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4"/>
  <sheetViews>
    <sheetView workbookViewId="0">
      <selection activeCell="B13" sqref="B13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10</v>
      </c>
      <c r="C2">
        <v>8</v>
      </c>
      <c r="D2" s="7">
        <f>Table21520222426283032343638404446485061636567697321316[[#This Row],[Summits]]/Table21520222426283032343638404446485061636567697321316[[#This Row],[Climbers]]</f>
        <v>0.8</v>
      </c>
    </row>
    <row r="3" spans="1:4" x14ac:dyDescent="0.25">
      <c r="A3" t="s">
        <v>123</v>
      </c>
      <c r="B3">
        <v>2</v>
      </c>
      <c r="C3">
        <v>2</v>
      </c>
      <c r="D3" s="7">
        <f>Table21520222426283032343638404446485061636567697321316[[#This Row],[Summits]]/Table21520222426283032343638404446485061636567697321316[[#This Row],[Climbers]]</f>
        <v>1</v>
      </c>
    </row>
    <row r="4" spans="1:4" x14ac:dyDescent="0.25">
      <c r="A4" t="s">
        <v>3</v>
      </c>
      <c r="B4">
        <v>24</v>
      </c>
      <c r="C4">
        <v>12</v>
      </c>
      <c r="D4" s="7">
        <f>Table21520222426283032343638404446485061636567697321316[[#This Row],[Summits]]/Table21520222426283032343638404446485061636567697321316[[#This Row],[Climbers]]</f>
        <v>0.5</v>
      </c>
    </row>
    <row r="5" spans="1:4" x14ac:dyDescent="0.25">
      <c r="A5" t="s">
        <v>110</v>
      </c>
      <c r="B5">
        <v>5</v>
      </c>
      <c r="C5">
        <v>0</v>
      </c>
      <c r="D5" s="7">
        <f>Table21520222426283032343638404446485061636567697321316[[#This Row],[Summits]]/Table21520222426283032343638404446485061636567697321316[[#This Row],[Climbers]]</f>
        <v>0</v>
      </c>
    </row>
    <row r="6" spans="1:4" x14ac:dyDescent="0.25">
      <c r="A6" t="s">
        <v>121</v>
      </c>
      <c r="B6">
        <v>1</v>
      </c>
      <c r="C6">
        <v>1</v>
      </c>
      <c r="D6" s="7">
        <f>Table21520222426283032343638404446485061636567697321316[[#This Row],[Summits]]/Table21520222426283032343638404446485061636567697321316[[#This Row],[Climbers]]</f>
        <v>1</v>
      </c>
    </row>
    <row r="7" spans="1:4" x14ac:dyDescent="0.25">
      <c r="A7" t="s">
        <v>1</v>
      </c>
      <c r="B7">
        <v>1071</v>
      </c>
      <c r="C7">
        <v>729</v>
      </c>
      <c r="D7" s="7">
        <f>Table21520222426283032343638404446485061636567697321316[[#This Row],[Summits]]/Table21520222426283032343638404446485061636567697321316[[#This Row],[Climbers]]</f>
        <v>0.68067226890756305</v>
      </c>
    </row>
    <row r="8" spans="1:4" x14ac:dyDescent="0.25">
      <c r="A8" t="s">
        <v>7</v>
      </c>
      <c r="B8">
        <v>16</v>
      </c>
      <c r="C8">
        <v>12</v>
      </c>
      <c r="D8" s="7">
        <f>Table21520222426283032343638404446485061636567697321316[[#This Row],[Summits]]/Table21520222426283032343638404446485061636567697321316[[#This Row],[Climbers]]</f>
        <v>0.75</v>
      </c>
    </row>
    <row r="9" spans="1:4" x14ac:dyDescent="0.25">
      <c r="A9" t="s">
        <v>122</v>
      </c>
      <c r="B9">
        <v>22</v>
      </c>
      <c r="C9">
        <v>19</v>
      </c>
      <c r="D9" s="7">
        <f>Table21520222426283032343638404446485061636567697321316[[#This Row],[Summits]]/Table21520222426283032343638404446485061636567697321316[[#This Row],[Climbers]]</f>
        <v>0.86363636363636365</v>
      </c>
    </row>
    <row r="10" spans="1:4" x14ac:dyDescent="0.25">
      <c r="A10" t="s">
        <v>28</v>
      </c>
      <c r="B10">
        <f>SUM(B2:B9)</f>
        <v>1151</v>
      </c>
      <c r="C10">
        <f>SUM(C2:C9)</f>
        <v>783</v>
      </c>
      <c r="D10" s="7">
        <f>Table21520222426283032343638404446485061636567697321316[[#This Row],[Summits]]/Table21520222426283032343638404446485061636567697321316[[#This Row],[Climbers]]</f>
        <v>0.68027801911381403</v>
      </c>
    </row>
    <row r="12" spans="1:4" x14ac:dyDescent="0.25">
      <c r="A12" t="s">
        <v>17</v>
      </c>
      <c r="B12" t="s">
        <v>11</v>
      </c>
      <c r="C12" t="s">
        <v>132</v>
      </c>
      <c r="D12" t="s">
        <v>133</v>
      </c>
    </row>
    <row r="13" spans="1:4" x14ac:dyDescent="0.25">
      <c r="A13" t="s">
        <v>32</v>
      </c>
      <c r="B13">
        <v>12</v>
      </c>
      <c r="C13">
        <v>6</v>
      </c>
      <c r="D13" s="7">
        <f>Table251721232527293133353739414547495162646668707491418[[#This Row],[Summits]]/Table251721232527293133353739414547495162646668707491418[[#This Row],[Climbers]]</f>
        <v>0.5</v>
      </c>
    </row>
    <row r="14" spans="1:4" x14ac:dyDescent="0.25">
      <c r="A14" t="s">
        <v>28</v>
      </c>
      <c r="B14">
        <f>SUM(B13:B13)</f>
        <v>12</v>
      </c>
      <c r="C14">
        <f>SUM(C13:C13)</f>
        <v>6</v>
      </c>
      <c r="D14" s="7">
        <f>Table251721232527293133353739414547495162646668707491418[[#This Row],[Summits]]/Table251721232527293133353739414547495162646668707491418[[#This Row],[Climbers]]</f>
        <v>0.5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12"/>
  <sheetViews>
    <sheetView workbookViewId="0">
      <selection activeCell="B11" sqref="B11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5</v>
      </c>
      <c r="C2">
        <v>4</v>
      </c>
      <c r="D2" s="7">
        <f>Table215202224262830323436384044464850616365676973211[[#This Row],[Summits]]/Table215202224262830323436384044464850616365676973211[[#This Row],[Climbers]]</f>
        <v>0.8</v>
      </c>
    </row>
    <row r="3" spans="1:4" x14ac:dyDescent="0.25">
      <c r="A3" t="s">
        <v>3</v>
      </c>
      <c r="B3">
        <v>4</v>
      </c>
      <c r="C3">
        <v>0</v>
      </c>
      <c r="D3" s="7">
        <f>Table215202224262830323436384044464850616365676973211[[#This Row],[Summits]]/Table215202224262830323436384044464850616365676973211[[#This Row],[Climbers]]</f>
        <v>0</v>
      </c>
    </row>
    <row r="4" spans="1:4" x14ac:dyDescent="0.25">
      <c r="A4" t="s">
        <v>110</v>
      </c>
      <c r="B4">
        <v>2</v>
      </c>
      <c r="C4">
        <v>0</v>
      </c>
      <c r="D4" s="7">
        <f>Table215202224262830323436384044464850616365676973211[[#This Row],[Summits]]/Table215202224262830323436384044464850616365676973211[[#This Row],[Climbers]]</f>
        <v>0</v>
      </c>
    </row>
    <row r="5" spans="1:4" x14ac:dyDescent="0.25">
      <c r="A5" t="s">
        <v>1</v>
      </c>
      <c r="B5">
        <v>1156</v>
      </c>
      <c r="C5">
        <v>404</v>
      </c>
      <c r="D5" s="7">
        <f>Table215202224262830323436384044464850616365676973211[[#This Row],[Summits]]/Table215202224262830323436384044464850616365676973211[[#This Row],[Climbers]]</f>
        <v>0.34948096885813151</v>
      </c>
    </row>
    <row r="6" spans="1:4" x14ac:dyDescent="0.25">
      <c r="A6" t="s">
        <v>7</v>
      </c>
      <c r="B6">
        <v>15</v>
      </c>
      <c r="C6">
        <v>12</v>
      </c>
      <c r="D6" s="7">
        <f>Table215202224262830323436384044464850616365676973211[[#This Row],[Summits]]/Table215202224262830323436384044464850616365676973211[[#This Row],[Climbers]]</f>
        <v>0.8</v>
      </c>
    </row>
    <row r="7" spans="1:4" x14ac:dyDescent="0.25">
      <c r="A7" t="s">
        <v>122</v>
      </c>
      <c r="B7">
        <v>22</v>
      </c>
      <c r="C7">
        <v>9</v>
      </c>
      <c r="D7" s="7">
        <f>Table215202224262830323436384044464850616365676973211[[#This Row],[Summits]]/Table215202224262830323436384044464850616365676973211[[#This Row],[Climbers]]</f>
        <v>0.40909090909090912</v>
      </c>
    </row>
    <row r="8" spans="1:4" x14ac:dyDescent="0.25">
      <c r="A8" t="s">
        <v>28</v>
      </c>
      <c r="B8">
        <f>SUM(B2:B7)</f>
        <v>1204</v>
      </c>
      <c r="C8">
        <f>SUM(C2:C7)</f>
        <v>429</v>
      </c>
      <c r="D8" s="7">
        <f>Table215202224262830323436384044464850616365676973211[[#This Row],[Summits]]/Table215202224262830323436384044464850616365676973211[[#This Row],[Climbers]]</f>
        <v>0.35631229235880396</v>
      </c>
    </row>
    <row r="10" spans="1:4" x14ac:dyDescent="0.25">
      <c r="A10" t="s">
        <v>17</v>
      </c>
      <c r="B10" t="s">
        <v>11</v>
      </c>
      <c r="C10" t="s">
        <v>132</v>
      </c>
      <c r="D10" t="s">
        <v>133</v>
      </c>
    </row>
    <row r="11" spans="1:4" x14ac:dyDescent="0.25">
      <c r="A11" t="s">
        <v>32</v>
      </c>
      <c r="B11">
        <v>12</v>
      </c>
      <c r="C11">
        <v>6</v>
      </c>
      <c r="D11" s="7">
        <f>Table2517212325272931333537394145474951626466687074912[[#This Row],[Summits]]/Table2517212325272931333537394145474951626466687074912[[#This Row],[Climbers]]</f>
        <v>0.5</v>
      </c>
    </row>
    <row r="12" spans="1:4" x14ac:dyDescent="0.25">
      <c r="A12" t="s">
        <v>28</v>
      </c>
      <c r="B12">
        <f>SUM(B11:B11)</f>
        <v>12</v>
      </c>
      <c r="C12">
        <f>SUM(C11:C11)</f>
        <v>6</v>
      </c>
      <c r="D12" s="7">
        <f>Table2517212325272931333537394145474951626466687074912[[#This Row],[Summits]]/Table2517212325272931333537394145474951626466687074912[[#This Row],[Climbers]]</f>
        <v>0.5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>
      <selection activeCell="D3" sqref="D3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13</v>
      </c>
      <c r="C2">
        <v>13</v>
      </c>
      <c r="D2" s="7">
        <f>Table2152022242628303234363840444648506163656769732[[#This Row],[Summits]]/Table2152022242628303234363840444648506163656769732[[#This Row],[Climbers]]</f>
        <v>1</v>
      </c>
    </row>
    <row r="3" spans="1:4" x14ac:dyDescent="0.25">
      <c r="A3" t="s">
        <v>125</v>
      </c>
      <c r="B3">
        <v>2</v>
      </c>
      <c r="C3">
        <v>2</v>
      </c>
      <c r="D3" s="7">
        <f>Table2152022242628303234363840444648506163656769732[[#This Row],[Summits]]/Table2152022242628303234363840444648506163656769732[[#This Row],[Climbers]]</f>
        <v>1</v>
      </c>
    </row>
    <row r="4" spans="1:4" x14ac:dyDescent="0.25">
      <c r="A4" t="s">
        <v>3</v>
      </c>
      <c r="B4">
        <v>14</v>
      </c>
      <c r="C4">
        <v>0</v>
      </c>
      <c r="D4" s="7">
        <f>Table2152022242628303234363840444648506163656769732[[#This Row],[Summits]]/Table2152022242628303234363840444648506163656769732[[#This Row],[Climbers]]</f>
        <v>0</v>
      </c>
    </row>
    <row r="5" spans="1:4" x14ac:dyDescent="0.25">
      <c r="A5" t="s">
        <v>121</v>
      </c>
      <c r="B5">
        <v>1</v>
      </c>
      <c r="C5">
        <v>1</v>
      </c>
      <c r="D5" s="7">
        <f>Table2152022242628303234363840444648506163656769732[[#This Row],[Summits]]/Table2152022242628303234363840444648506163656769732[[#This Row],[Climbers]]</f>
        <v>1</v>
      </c>
    </row>
    <row r="6" spans="1:4" x14ac:dyDescent="0.25">
      <c r="A6" t="s">
        <v>1</v>
      </c>
      <c r="B6">
        <v>1031</v>
      </c>
      <c r="C6">
        <v>589</v>
      </c>
      <c r="D6" s="7">
        <f>Table2152022242628303234363840444648506163656769732[[#This Row],[Summits]]/Table2152022242628303234363840444648506163656769732[[#This Row],[Climbers]]</f>
        <v>0.57129000969932109</v>
      </c>
    </row>
    <row r="7" spans="1:4" x14ac:dyDescent="0.25">
      <c r="A7" t="s">
        <v>7</v>
      </c>
      <c r="B7">
        <v>10</v>
      </c>
      <c r="C7">
        <v>5</v>
      </c>
      <c r="D7" s="7">
        <f>Table2152022242628303234363840444648506163656769732[[#This Row],[Summits]]/Table2152022242628303234363840444648506163656769732[[#This Row],[Climbers]]</f>
        <v>0.5</v>
      </c>
    </row>
    <row r="8" spans="1:4" x14ac:dyDescent="0.25">
      <c r="A8" t="s">
        <v>122</v>
      </c>
      <c r="B8">
        <v>19</v>
      </c>
      <c r="C8">
        <v>18</v>
      </c>
      <c r="D8" s="7">
        <f>Table2152022242628303234363840444648506163656769732[[#This Row],[Summits]]/Table2152022242628303234363840444648506163656769732[[#This Row],[Climbers]]</f>
        <v>0.94736842105263153</v>
      </c>
    </row>
    <row r="9" spans="1:4" x14ac:dyDescent="0.25">
      <c r="A9" t="s">
        <v>28</v>
      </c>
      <c r="B9">
        <f>SUM(B2:B8)</f>
        <v>1090</v>
      </c>
      <c r="C9">
        <f>SUM(C2:C8)</f>
        <v>628</v>
      </c>
      <c r="D9" s="7">
        <f>Table2152022242628303234363840444648506163656769732[[#This Row],[Summits]]/Table2152022242628303234363840444648506163656769732[[#This Row],[Climbers]]</f>
        <v>0.57614678899082572</v>
      </c>
    </row>
    <row r="11" spans="1:4" x14ac:dyDescent="0.25">
      <c r="A11" t="s">
        <v>17</v>
      </c>
      <c r="B11" t="s">
        <v>11</v>
      </c>
      <c r="C11" t="s">
        <v>132</v>
      </c>
      <c r="D11" t="s">
        <v>133</v>
      </c>
    </row>
    <row r="12" spans="1:4" x14ac:dyDescent="0.25">
      <c r="A12" t="s">
        <v>32</v>
      </c>
      <c r="B12">
        <v>15</v>
      </c>
      <c r="C12">
        <v>6</v>
      </c>
      <c r="D12" s="7">
        <f>Table25172123252729313335373941454749516264666870749[[#This Row],[Summits]]/Table25172123252729313335373941454749516264666870749[[#This Row],[Climbers]]</f>
        <v>0.4</v>
      </c>
    </row>
    <row r="13" spans="1:4" x14ac:dyDescent="0.25">
      <c r="A13" t="s">
        <v>28</v>
      </c>
      <c r="B13">
        <f>SUM(B12:B12)</f>
        <v>15</v>
      </c>
      <c r="C13">
        <f>SUM(C12:C12)</f>
        <v>6</v>
      </c>
      <c r="D13" s="7">
        <f>Table25172123252729313335373941454749516264666870749[[#This Row],[Summits]]/Table25172123252729313335373941454749516264666870749[[#This Row],[Climbers]]</f>
        <v>0.4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7"/>
  <sheetViews>
    <sheetView workbookViewId="0">
      <selection activeCell="D30" sqref="D30"/>
    </sheetView>
  </sheetViews>
  <sheetFormatPr defaultRowHeight="15" x14ac:dyDescent="0.25"/>
  <cols>
    <col min="1" max="1" width="43.85546875" customWidth="1"/>
    <col min="2" max="2" width="23" customWidth="1"/>
    <col min="3" max="3" width="19.5703125" customWidth="1"/>
    <col min="4" max="4" width="21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12</v>
      </c>
      <c r="C2">
        <v>6</v>
      </c>
      <c r="D2" s="7">
        <f>Table215202224262830323436384044464850616365676973277[[#This Row],[Summits]]/Table215202224262830323436384044464850616365676973277[[#This Row],[Climbers]]</f>
        <v>0.5</v>
      </c>
    </row>
    <row r="3" spans="1:4" x14ac:dyDescent="0.25">
      <c r="A3" t="s">
        <v>125</v>
      </c>
      <c r="B3">
        <v>2</v>
      </c>
      <c r="C3">
        <v>0</v>
      </c>
      <c r="D3" s="7">
        <f>Table215202224262830323436384044464850616365676973277[[#This Row],[Summits]]/Table215202224262830323436384044464850616365676973277[[#This Row],[Climbers]]</f>
        <v>0</v>
      </c>
    </row>
    <row r="4" spans="1:4" x14ac:dyDescent="0.25">
      <c r="A4" t="s">
        <v>129</v>
      </c>
      <c r="B4">
        <v>2</v>
      </c>
      <c r="C4">
        <v>0</v>
      </c>
      <c r="D4" s="7">
        <f>Table215202224262830323436384044464850616365676973277[[#This Row],[Summits]]/Table215202224262830323436384044464850616365676973277[[#This Row],[Climbers]]</f>
        <v>0</v>
      </c>
    </row>
    <row r="5" spans="1:4" x14ac:dyDescent="0.25">
      <c r="A5" t="s">
        <v>3</v>
      </c>
      <c r="B5">
        <v>7</v>
      </c>
      <c r="C5">
        <v>4</v>
      </c>
      <c r="D5" s="7">
        <f>Table215202224262830323436384044464850616365676973277[[#This Row],[Summits]]/Table215202224262830323436384044464850616365676973277[[#This Row],[Climbers]]</f>
        <v>0.5714285714285714</v>
      </c>
    </row>
    <row r="6" spans="1:4" x14ac:dyDescent="0.25">
      <c r="A6" t="s">
        <v>115</v>
      </c>
      <c r="B6">
        <v>2</v>
      </c>
      <c r="C6">
        <v>0</v>
      </c>
      <c r="D6" s="7">
        <f>Table215202224262830323436384044464850616365676973277[[#This Row],[Summits]]/Table215202224262830323436384044464850616365676973277[[#This Row],[Climbers]]</f>
        <v>0</v>
      </c>
    </row>
    <row r="7" spans="1:4" x14ac:dyDescent="0.25">
      <c r="A7" t="s">
        <v>121</v>
      </c>
      <c r="B7">
        <v>1</v>
      </c>
      <c r="C7">
        <v>0</v>
      </c>
      <c r="D7" s="7">
        <f>Table215202224262830323436384044464850616365676973277[[#This Row],[Summits]]/Table215202224262830323436384044464850616365676973277[[#This Row],[Climbers]]</f>
        <v>0</v>
      </c>
    </row>
    <row r="8" spans="1:4" x14ac:dyDescent="0.25">
      <c r="A8" t="s">
        <v>1</v>
      </c>
      <c r="B8">
        <v>1079</v>
      </c>
      <c r="C8">
        <v>647</v>
      </c>
      <c r="D8" s="7">
        <f>Table215202224262830323436384044464850616365676973277[[#This Row],[Summits]]/Table215202224262830323436384044464850616365676973277[[#This Row],[Climbers]]</f>
        <v>0.59962928637627433</v>
      </c>
    </row>
    <row r="9" spans="1:4" x14ac:dyDescent="0.25">
      <c r="A9" t="s">
        <v>7</v>
      </c>
      <c r="B9">
        <v>15</v>
      </c>
      <c r="C9">
        <v>12</v>
      </c>
      <c r="D9" s="7">
        <f>Table215202224262830323436384044464850616365676973277[[#This Row],[Summits]]/Table215202224262830323436384044464850616365676973277[[#This Row],[Climbers]]</f>
        <v>0.8</v>
      </c>
    </row>
    <row r="10" spans="1:4" x14ac:dyDescent="0.25">
      <c r="A10" t="s">
        <v>122</v>
      </c>
      <c r="B10">
        <v>6</v>
      </c>
      <c r="C10">
        <v>6</v>
      </c>
      <c r="D10" s="7">
        <f>Table215202224262830323436384044464850616365676973277[[#This Row],[Summits]]/Table215202224262830323436384044464850616365676973277[[#This Row],[Climbers]]</f>
        <v>1</v>
      </c>
    </row>
    <row r="11" spans="1:4" ht="15.75" x14ac:dyDescent="0.25">
      <c r="A11" s="8" t="s">
        <v>28</v>
      </c>
      <c r="B11" s="8">
        <f>SUM(B2:B10)</f>
        <v>1126</v>
      </c>
      <c r="C11" s="8">
        <f>SUM(C2:C10)</f>
        <v>675</v>
      </c>
      <c r="D11" s="9">
        <f>Table215202224262830323436384044464850616365676973277[[#This Row],[Summits]]/Table215202224262830323436384044464850616365676973277[[#This Row],[Climbers]]</f>
        <v>0.59946714031971582</v>
      </c>
    </row>
    <row r="13" spans="1:4" x14ac:dyDescent="0.25">
      <c r="A13" t="s">
        <v>136</v>
      </c>
      <c r="B13" t="s">
        <v>11</v>
      </c>
      <c r="C13" t="s">
        <v>132</v>
      </c>
      <c r="D13" t="s">
        <v>133</v>
      </c>
    </row>
    <row r="14" spans="1:4" x14ac:dyDescent="0.25">
      <c r="A14" t="s">
        <v>137</v>
      </c>
      <c r="B14">
        <v>2</v>
      </c>
      <c r="C14">
        <v>2</v>
      </c>
      <c r="D14" s="7">
        <f>Table2517212325272931333537394145474951626466687074978[[#This Row],[Summits]]/Table2517212325272931333537394145474951626466687074978[[#This Row],[Climbers]]</f>
        <v>1</v>
      </c>
    </row>
    <row r="15" spans="1:4" x14ac:dyDescent="0.25">
      <c r="A15" t="s">
        <v>16</v>
      </c>
      <c r="B15">
        <v>5</v>
      </c>
      <c r="C15">
        <v>5</v>
      </c>
      <c r="D15" s="7">
        <f>Table2517212325272931333537394145474951626466687074978[[#This Row],[Summits]]/Table2517212325272931333537394145474951626466687074978[[#This Row],[Climbers]]</f>
        <v>1</v>
      </c>
    </row>
    <row r="16" spans="1:4" x14ac:dyDescent="0.25">
      <c r="A16" t="s">
        <v>138</v>
      </c>
      <c r="B16">
        <v>9</v>
      </c>
      <c r="C16">
        <v>0</v>
      </c>
      <c r="D16" s="7">
        <f>Table2517212325272931333537394145474951626466687074978[[#This Row],[Summits]]/Table2517212325272931333537394145474951626466687074978[[#This Row],[Climbers]]</f>
        <v>0</v>
      </c>
    </row>
    <row r="17" spans="1:4" ht="15.75" x14ac:dyDescent="0.25">
      <c r="A17" s="8" t="s">
        <v>28</v>
      </c>
      <c r="B17" s="8">
        <f>SUM(B14:B16)</f>
        <v>16</v>
      </c>
      <c r="C17" s="8">
        <f>SUM(C14:C16)</f>
        <v>7</v>
      </c>
      <c r="D17" s="9">
        <f>Table2517212325272931333537394145474951626466687074978[[#This Row],[Summits]]/Table2517212325272931333537394145474951626466687074978[[#This Row],[Climbers]]</f>
        <v>0.4375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7" sqref="A17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93</v>
      </c>
      <c r="C2">
        <v>321</v>
      </c>
      <c r="D2">
        <v>164</v>
      </c>
    </row>
    <row r="3" spans="1:4" x14ac:dyDescent="0.25">
      <c r="A3" t="s">
        <v>2</v>
      </c>
      <c r="B3">
        <v>14</v>
      </c>
      <c r="C3">
        <v>104</v>
      </c>
      <c r="D3">
        <v>75</v>
      </c>
    </row>
    <row r="4" spans="1:4" x14ac:dyDescent="0.25">
      <c r="A4" t="s">
        <v>7</v>
      </c>
      <c r="B4">
        <v>18</v>
      </c>
      <c r="C4">
        <v>63</v>
      </c>
      <c r="D4">
        <v>27</v>
      </c>
    </row>
    <row r="5" spans="1:4" x14ac:dyDescent="0.25">
      <c r="A5" t="s">
        <v>55</v>
      </c>
      <c r="B5">
        <v>1</v>
      </c>
      <c r="C5">
        <v>6</v>
      </c>
      <c r="D5">
        <v>6</v>
      </c>
    </row>
    <row r="6" spans="1:4" x14ac:dyDescent="0.25">
      <c r="A6" t="s">
        <v>3</v>
      </c>
      <c r="B6">
        <v>5</v>
      </c>
      <c r="C6">
        <v>23</v>
      </c>
      <c r="D6">
        <v>2</v>
      </c>
    </row>
    <row r="7" spans="1:4" x14ac:dyDescent="0.25">
      <c r="A7" t="s">
        <v>56</v>
      </c>
      <c r="B7">
        <v>1</v>
      </c>
      <c r="C7">
        <v>17</v>
      </c>
      <c r="D7">
        <v>7</v>
      </c>
    </row>
    <row r="8" spans="1:4" x14ac:dyDescent="0.25">
      <c r="A8" t="s">
        <v>4</v>
      </c>
      <c r="B8">
        <v>16</v>
      </c>
      <c r="C8">
        <v>35</v>
      </c>
      <c r="D8">
        <v>20</v>
      </c>
    </row>
    <row r="9" spans="1:4" x14ac:dyDescent="0.25">
      <c r="A9" t="s">
        <v>6</v>
      </c>
      <c r="B9">
        <v>2</v>
      </c>
      <c r="C9">
        <v>5</v>
      </c>
      <c r="D9">
        <v>0</v>
      </c>
    </row>
    <row r="10" spans="1:4" x14ac:dyDescent="0.25">
      <c r="A10" t="s">
        <v>8</v>
      </c>
      <c r="B10">
        <v>2</v>
      </c>
      <c r="C10">
        <v>8</v>
      </c>
      <c r="D10">
        <v>5</v>
      </c>
    </row>
    <row r="11" spans="1:4" x14ac:dyDescent="0.25">
      <c r="A11" t="s">
        <v>57</v>
      </c>
      <c r="B11">
        <v>1</v>
      </c>
      <c r="C11">
        <v>10</v>
      </c>
      <c r="D11">
        <v>10</v>
      </c>
    </row>
    <row r="12" spans="1:4" x14ac:dyDescent="0.25">
      <c r="A12" t="s">
        <v>47</v>
      </c>
      <c r="B12">
        <v>3</v>
      </c>
      <c r="C12">
        <v>13</v>
      </c>
      <c r="D12">
        <v>4</v>
      </c>
    </row>
    <row r="13" spans="1:4" x14ac:dyDescent="0.25">
      <c r="A13" t="s">
        <v>58</v>
      </c>
      <c r="B13">
        <v>1</v>
      </c>
      <c r="C13">
        <v>3</v>
      </c>
      <c r="D13">
        <v>0</v>
      </c>
    </row>
    <row r="14" spans="1:4" x14ac:dyDescent="0.25">
      <c r="A14" t="s">
        <v>59</v>
      </c>
      <c r="B14">
        <v>1</v>
      </c>
      <c r="C14">
        <v>2</v>
      </c>
      <c r="D14">
        <v>0</v>
      </c>
    </row>
    <row r="15" spans="1:4" x14ac:dyDescent="0.25">
      <c r="A15" t="s">
        <v>60</v>
      </c>
      <c r="B15">
        <v>2</v>
      </c>
      <c r="C15">
        <v>2</v>
      </c>
      <c r="D15">
        <v>1</v>
      </c>
    </row>
    <row r="16" spans="1:4" x14ac:dyDescent="0.25">
      <c r="A16" t="s">
        <v>28</v>
      </c>
      <c r="B16">
        <f>SUM(B2:B15)</f>
        <v>160</v>
      </c>
      <c r="C16">
        <f>SUM(C2:C15)</f>
        <v>612</v>
      </c>
      <c r="D16">
        <f>SUM(D2:D15)</f>
        <v>321</v>
      </c>
    </row>
    <row r="18" spans="1:4" x14ac:dyDescent="0.25">
      <c r="A18" t="s">
        <v>17</v>
      </c>
      <c r="B18" t="s">
        <v>10</v>
      </c>
      <c r="C18" t="s">
        <v>11</v>
      </c>
      <c r="D18" t="s">
        <v>135</v>
      </c>
    </row>
    <row r="19" spans="1:4" x14ac:dyDescent="0.25">
      <c r="A19" t="s">
        <v>32</v>
      </c>
      <c r="B19">
        <v>7</v>
      </c>
      <c r="C19">
        <v>19</v>
      </c>
      <c r="D19">
        <v>6</v>
      </c>
    </row>
    <row r="20" spans="1:4" x14ac:dyDescent="0.25">
      <c r="A20" t="s">
        <v>61</v>
      </c>
      <c r="B20">
        <v>1</v>
      </c>
      <c r="C20">
        <v>5</v>
      </c>
      <c r="D20">
        <v>0</v>
      </c>
    </row>
    <row r="21" spans="1:4" x14ac:dyDescent="0.25">
      <c r="A21" t="s">
        <v>18</v>
      </c>
      <c r="B21">
        <v>5</v>
      </c>
      <c r="C21">
        <v>11</v>
      </c>
      <c r="D21">
        <v>2</v>
      </c>
    </row>
    <row r="22" spans="1:4" x14ac:dyDescent="0.25">
      <c r="A22" t="s">
        <v>19</v>
      </c>
      <c r="B22">
        <v>5</v>
      </c>
      <c r="C22">
        <v>15</v>
      </c>
      <c r="D22">
        <v>9</v>
      </c>
    </row>
    <row r="23" spans="1:4" x14ac:dyDescent="0.25">
      <c r="A23" t="s">
        <v>22</v>
      </c>
      <c r="B23">
        <v>3</v>
      </c>
      <c r="C23">
        <v>14</v>
      </c>
      <c r="D23">
        <v>14</v>
      </c>
    </row>
    <row r="24" spans="1:4" x14ac:dyDescent="0.25">
      <c r="A24" t="s">
        <v>24</v>
      </c>
      <c r="B24">
        <v>1</v>
      </c>
      <c r="C24">
        <v>3</v>
      </c>
      <c r="D24">
        <v>3</v>
      </c>
    </row>
    <row r="25" spans="1:4" x14ac:dyDescent="0.25">
      <c r="A25" t="s">
        <v>23</v>
      </c>
      <c r="B25">
        <v>2</v>
      </c>
      <c r="C25">
        <v>6</v>
      </c>
      <c r="D25">
        <v>6</v>
      </c>
    </row>
    <row r="26" spans="1:4" x14ac:dyDescent="0.25">
      <c r="A26" t="s">
        <v>54</v>
      </c>
      <c r="B26">
        <v>1</v>
      </c>
      <c r="C26">
        <v>2</v>
      </c>
      <c r="D26">
        <v>0</v>
      </c>
    </row>
    <row r="27" spans="1:4" x14ac:dyDescent="0.25">
      <c r="A27" t="s">
        <v>62</v>
      </c>
      <c r="B27">
        <v>1</v>
      </c>
      <c r="C27">
        <v>2</v>
      </c>
      <c r="D27">
        <v>0</v>
      </c>
    </row>
    <row r="28" spans="1:4" x14ac:dyDescent="0.25">
      <c r="A28" t="s">
        <v>63</v>
      </c>
      <c r="B28">
        <v>3</v>
      </c>
      <c r="C28">
        <v>6</v>
      </c>
      <c r="D28">
        <v>0</v>
      </c>
    </row>
    <row r="29" spans="1:4" x14ac:dyDescent="0.25">
      <c r="A29" t="s">
        <v>21</v>
      </c>
      <c r="B29">
        <v>2</v>
      </c>
      <c r="C29">
        <v>4</v>
      </c>
      <c r="D29">
        <v>4</v>
      </c>
    </row>
    <row r="30" spans="1:4" x14ac:dyDescent="0.25">
      <c r="A30" t="s">
        <v>51</v>
      </c>
      <c r="B30">
        <v>1</v>
      </c>
      <c r="C30">
        <v>3</v>
      </c>
      <c r="D30">
        <v>0</v>
      </c>
    </row>
    <row r="31" spans="1:4" x14ac:dyDescent="0.25">
      <c r="A31" t="s">
        <v>64</v>
      </c>
      <c r="B31">
        <v>3</v>
      </c>
      <c r="C31">
        <v>15</v>
      </c>
      <c r="D31" t="s">
        <v>66</v>
      </c>
    </row>
    <row r="32" spans="1:4" x14ac:dyDescent="0.25">
      <c r="A32" t="s">
        <v>65</v>
      </c>
      <c r="B32">
        <v>19</v>
      </c>
      <c r="C32">
        <v>74</v>
      </c>
      <c r="D32" t="s">
        <v>66</v>
      </c>
    </row>
    <row r="33" spans="1:4" x14ac:dyDescent="0.25">
      <c r="A33" t="s">
        <v>26</v>
      </c>
      <c r="B33">
        <v>1</v>
      </c>
      <c r="C33">
        <v>2</v>
      </c>
      <c r="D33">
        <v>0</v>
      </c>
    </row>
    <row r="34" spans="1:4" x14ac:dyDescent="0.25">
      <c r="A34" t="s">
        <v>28</v>
      </c>
      <c r="B34">
        <f>SUM(B19:B32)</f>
        <v>54</v>
      </c>
      <c r="C34">
        <f>SUM(C19:C32)</f>
        <v>179</v>
      </c>
      <c r="D34">
        <f>SUM(D19:D32)</f>
        <v>44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13"/>
  <sheetViews>
    <sheetView workbookViewId="0"/>
  </sheetViews>
  <sheetFormatPr defaultRowHeight="15" x14ac:dyDescent="0.25"/>
  <cols>
    <col min="1" max="1" width="32.85546875" customWidth="1"/>
    <col min="2" max="2" width="16.28515625" customWidth="1"/>
    <col min="3" max="3" width="18.140625" customWidth="1"/>
    <col min="4" max="4" width="15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27</v>
      </c>
      <c r="C2">
        <v>17</v>
      </c>
      <c r="D2" s="7">
        <f>Table21520222426283032343638404446485061636567697327780[[#This Row],[Summits]]/Table21520222426283032343638404446485061636567697327780[[#This Row],[Climbers]]</f>
        <v>0.62962962962962965</v>
      </c>
    </row>
    <row r="3" spans="1:4" x14ac:dyDescent="0.25">
      <c r="A3" t="s">
        <v>123</v>
      </c>
      <c r="B3">
        <v>4</v>
      </c>
      <c r="C3">
        <v>2</v>
      </c>
      <c r="D3" s="7">
        <f>Table21520222426283032343638404446485061636567697327780[[#This Row],[Summits]]/Table21520222426283032343638404446485061636567697327780[[#This Row],[Climbers]]</f>
        <v>0.5</v>
      </c>
    </row>
    <row r="4" spans="1:4" x14ac:dyDescent="0.25">
      <c r="A4" t="s">
        <v>3</v>
      </c>
      <c r="B4">
        <v>15</v>
      </c>
      <c r="C4">
        <v>14</v>
      </c>
      <c r="D4" s="7">
        <f>Table21520222426283032343638404446485061636567697327780[[#This Row],[Summits]]/Table21520222426283032343638404446485061636567697327780[[#This Row],[Climbers]]</f>
        <v>0.93333333333333335</v>
      </c>
    </row>
    <row r="5" spans="1:4" x14ac:dyDescent="0.25">
      <c r="A5" t="s">
        <v>1</v>
      </c>
      <c r="B5">
        <v>1128</v>
      </c>
      <c r="C5">
        <v>461</v>
      </c>
      <c r="D5" s="7">
        <f>Table21520222426283032343638404446485061636567697327780[[#This Row],[Summits]]/Table21520222426283032343638404446485061636567697327780[[#This Row],[Climbers]]</f>
        <v>0.40868794326241137</v>
      </c>
    </row>
    <row r="6" spans="1:4" x14ac:dyDescent="0.25">
      <c r="A6" t="s">
        <v>7</v>
      </c>
      <c r="B6">
        <v>7</v>
      </c>
      <c r="C6">
        <v>3</v>
      </c>
      <c r="D6" s="7">
        <f>Table21520222426283032343638404446485061636567697327780[[#This Row],[Summits]]/Table21520222426283032343638404446485061636567697327780[[#This Row],[Climbers]]</f>
        <v>0.42857142857142855</v>
      </c>
    </row>
    <row r="7" spans="1:4" x14ac:dyDescent="0.25">
      <c r="A7" t="s">
        <v>122</v>
      </c>
      <c r="B7">
        <v>8</v>
      </c>
      <c r="C7">
        <v>1</v>
      </c>
      <c r="D7" s="7">
        <f>Table21520222426283032343638404446485061636567697327780[[#This Row],[Summits]]/Table21520222426283032343638404446485061636567697327780[[#This Row],[Climbers]]</f>
        <v>0.125</v>
      </c>
    </row>
    <row r="8" spans="1:4" ht="15.75" x14ac:dyDescent="0.25">
      <c r="A8" s="8" t="s">
        <v>28</v>
      </c>
      <c r="B8" s="8">
        <f>SUM(B2:B7)</f>
        <v>1189</v>
      </c>
      <c r="C8" s="8">
        <f>SUM(C2:C7)</f>
        <v>498</v>
      </c>
      <c r="D8" s="9">
        <f>Table21520222426283032343638404446485061636567697327780[[#This Row],[Summits]]/Table21520222426283032343638404446485061636567697327780[[#This Row],[Climbers]]</f>
        <v>0.4188393608074012</v>
      </c>
    </row>
    <row r="10" spans="1:4" x14ac:dyDescent="0.25">
      <c r="A10" t="s">
        <v>136</v>
      </c>
      <c r="B10" t="s">
        <v>11</v>
      </c>
      <c r="C10" t="s">
        <v>132</v>
      </c>
      <c r="D10" t="s">
        <v>133</v>
      </c>
    </row>
    <row r="11" spans="1:4" x14ac:dyDescent="0.25">
      <c r="A11" t="s">
        <v>16</v>
      </c>
      <c r="B11">
        <v>2</v>
      </c>
      <c r="C11">
        <v>0</v>
      </c>
      <c r="D11" s="7">
        <f>Table251721232527293133353739414547495162646668707497881[[#This Row],[Summits]]/Table251721232527293133353739414547495162646668707497881[[#This Row],[Climbers]]</f>
        <v>0</v>
      </c>
    </row>
    <row r="12" spans="1:4" x14ac:dyDescent="0.25">
      <c r="A12" t="s">
        <v>138</v>
      </c>
      <c r="B12">
        <v>9</v>
      </c>
      <c r="C12">
        <v>0</v>
      </c>
      <c r="D12" s="7">
        <f>Table251721232527293133353739414547495162646668707497881[[#This Row],[Summits]]/Table251721232527293133353739414547495162646668707497881[[#This Row],[Climbers]]</f>
        <v>0</v>
      </c>
    </row>
    <row r="13" spans="1:4" ht="15.75" x14ac:dyDescent="0.25">
      <c r="A13" s="8" t="s">
        <v>28</v>
      </c>
      <c r="B13" s="8">
        <f>SUM(B11:B12)</f>
        <v>11</v>
      </c>
      <c r="C13" s="8">
        <f>SUM(C11:C12)</f>
        <v>0</v>
      </c>
      <c r="D13" s="9">
        <f>Table251721232527293133353739414547495162646668707497881[[#This Row],[Summits]]/Table251721232527293133353739414547495162646668707497881[[#This Row],[Climbers]]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4"/>
  <sheetViews>
    <sheetView workbookViewId="0">
      <selection sqref="A1:D14"/>
    </sheetView>
  </sheetViews>
  <sheetFormatPr defaultRowHeight="15" x14ac:dyDescent="0.25"/>
  <cols>
    <col min="1" max="1" width="31.7109375" customWidth="1"/>
    <col min="2" max="2" width="15.85546875" customWidth="1"/>
    <col min="3" max="3" width="16.5703125" customWidth="1"/>
    <col min="4" max="4" width="17.57031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9</v>
      </c>
      <c r="C2">
        <v>7</v>
      </c>
      <c r="D2" s="7">
        <f>Table2152022242628303234363840444648506163656769732778082[[#This Row],[Summits]]/Table2152022242628303234363840444648506163656769732778082[[#This Row],[Climbers]]</f>
        <v>0.77777777777777779</v>
      </c>
    </row>
    <row r="3" spans="1:4" x14ac:dyDescent="0.25">
      <c r="A3" t="s">
        <v>3</v>
      </c>
      <c r="B3">
        <v>16</v>
      </c>
      <c r="C3">
        <v>13</v>
      </c>
      <c r="D3" s="7">
        <f>Table2152022242628303234363840444648506163656769732778082[[#This Row],[Summits]]/Table2152022242628303234363840444648506163656769732778082[[#This Row],[Climbers]]</f>
        <v>0.8125</v>
      </c>
    </row>
    <row r="4" spans="1:4" x14ac:dyDescent="0.25">
      <c r="A4" t="s">
        <v>121</v>
      </c>
      <c r="B4">
        <v>2</v>
      </c>
      <c r="C4">
        <v>2</v>
      </c>
      <c r="D4" s="7">
        <f>Table2152022242628303234363840444648506163656769732778082[[#This Row],[Summits]]/Table2152022242628303234363840444648506163656769732778082[[#This Row],[Climbers]]</f>
        <v>1</v>
      </c>
    </row>
    <row r="5" spans="1:4" x14ac:dyDescent="0.25">
      <c r="A5" t="s">
        <v>141</v>
      </c>
      <c r="B5">
        <v>2</v>
      </c>
      <c r="C5">
        <v>2</v>
      </c>
      <c r="D5" s="7">
        <f>Table2152022242628303234363840444648506163656769732778082[[#This Row],[Summits]]/Table2152022242628303234363840444648506163656769732778082[[#This Row],[Climbers]]</f>
        <v>1</v>
      </c>
    </row>
    <row r="6" spans="1:4" x14ac:dyDescent="0.25">
      <c r="A6" t="s">
        <v>6</v>
      </c>
      <c r="B6">
        <v>2</v>
      </c>
      <c r="C6">
        <v>2</v>
      </c>
      <c r="D6" s="7">
        <f>Table2152022242628303234363840444648506163656769732778082[[#This Row],[Summits]]/Table2152022242628303234363840444648506163656769732778082[[#This Row],[Climbers]]</f>
        <v>1</v>
      </c>
    </row>
    <row r="7" spans="1:4" x14ac:dyDescent="0.25">
      <c r="A7" t="s">
        <v>1</v>
      </c>
      <c r="B7">
        <v>1060</v>
      </c>
      <c r="C7">
        <v>463</v>
      </c>
      <c r="D7" s="7">
        <f>Table2152022242628303234363840444648506163656769732778082[[#This Row],[Summits]]/Table2152022242628303234363840444648506163656769732778082[[#This Row],[Climbers]]</f>
        <v>0.43679245283018869</v>
      </c>
    </row>
    <row r="8" spans="1:4" x14ac:dyDescent="0.25">
      <c r="A8" t="s">
        <v>7</v>
      </c>
      <c r="B8">
        <v>6</v>
      </c>
      <c r="C8">
        <v>0</v>
      </c>
      <c r="D8" s="7">
        <f>Table2152022242628303234363840444648506163656769732778082[[#This Row],[Summits]]/Table2152022242628303234363840444648506163656769732778082[[#This Row],[Climbers]]</f>
        <v>0</v>
      </c>
    </row>
    <row r="9" spans="1:4" x14ac:dyDescent="0.25">
      <c r="A9" t="s">
        <v>122</v>
      </c>
      <c r="B9">
        <v>17</v>
      </c>
      <c r="C9">
        <v>7</v>
      </c>
      <c r="D9" s="7">
        <f>Table2152022242628303234363840444648506163656769732778082[[#This Row],[Summits]]/Table2152022242628303234363840444648506163656769732778082[[#This Row],[Climbers]]</f>
        <v>0.41176470588235292</v>
      </c>
    </row>
    <row r="10" spans="1:4" ht="15.75" x14ac:dyDescent="0.25">
      <c r="A10" s="8" t="s">
        <v>28</v>
      </c>
      <c r="B10" s="8">
        <f>SUM(B2:B9)</f>
        <v>1114</v>
      </c>
      <c r="C10" s="8">
        <f>SUM(C2:C9)</f>
        <v>496</v>
      </c>
      <c r="D10" s="9">
        <f>Table2152022242628303234363840444648506163656769732778082[[#This Row],[Summits]]/Table2152022242628303234363840444648506163656769732778082[[#This Row],[Climbers]]</f>
        <v>0.44524236983842008</v>
      </c>
    </row>
    <row r="12" spans="1:4" x14ac:dyDescent="0.25">
      <c r="A12" t="s">
        <v>136</v>
      </c>
      <c r="B12" t="s">
        <v>11</v>
      </c>
      <c r="C12" t="s">
        <v>132</v>
      </c>
      <c r="D12" t="s">
        <v>133</v>
      </c>
    </row>
    <row r="13" spans="1:4" x14ac:dyDescent="0.25">
      <c r="A13" t="s">
        <v>138</v>
      </c>
      <c r="B13">
        <v>7</v>
      </c>
      <c r="C13">
        <v>0</v>
      </c>
      <c r="D13" s="7">
        <f>Table25172123252729313335373941454749516264666870749788183[[#This Row],[Summits]]/Table25172123252729313335373941454749516264666870749788183[[#This Row],[Climbers]]</f>
        <v>0</v>
      </c>
    </row>
    <row r="14" spans="1:4" ht="15.75" x14ac:dyDescent="0.25">
      <c r="A14" s="8" t="s">
        <v>28</v>
      </c>
      <c r="B14" s="8">
        <f>SUM(B13:B13)</f>
        <v>7</v>
      </c>
      <c r="C14" s="8">
        <f>SUM(C13:C13)</f>
        <v>0</v>
      </c>
      <c r="D14" s="9">
        <f>Table25172123252729313335373941454749516264666870749788183[[#This Row],[Summits]]/Table25172123252729313335373941454749516264666870749788183[[#This Row],[Climbers]]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D16"/>
  <sheetViews>
    <sheetView workbookViewId="0">
      <selection activeCell="E27" sqref="E27"/>
    </sheetView>
  </sheetViews>
  <sheetFormatPr defaultRowHeight="15" x14ac:dyDescent="0.25"/>
  <cols>
    <col min="1" max="1" width="31.28515625" customWidth="1"/>
    <col min="2" max="2" width="22" customWidth="1"/>
    <col min="3" max="3" width="19.28515625" customWidth="1"/>
    <col min="4" max="4" width="21.2851562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4</v>
      </c>
      <c r="B2">
        <v>24</v>
      </c>
      <c r="C2">
        <v>19</v>
      </c>
      <c r="D2" s="7">
        <f>Table215202224262830323436384044464850616365676973277808286[[#This Row],[Summits]]/Table215202224262830323436384044464850616365676973277808286[[#This Row],[Climbers]]</f>
        <v>0.79166666666666663</v>
      </c>
    </row>
    <row r="3" spans="1:4" x14ac:dyDescent="0.25">
      <c r="A3" t="s">
        <v>3</v>
      </c>
      <c r="B3">
        <v>17</v>
      </c>
      <c r="C3">
        <v>16</v>
      </c>
      <c r="D3" s="7">
        <f>Table215202224262830323436384044464850616365676973277808286[[#This Row],[Summits]]/Table215202224262830323436384044464850616365676973277808286[[#This Row],[Climbers]]</f>
        <v>0.94117647058823528</v>
      </c>
    </row>
    <row r="4" spans="1:4" x14ac:dyDescent="0.25">
      <c r="A4" t="s">
        <v>115</v>
      </c>
      <c r="B4">
        <v>11</v>
      </c>
      <c r="C4">
        <v>5</v>
      </c>
      <c r="D4" s="7">
        <f>Table215202224262830323436384044464850616365676973277808286[[#This Row],[Summits]]/Table215202224262830323436384044464850616365676973277808286[[#This Row],[Climbers]]</f>
        <v>0.45454545454545453</v>
      </c>
    </row>
    <row r="5" spans="1:4" x14ac:dyDescent="0.25">
      <c r="A5" t="s">
        <v>121</v>
      </c>
      <c r="B5">
        <v>8</v>
      </c>
      <c r="C5">
        <v>8</v>
      </c>
      <c r="D5" s="7">
        <f>Table215202224262830323436384044464850616365676973277808286[[#This Row],[Summits]]/Table215202224262830323436384044464850616365676973277808286[[#This Row],[Climbers]]</f>
        <v>1</v>
      </c>
    </row>
    <row r="6" spans="1:4" x14ac:dyDescent="0.25">
      <c r="A6" t="s">
        <v>1</v>
      </c>
      <c r="B6">
        <v>1145</v>
      </c>
      <c r="C6">
        <v>726</v>
      </c>
      <c r="D6" s="7">
        <f>Table215202224262830323436384044464850616365676973277808286[[#This Row],[Summits]]/Table215202224262830323436384044464850616365676973277808286[[#This Row],[Climbers]]</f>
        <v>0.63406113537117903</v>
      </c>
    </row>
    <row r="7" spans="1:4" x14ac:dyDescent="0.25">
      <c r="A7" t="s">
        <v>7</v>
      </c>
      <c r="B7">
        <v>8</v>
      </c>
      <c r="C7">
        <v>6</v>
      </c>
      <c r="D7" s="7">
        <f>Table215202224262830323436384044464850616365676973277808286[[#This Row],[Summits]]/Table215202224262830323436384044464850616365676973277808286[[#This Row],[Climbers]]</f>
        <v>0.75</v>
      </c>
    </row>
    <row r="8" spans="1:4" x14ac:dyDescent="0.25">
      <c r="A8" t="s">
        <v>122</v>
      </c>
      <c r="B8">
        <v>11</v>
      </c>
      <c r="C8">
        <v>9</v>
      </c>
      <c r="D8" s="7">
        <f>Table215202224262830323436384044464850616365676973277808286[[#This Row],[Summits]]/Table215202224262830323436384044464850616365676973277808286[[#This Row],[Climbers]]</f>
        <v>0.81818181818181823</v>
      </c>
    </row>
    <row r="9" spans="1:4" ht="15.75" x14ac:dyDescent="0.25">
      <c r="A9" s="8" t="s">
        <v>28</v>
      </c>
      <c r="B9" s="8">
        <f>SUM(B2:B8)</f>
        <v>1224</v>
      </c>
      <c r="C9" s="8">
        <f>SUM(C2:C8)</f>
        <v>789</v>
      </c>
      <c r="D9" s="9">
        <f>Table215202224262830323436384044464850616365676973277808286[[#This Row],[Summits]]/Table215202224262830323436384044464850616365676973277808286[[#This Row],[Climbers]]</f>
        <v>0.64460784313725494</v>
      </c>
    </row>
    <row r="11" spans="1:4" x14ac:dyDescent="0.25">
      <c r="A11" t="s">
        <v>136</v>
      </c>
      <c r="B11" t="s">
        <v>11</v>
      </c>
      <c r="C11" t="s">
        <v>132</v>
      </c>
      <c r="D11" t="s">
        <v>133</v>
      </c>
    </row>
    <row r="12" spans="1:4" x14ac:dyDescent="0.25">
      <c r="A12" t="s">
        <v>138</v>
      </c>
      <c r="B12">
        <v>11</v>
      </c>
      <c r="C12">
        <v>2</v>
      </c>
      <c r="D12" s="7">
        <f>Table2517212325272931333537394145474951626466687074978818387[[#This Row],[Summits]]/Table2517212325272931333537394145474951626466687074978818387[[#This Row],[Climbers]]</f>
        <v>0.18181818181818182</v>
      </c>
    </row>
    <row r="13" spans="1:4" x14ac:dyDescent="0.25">
      <c r="A13" t="s">
        <v>16</v>
      </c>
      <c r="B13">
        <v>4</v>
      </c>
      <c r="C13">
        <v>2</v>
      </c>
      <c r="D13" s="7">
        <f>Table2517212325272931333537394145474951626466687074978818387[[#This Row],[Summits]]/Table2517212325272931333537394145474951626466687074978818387[[#This Row],[Climbers]]</f>
        <v>0.5</v>
      </c>
    </row>
    <row r="14" spans="1:4" x14ac:dyDescent="0.25">
      <c r="A14" t="s">
        <v>137</v>
      </c>
      <c r="B14">
        <v>4</v>
      </c>
      <c r="C14">
        <v>4</v>
      </c>
      <c r="D14" s="7">
        <f>Table2517212325272931333537394145474951626466687074978818387[[#This Row],[Summits]]/Table2517212325272931333537394145474951626466687074978818387[[#This Row],[Climbers]]</f>
        <v>1</v>
      </c>
    </row>
    <row r="15" spans="1:4" x14ac:dyDescent="0.25">
      <c r="A15" t="s">
        <v>13</v>
      </c>
      <c r="B15">
        <v>2</v>
      </c>
      <c r="C15">
        <v>0</v>
      </c>
      <c r="D15" s="7">
        <f>Table2517212325272931333537394145474951626466687074978818387[[#This Row],[Summits]]/Table2517212325272931333537394145474951626466687074978818387[[#This Row],[Climbers]]</f>
        <v>0</v>
      </c>
    </row>
    <row r="16" spans="1:4" ht="15.75" x14ac:dyDescent="0.25">
      <c r="A16" s="8" t="s">
        <v>28</v>
      </c>
      <c r="B16" s="8">
        <f>SUM(B12:B15)</f>
        <v>21</v>
      </c>
      <c r="C16" s="8">
        <f>SUM(C12:C15)</f>
        <v>8</v>
      </c>
      <c r="D16" s="9">
        <f>Table2517212325272931333537394145474951626466687074978818387[[#This Row],[Summits]]/Table2517212325272931333537394145474951626466687074978818387[[#This Row],[Climbers]]</f>
        <v>0.38095238095238093</v>
      </c>
    </row>
  </sheetData>
  <pageMargins left="0.7" right="0.7" top="0.75" bottom="0.75" header="0.3" footer="0.3"/>
  <pageSetup fitToHeight="0" orientation="landscape" horizontalDpi="0" verticalDpi="0" r:id="rId1"/>
  <tableParts count="2">
    <tablePart r:id="rId2"/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5FE0-D9C1-48F8-BE41-F3AF79E63230}">
  <dimension ref="A1"/>
  <sheetViews>
    <sheetView workbookViewId="0">
      <selection activeCell="A7" sqref="A7"/>
    </sheetView>
  </sheetViews>
  <sheetFormatPr defaultRowHeight="15" x14ac:dyDescent="0.25"/>
  <cols>
    <col min="1" max="1" width="57.7109375" customWidth="1"/>
  </cols>
  <sheetData>
    <row r="1" spans="1:1" x14ac:dyDescent="0.25">
      <c r="A1" s="12" t="s">
        <v>146</v>
      </c>
    </row>
  </sheetData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008B-56A7-4332-8EC9-FE21921CCC28}">
  <dimension ref="A1:D19"/>
  <sheetViews>
    <sheetView tabSelected="1" workbookViewId="0">
      <selection activeCell="I14" sqref="I14"/>
    </sheetView>
  </sheetViews>
  <sheetFormatPr defaultRowHeight="15" x14ac:dyDescent="0.25"/>
  <cols>
    <col min="1" max="1" width="30.42578125" customWidth="1"/>
    <col min="2" max="2" width="14" customWidth="1"/>
    <col min="3" max="3" width="14.5703125" customWidth="1"/>
    <col min="4" max="4" width="13.7109375" customWidth="1"/>
  </cols>
  <sheetData>
    <row r="1" spans="1:4" x14ac:dyDescent="0.25">
      <c r="A1" t="s">
        <v>0</v>
      </c>
      <c r="B1" t="s">
        <v>11</v>
      </c>
      <c r="C1" t="s">
        <v>132</v>
      </c>
      <c r="D1" t="s">
        <v>133</v>
      </c>
    </row>
    <row r="2" spans="1:4" x14ac:dyDescent="0.25">
      <c r="A2" t="s">
        <v>1</v>
      </c>
      <c r="B2">
        <v>943</v>
      </c>
      <c r="C2">
        <v>490</v>
      </c>
      <c r="D2" s="7">
        <f>Table21520222426283032343638404446485061636567697327780828684[[#This Row],[Summits]]/Table21520222426283032343638404446485061636567697327780828684[[#This Row],[Climbers]]</f>
        <v>0.51961823966065745</v>
      </c>
    </row>
    <row r="3" spans="1:4" x14ac:dyDescent="0.25">
      <c r="A3" t="s">
        <v>4</v>
      </c>
      <c r="B3">
        <v>16</v>
      </c>
      <c r="C3">
        <v>11</v>
      </c>
      <c r="D3" s="7">
        <f>Table21520222426283032343638404446485061636567697327780828684[[#This Row],[Summits]]/Table21520222426283032343638404446485061636567697327780828684[[#This Row],[Climbers]]</f>
        <v>0.6875</v>
      </c>
    </row>
    <row r="4" spans="1:4" x14ac:dyDescent="0.25">
      <c r="A4" t="s">
        <v>141</v>
      </c>
      <c r="B4">
        <v>5</v>
      </c>
      <c r="C4">
        <v>5</v>
      </c>
      <c r="D4" s="7">
        <f>Table21520222426283032343638404446485061636567697327780828684[[#This Row],[Summits]]/Table21520222426283032343638404446485061636567697327780828684[[#This Row],[Climbers]]</f>
        <v>1</v>
      </c>
    </row>
    <row r="5" spans="1:4" x14ac:dyDescent="0.25">
      <c r="A5" t="s">
        <v>125</v>
      </c>
      <c r="B5">
        <v>2</v>
      </c>
      <c r="C5">
        <v>2</v>
      </c>
      <c r="D5" s="7">
        <f>Table21520222426283032343638404446485061636567697327780828684[[#This Row],[Summits]]/Table21520222426283032343638404446485061636567697327780828684[[#This Row],[Climbers]]</f>
        <v>1</v>
      </c>
    </row>
    <row r="6" spans="1:4" x14ac:dyDescent="0.25">
      <c r="A6" t="s">
        <v>60</v>
      </c>
      <c r="B6">
        <v>3</v>
      </c>
      <c r="C6">
        <v>0</v>
      </c>
      <c r="D6" s="7">
        <f>Table21520222426283032343638404446485061636567697327780828684[[#This Row],[Summits]]/Table21520222426283032343638404446485061636567697327780828684[[#This Row],[Climbers]]</f>
        <v>0</v>
      </c>
    </row>
    <row r="7" spans="1:4" x14ac:dyDescent="0.25">
      <c r="A7" t="s">
        <v>74</v>
      </c>
      <c r="B7">
        <v>4</v>
      </c>
      <c r="C7">
        <v>3</v>
      </c>
      <c r="D7" s="7">
        <f>Table21520222426283032343638404446485061636567697327780828684[[#This Row],[Summits]]/Table21520222426283032343638404446485061636567697327780828684[[#This Row],[Climbers]]</f>
        <v>0.75</v>
      </c>
    </row>
    <row r="8" spans="1:4" x14ac:dyDescent="0.25">
      <c r="A8" t="s">
        <v>47</v>
      </c>
      <c r="B8">
        <v>3</v>
      </c>
      <c r="C8">
        <v>0</v>
      </c>
      <c r="D8" s="7">
        <f>Table21520222426283032343638404446485061636567697327780828684[[#This Row],[Summits]]/Table21520222426283032343638404446485061636567697327780828684[[#This Row],[Climbers]]</f>
        <v>0</v>
      </c>
    </row>
    <row r="9" spans="1:4" x14ac:dyDescent="0.25">
      <c r="A9" t="s">
        <v>8</v>
      </c>
      <c r="B9">
        <v>4</v>
      </c>
      <c r="C9">
        <v>0</v>
      </c>
      <c r="D9" s="7">
        <f>Table21520222426283032343638404446485061636567697327780828684[[#This Row],[Summits]]/Table21520222426283032343638404446485061636567697327780828684[[#This Row],[Climbers]]</f>
        <v>0</v>
      </c>
    </row>
    <row r="10" spans="1:4" x14ac:dyDescent="0.25">
      <c r="A10" t="s">
        <v>7</v>
      </c>
      <c r="B10">
        <v>19</v>
      </c>
      <c r="C10">
        <v>15</v>
      </c>
      <c r="D10" s="7">
        <f>Table21520222426283032343638404446485061636567697327780828684[[#This Row],[Summits]]/Table21520222426283032343638404446485061636567697327780828684[[#This Row],[Climbers]]</f>
        <v>0.78947368421052633</v>
      </c>
    </row>
    <row r="11" spans="1:4" x14ac:dyDescent="0.25">
      <c r="A11" t="s">
        <v>122</v>
      </c>
      <c r="B11">
        <v>8</v>
      </c>
      <c r="C11">
        <v>4</v>
      </c>
      <c r="D11" s="7">
        <f>Table21520222426283032343638404446485061636567697327780828684[[#This Row],[Summits]]/Table21520222426283032343638404446485061636567697327780828684[[#This Row],[Climbers]]</f>
        <v>0.5</v>
      </c>
    </row>
    <row r="12" spans="1:4" ht="15.75" x14ac:dyDescent="0.25">
      <c r="A12" s="8" t="s">
        <v>28</v>
      </c>
      <c r="B12" s="8">
        <f>SUM(B2:B11)</f>
        <v>1007</v>
      </c>
      <c r="C12" s="8">
        <f>SUM(C2:C11)</f>
        <v>530</v>
      </c>
      <c r="D12" s="9">
        <f>Table21520222426283032343638404446485061636567697327780828684[[#This Row],[Summits]]/Table21520222426283032343638404446485061636567697327780828684[[#This Row],[Climbers]]</f>
        <v>0.52631578947368418</v>
      </c>
    </row>
    <row r="14" spans="1:4" x14ac:dyDescent="0.25">
      <c r="A14" t="s">
        <v>136</v>
      </c>
      <c r="B14" t="s">
        <v>11</v>
      </c>
      <c r="C14" t="s">
        <v>132</v>
      </c>
      <c r="D14" t="s">
        <v>133</v>
      </c>
    </row>
    <row r="15" spans="1:4" x14ac:dyDescent="0.25">
      <c r="A15" t="s">
        <v>138</v>
      </c>
      <c r="B15">
        <v>17</v>
      </c>
      <c r="C15">
        <v>6</v>
      </c>
      <c r="D15" s="7">
        <f>Table251721232527293133353739414547495162646668707497881838785[[#This Row],[Summits]]/Table251721232527293133353739414547495162646668707497881838785[[#This Row],[Climbers]]</f>
        <v>0.35294117647058826</v>
      </c>
    </row>
    <row r="16" spans="1:4" ht="15.75" x14ac:dyDescent="0.25">
      <c r="A16" s="8" t="s">
        <v>28</v>
      </c>
      <c r="B16" s="8">
        <f>SUM(B15:B15)</f>
        <v>17</v>
      </c>
      <c r="C16" s="8">
        <f>SUM(C15:C15)</f>
        <v>6</v>
      </c>
      <c r="D16" s="9">
        <f>Table251721232527293133353739414547495162646668707497881838785[[#This Row],[Summits]]/Table251721232527293133353739414547495162646668707497881838785[[#This Row],[Climbers]]</f>
        <v>0.35294117647058826</v>
      </c>
    </row>
    <row r="18" spans="1:4" x14ac:dyDescent="0.25">
      <c r="A18" s="13" t="s">
        <v>147</v>
      </c>
      <c r="B18" s="13"/>
      <c r="C18" s="13"/>
      <c r="D18" s="13"/>
    </row>
    <row r="19" spans="1:4" x14ac:dyDescent="0.25">
      <c r="A19" s="13" t="s">
        <v>148</v>
      </c>
      <c r="B19" s="13"/>
      <c r="C19" s="13"/>
      <c r="D19" s="13"/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>
      <selection activeCell="D28" sqref="D28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97</v>
      </c>
      <c r="C2">
        <v>352</v>
      </c>
      <c r="D2">
        <v>129</v>
      </c>
    </row>
    <row r="3" spans="1:4" x14ac:dyDescent="0.25">
      <c r="A3" t="s">
        <v>2</v>
      </c>
      <c r="B3">
        <v>17</v>
      </c>
      <c r="C3">
        <v>146</v>
      </c>
      <c r="D3">
        <v>82</v>
      </c>
    </row>
    <row r="4" spans="1:4" x14ac:dyDescent="0.25">
      <c r="A4" t="s">
        <v>3</v>
      </c>
      <c r="B4">
        <v>4</v>
      </c>
      <c r="C4">
        <v>19</v>
      </c>
      <c r="D4">
        <v>13</v>
      </c>
    </row>
    <row r="5" spans="1:4" x14ac:dyDescent="0.25">
      <c r="A5" t="s">
        <v>56</v>
      </c>
      <c r="B5">
        <v>1</v>
      </c>
      <c r="C5">
        <v>20</v>
      </c>
      <c r="D5">
        <v>13</v>
      </c>
    </row>
    <row r="6" spans="1:4" x14ac:dyDescent="0.25">
      <c r="A6" t="s">
        <v>7</v>
      </c>
      <c r="B6">
        <v>20</v>
      </c>
      <c r="C6">
        <v>64</v>
      </c>
      <c r="D6">
        <v>33</v>
      </c>
    </row>
    <row r="7" spans="1:4" x14ac:dyDescent="0.25">
      <c r="A7" t="s">
        <v>4</v>
      </c>
      <c r="B7">
        <v>17</v>
      </c>
      <c r="C7">
        <v>43</v>
      </c>
      <c r="D7">
        <v>28</v>
      </c>
    </row>
    <row r="8" spans="1:4" x14ac:dyDescent="0.25">
      <c r="A8" t="s">
        <v>57</v>
      </c>
      <c r="B8">
        <v>1</v>
      </c>
      <c r="C8">
        <v>11</v>
      </c>
      <c r="D8">
        <v>0</v>
      </c>
    </row>
    <row r="9" spans="1:4" x14ac:dyDescent="0.25">
      <c r="A9" t="s">
        <v>67</v>
      </c>
      <c r="B9">
        <v>1</v>
      </c>
      <c r="C9">
        <v>6</v>
      </c>
      <c r="D9">
        <v>2</v>
      </c>
    </row>
    <row r="10" spans="1:4" x14ac:dyDescent="0.25">
      <c r="A10" t="s">
        <v>59</v>
      </c>
      <c r="B10">
        <v>3</v>
      </c>
      <c r="C10">
        <v>14</v>
      </c>
      <c r="D10">
        <v>0</v>
      </c>
    </row>
    <row r="11" spans="1:4" x14ac:dyDescent="0.25">
      <c r="A11" t="s">
        <v>47</v>
      </c>
      <c r="B11">
        <v>2</v>
      </c>
      <c r="C11">
        <v>5</v>
      </c>
      <c r="D11">
        <v>3</v>
      </c>
    </row>
    <row r="12" spans="1:4" x14ac:dyDescent="0.25">
      <c r="A12" t="s">
        <v>60</v>
      </c>
      <c r="B12">
        <v>2</v>
      </c>
      <c r="C12">
        <v>4</v>
      </c>
      <c r="D12">
        <v>4</v>
      </c>
    </row>
    <row r="13" spans="1:4" x14ac:dyDescent="0.25">
      <c r="A13" t="s">
        <v>68</v>
      </c>
      <c r="B13">
        <v>1</v>
      </c>
      <c r="C13">
        <v>2</v>
      </c>
      <c r="D13">
        <v>0</v>
      </c>
    </row>
    <row r="14" spans="1:4" x14ac:dyDescent="0.25">
      <c r="A14" t="s">
        <v>6</v>
      </c>
      <c r="B14">
        <v>2</v>
      </c>
      <c r="C14">
        <v>6</v>
      </c>
      <c r="D14">
        <v>1</v>
      </c>
    </row>
    <row r="15" spans="1:4" x14ac:dyDescent="0.25">
      <c r="A15" t="s">
        <v>69</v>
      </c>
      <c r="B15">
        <v>1</v>
      </c>
      <c r="C15">
        <v>2</v>
      </c>
      <c r="D15">
        <v>2</v>
      </c>
    </row>
    <row r="16" spans="1:4" x14ac:dyDescent="0.25">
      <c r="A16" t="s">
        <v>49</v>
      </c>
      <c r="B16">
        <v>1</v>
      </c>
      <c r="C16">
        <v>2</v>
      </c>
      <c r="D16">
        <v>0</v>
      </c>
    </row>
    <row r="17" spans="1:4" x14ac:dyDescent="0.25">
      <c r="A17" t="s">
        <v>28</v>
      </c>
      <c r="B17">
        <f>SUM(B2:B16)</f>
        <v>170</v>
      </c>
      <c r="C17">
        <f>SUM(C2:C16)</f>
        <v>696</v>
      </c>
      <c r="D17">
        <f>SUM(D2:D15)</f>
        <v>310</v>
      </c>
    </row>
    <row r="19" spans="1:4" x14ac:dyDescent="0.25">
      <c r="A19" t="s">
        <v>17</v>
      </c>
      <c r="B19" t="s">
        <v>10</v>
      </c>
      <c r="C19" t="s">
        <v>11</v>
      </c>
      <c r="D19" t="s">
        <v>135</v>
      </c>
    </row>
    <row r="20" spans="1:4" x14ac:dyDescent="0.25">
      <c r="A20" t="s">
        <v>32</v>
      </c>
      <c r="B20">
        <v>5</v>
      </c>
      <c r="C20">
        <v>14</v>
      </c>
      <c r="D20">
        <v>4</v>
      </c>
    </row>
    <row r="21" spans="1:4" x14ac:dyDescent="0.25">
      <c r="A21" t="s">
        <v>61</v>
      </c>
      <c r="B21">
        <v>1</v>
      </c>
      <c r="C21">
        <v>2</v>
      </c>
      <c r="D21">
        <v>0</v>
      </c>
    </row>
    <row r="22" spans="1:4" x14ac:dyDescent="0.25">
      <c r="A22" t="s">
        <v>18</v>
      </c>
      <c r="B22">
        <v>6</v>
      </c>
      <c r="C22">
        <v>16</v>
      </c>
      <c r="D22">
        <v>0</v>
      </c>
    </row>
    <row r="23" spans="1:4" x14ac:dyDescent="0.25">
      <c r="A23" t="s">
        <v>19</v>
      </c>
      <c r="B23">
        <v>6</v>
      </c>
      <c r="C23">
        <v>15</v>
      </c>
      <c r="D23">
        <v>0</v>
      </c>
    </row>
    <row r="24" spans="1:4" x14ac:dyDescent="0.25">
      <c r="A24" t="s">
        <v>22</v>
      </c>
      <c r="B24">
        <v>4</v>
      </c>
      <c r="C24">
        <v>8</v>
      </c>
      <c r="D24">
        <v>6</v>
      </c>
    </row>
    <row r="25" spans="1:4" x14ac:dyDescent="0.25">
      <c r="A25" t="s">
        <v>70</v>
      </c>
      <c r="B25">
        <v>3</v>
      </c>
      <c r="C25">
        <v>8</v>
      </c>
      <c r="D25">
        <v>5</v>
      </c>
    </row>
    <row r="26" spans="1:4" x14ac:dyDescent="0.25">
      <c r="A26" t="s">
        <v>51</v>
      </c>
      <c r="B26">
        <v>1</v>
      </c>
      <c r="C26">
        <v>3</v>
      </c>
      <c r="D26">
        <v>0</v>
      </c>
    </row>
    <row r="27" spans="1:4" x14ac:dyDescent="0.25">
      <c r="A27" t="s">
        <v>71</v>
      </c>
      <c r="B27">
        <v>1</v>
      </c>
      <c r="C27">
        <v>2</v>
      </c>
      <c r="D27">
        <v>2</v>
      </c>
    </row>
    <row r="28" spans="1:4" x14ac:dyDescent="0.25">
      <c r="A28" t="s">
        <v>28</v>
      </c>
      <c r="B28">
        <f>SUM(B20:B27)</f>
        <v>27</v>
      </c>
      <c r="C28">
        <f>SUM(C20:C27)</f>
        <v>68</v>
      </c>
      <c r="D28">
        <f>SUM(D20:D27)</f>
        <v>17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0"/>
  <sheetViews>
    <sheetView workbookViewId="0">
      <selection activeCell="D30" sqref="D30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99</v>
      </c>
      <c r="C2">
        <v>351</v>
      </c>
      <c r="D2">
        <v>222</v>
      </c>
    </row>
    <row r="3" spans="1:4" x14ac:dyDescent="0.25">
      <c r="A3" t="s">
        <v>2</v>
      </c>
      <c r="B3">
        <v>20</v>
      </c>
      <c r="C3">
        <v>177</v>
      </c>
      <c r="D3">
        <v>130</v>
      </c>
    </row>
    <row r="4" spans="1:4" x14ac:dyDescent="0.25">
      <c r="A4" t="s">
        <v>3</v>
      </c>
      <c r="B4">
        <v>7</v>
      </c>
      <c r="C4">
        <v>41</v>
      </c>
      <c r="D4">
        <v>28</v>
      </c>
    </row>
    <row r="5" spans="1:4" x14ac:dyDescent="0.25">
      <c r="A5" t="s">
        <v>56</v>
      </c>
      <c r="B5">
        <v>2</v>
      </c>
      <c r="C5">
        <v>33</v>
      </c>
      <c r="D5">
        <v>32</v>
      </c>
    </row>
    <row r="6" spans="1:4" x14ac:dyDescent="0.25">
      <c r="A6" t="s">
        <v>7</v>
      </c>
      <c r="B6">
        <v>8</v>
      </c>
      <c r="C6">
        <v>21</v>
      </c>
      <c r="D6">
        <v>19</v>
      </c>
    </row>
    <row r="7" spans="1:4" x14ac:dyDescent="0.25">
      <c r="A7" t="s">
        <v>55</v>
      </c>
      <c r="B7">
        <v>1</v>
      </c>
      <c r="C7">
        <v>9</v>
      </c>
      <c r="D7">
        <v>0</v>
      </c>
    </row>
    <row r="8" spans="1:4" x14ac:dyDescent="0.25">
      <c r="A8" t="s">
        <v>72</v>
      </c>
      <c r="B8">
        <v>8</v>
      </c>
      <c r="C8">
        <v>27</v>
      </c>
      <c r="D8">
        <v>24</v>
      </c>
    </row>
    <row r="9" spans="1:4" x14ac:dyDescent="0.25">
      <c r="A9" t="s">
        <v>73</v>
      </c>
      <c r="B9">
        <v>1</v>
      </c>
      <c r="C9">
        <v>5</v>
      </c>
      <c r="D9">
        <v>0</v>
      </c>
    </row>
    <row r="10" spans="1:4" x14ac:dyDescent="0.25">
      <c r="A10" t="s">
        <v>4</v>
      </c>
      <c r="B10">
        <v>6</v>
      </c>
      <c r="C10">
        <v>13</v>
      </c>
      <c r="D10">
        <v>8</v>
      </c>
    </row>
    <row r="11" spans="1:4" x14ac:dyDescent="0.25">
      <c r="A11" t="s">
        <v>8</v>
      </c>
      <c r="B11">
        <v>5</v>
      </c>
      <c r="C11">
        <v>13</v>
      </c>
      <c r="D11">
        <v>0</v>
      </c>
    </row>
    <row r="12" spans="1:4" x14ac:dyDescent="0.25">
      <c r="A12" t="s">
        <v>74</v>
      </c>
      <c r="B12">
        <v>2</v>
      </c>
      <c r="C12">
        <v>8</v>
      </c>
      <c r="D12">
        <v>2</v>
      </c>
    </row>
    <row r="13" spans="1:4" x14ac:dyDescent="0.25">
      <c r="A13" t="s">
        <v>59</v>
      </c>
      <c r="B13">
        <v>2</v>
      </c>
      <c r="C13">
        <v>7</v>
      </c>
      <c r="D13">
        <v>5</v>
      </c>
    </row>
    <row r="14" spans="1:4" x14ac:dyDescent="0.25">
      <c r="A14" t="s">
        <v>75</v>
      </c>
      <c r="B14">
        <v>1</v>
      </c>
      <c r="C14">
        <v>2</v>
      </c>
      <c r="D14">
        <v>2</v>
      </c>
    </row>
    <row r="15" spans="1:4" x14ac:dyDescent="0.25">
      <c r="A15" t="s">
        <v>76</v>
      </c>
      <c r="B15">
        <v>1</v>
      </c>
      <c r="C15">
        <v>2</v>
      </c>
      <c r="D15">
        <v>2</v>
      </c>
    </row>
    <row r="16" spans="1:4" x14ac:dyDescent="0.25">
      <c r="A16" t="s">
        <v>28</v>
      </c>
      <c r="B16">
        <f>SUM(B2:B15)</f>
        <v>163</v>
      </c>
      <c r="C16">
        <f>SUM(C2:C15)</f>
        <v>709</v>
      </c>
      <c r="D16">
        <f>SUM(D2:D15)</f>
        <v>474</v>
      </c>
    </row>
    <row r="18" spans="1:4" x14ac:dyDescent="0.25">
      <c r="A18" t="s">
        <v>17</v>
      </c>
      <c r="B18" t="s">
        <v>10</v>
      </c>
      <c r="C18" t="s">
        <v>11</v>
      </c>
      <c r="D18" t="s">
        <v>135</v>
      </c>
    </row>
    <row r="19" spans="1:4" x14ac:dyDescent="0.25">
      <c r="A19" t="s">
        <v>32</v>
      </c>
      <c r="B19">
        <v>12</v>
      </c>
      <c r="C19">
        <v>37</v>
      </c>
      <c r="D19">
        <v>15</v>
      </c>
    </row>
    <row r="20" spans="1:4" x14ac:dyDescent="0.25">
      <c r="A20" t="s">
        <v>61</v>
      </c>
      <c r="B20">
        <v>1</v>
      </c>
      <c r="C20">
        <v>6</v>
      </c>
      <c r="D20">
        <v>0</v>
      </c>
    </row>
    <row r="21" spans="1:4" x14ac:dyDescent="0.25">
      <c r="A21" t="s">
        <v>18</v>
      </c>
      <c r="B21">
        <v>12</v>
      </c>
      <c r="C21">
        <v>34</v>
      </c>
      <c r="D21">
        <v>16</v>
      </c>
    </row>
    <row r="22" spans="1:4" x14ac:dyDescent="0.25">
      <c r="A22" t="s">
        <v>19</v>
      </c>
      <c r="B22">
        <v>6</v>
      </c>
      <c r="C22">
        <v>14</v>
      </c>
      <c r="D22">
        <v>4</v>
      </c>
    </row>
    <row r="23" spans="1:4" x14ac:dyDescent="0.25">
      <c r="A23" t="s">
        <v>77</v>
      </c>
      <c r="B23">
        <v>1</v>
      </c>
      <c r="C23">
        <v>6</v>
      </c>
      <c r="D23">
        <v>0</v>
      </c>
    </row>
    <row r="24" spans="1:4" x14ac:dyDescent="0.25">
      <c r="A24" t="s">
        <v>22</v>
      </c>
      <c r="B24">
        <v>5</v>
      </c>
      <c r="C24">
        <v>13</v>
      </c>
      <c r="D24">
        <v>13</v>
      </c>
    </row>
    <row r="25" spans="1:4" x14ac:dyDescent="0.25">
      <c r="A25" t="s">
        <v>70</v>
      </c>
      <c r="B25">
        <v>1</v>
      </c>
      <c r="C25">
        <v>4</v>
      </c>
      <c r="D25">
        <v>4</v>
      </c>
    </row>
    <row r="26" spans="1:4" x14ac:dyDescent="0.25">
      <c r="A26" t="s">
        <v>78</v>
      </c>
      <c r="B26">
        <v>4</v>
      </c>
      <c r="C26">
        <v>8</v>
      </c>
      <c r="D26">
        <v>8</v>
      </c>
    </row>
    <row r="27" spans="1:4" x14ac:dyDescent="0.25">
      <c r="A27" t="s">
        <v>79</v>
      </c>
      <c r="B27">
        <v>5</v>
      </c>
      <c r="C27">
        <v>24</v>
      </c>
      <c r="D27">
        <v>14</v>
      </c>
    </row>
    <row r="28" spans="1:4" x14ac:dyDescent="0.25">
      <c r="A28" t="s">
        <v>71</v>
      </c>
      <c r="B28">
        <v>5</v>
      </c>
      <c r="C28">
        <v>33</v>
      </c>
      <c r="D28">
        <v>27</v>
      </c>
    </row>
    <row r="29" spans="1:4" x14ac:dyDescent="0.25">
      <c r="A29" t="s">
        <v>26</v>
      </c>
      <c r="B29">
        <v>4</v>
      </c>
      <c r="C29">
        <v>9</v>
      </c>
      <c r="D29">
        <v>2</v>
      </c>
    </row>
    <row r="30" spans="1:4" x14ac:dyDescent="0.25">
      <c r="A30" t="s">
        <v>28</v>
      </c>
      <c r="B30">
        <f>SUM(B19:B29)</f>
        <v>56</v>
      </c>
      <c r="C30">
        <f>SUM(C19:C29)</f>
        <v>188</v>
      </c>
      <c r="D30">
        <f>SUM(D19:D29)</f>
        <v>103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workbookViewId="0">
      <selection activeCell="D22" sqref="D22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114</v>
      </c>
      <c r="C2">
        <v>428</v>
      </c>
      <c r="D2">
        <v>219</v>
      </c>
    </row>
    <row r="3" spans="1:4" x14ac:dyDescent="0.25">
      <c r="A3" t="s">
        <v>2</v>
      </c>
      <c r="B3">
        <v>19</v>
      </c>
      <c r="C3">
        <v>134</v>
      </c>
      <c r="D3">
        <v>79</v>
      </c>
    </row>
    <row r="4" spans="1:4" x14ac:dyDescent="0.25">
      <c r="A4" t="s">
        <v>3</v>
      </c>
      <c r="B4">
        <v>3</v>
      </c>
      <c r="C4">
        <v>25</v>
      </c>
      <c r="D4">
        <v>3</v>
      </c>
    </row>
    <row r="5" spans="1:4" x14ac:dyDescent="0.25">
      <c r="A5" t="s">
        <v>56</v>
      </c>
      <c r="B5">
        <v>1</v>
      </c>
      <c r="C5">
        <v>14</v>
      </c>
      <c r="D5">
        <v>0</v>
      </c>
    </row>
    <row r="6" spans="1:4" x14ac:dyDescent="0.25">
      <c r="A6" t="s">
        <v>7</v>
      </c>
      <c r="B6">
        <v>3</v>
      </c>
      <c r="C6">
        <v>12</v>
      </c>
      <c r="D6">
        <v>2</v>
      </c>
    </row>
    <row r="7" spans="1:4" x14ac:dyDescent="0.25">
      <c r="A7" t="s">
        <v>55</v>
      </c>
      <c r="B7">
        <v>3</v>
      </c>
      <c r="C7">
        <v>19</v>
      </c>
      <c r="D7">
        <v>0</v>
      </c>
    </row>
    <row r="8" spans="1:4" x14ac:dyDescent="0.25">
      <c r="A8" t="s">
        <v>4</v>
      </c>
      <c r="B8">
        <v>9</v>
      </c>
      <c r="C8">
        <v>22</v>
      </c>
      <c r="D8">
        <v>7</v>
      </c>
    </row>
    <row r="9" spans="1:4" x14ac:dyDescent="0.25">
      <c r="A9" t="s">
        <v>8</v>
      </c>
      <c r="B9">
        <v>9</v>
      </c>
      <c r="C9">
        <v>32</v>
      </c>
      <c r="D9">
        <v>7</v>
      </c>
    </row>
    <row r="10" spans="1:4" x14ac:dyDescent="0.25">
      <c r="A10" t="s">
        <v>67</v>
      </c>
      <c r="B10">
        <v>1</v>
      </c>
      <c r="C10">
        <v>6</v>
      </c>
      <c r="D10">
        <v>4</v>
      </c>
    </row>
    <row r="11" spans="1:4" x14ac:dyDescent="0.25">
      <c r="A11" t="s">
        <v>6</v>
      </c>
      <c r="B11">
        <v>1</v>
      </c>
      <c r="C11">
        <v>3</v>
      </c>
      <c r="D11">
        <v>2</v>
      </c>
    </row>
    <row r="12" spans="1:4" x14ac:dyDescent="0.25">
      <c r="A12" t="s">
        <v>28</v>
      </c>
      <c r="B12">
        <f>SUM(B2:B11)</f>
        <v>163</v>
      </c>
      <c r="C12">
        <f>SUM(C2:C11)</f>
        <v>695</v>
      </c>
      <c r="D12">
        <f>SUM(D2:D11)</f>
        <v>323</v>
      </c>
    </row>
    <row r="14" spans="1:4" x14ac:dyDescent="0.25">
      <c r="A14" t="s">
        <v>17</v>
      </c>
      <c r="B14" t="s">
        <v>10</v>
      </c>
      <c r="C14" t="s">
        <v>11</v>
      </c>
      <c r="D14" t="s">
        <v>135</v>
      </c>
    </row>
    <row r="15" spans="1:4" x14ac:dyDescent="0.25">
      <c r="A15" t="s">
        <v>32</v>
      </c>
      <c r="B15">
        <v>11</v>
      </c>
      <c r="C15">
        <v>33</v>
      </c>
      <c r="D15">
        <v>10</v>
      </c>
    </row>
    <row r="16" spans="1:4" x14ac:dyDescent="0.25">
      <c r="A16" t="s">
        <v>61</v>
      </c>
      <c r="B16">
        <v>1</v>
      </c>
      <c r="C16">
        <v>5</v>
      </c>
      <c r="D16">
        <v>0</v>
      </c>
    </row>
    <row r="17" spans="1:4" x14ac:dyDescent="0.25">
      <c r="A17" t="s">
        <v>18</v>
      </c>
      <c r="B17">
        <v>9</v>
      </c>
      <c r="C17">
        <v>25</v>
      </c>
      <c r="D17">
        <v>13</v>
      </c>
    </row>
    <row r="18" spans="1:4" x14ac:dyDescent="0.25">
      <c r="A18" t="s">
        <v>19</v>
      </c>
      <c r="B18">
        <v>7</v>
      </c>
      <c r="C18">
        <v>17</v>
      </c>
      <c r="D18">
        <v>2</v>
      </c>
    </row>
    <row r="19" spans="1:4" x14ac:dyDescent="0.25">
      <c r="A19" t="s">
        <v>22</v>
      </c>
      <c r="B19">
        <v>2</v>
      </c>
      <c r="C19">
        <v>5</v>
      </c>
      <c r="D19">
        <v>3</v>
      </c>
    </row>
    <row r="20" spans="1:4" x14ac:dyDescent="0.25">
      <c r="A20" t="s">
        <v>70</v>
      </c>
      <c r="B20">
        <v>1</v>
      </c>
      <c r="C20">
        <v>3</v>
      </c>
      <c r="D20">
        <v>3</v>
      </c>
    </row>
    <row r="21" spans="1:4" x14ac:dyDescent="0.25">
      <c r="A21" t="s">
        <v>23</v>
      </c>
      <c r="B21">
        <v>1</v>
      </c>
      <c r="C21">
        <v>2</v>
      </c>
      <c r="D21">
        <v>2</v>
      </c>
    </row>
    <row r="22" spans="1:4" x14ac:dyDescent="0.25">
      <c r="A22" t="s">
        <v>28</v>
      </c>
      <c r="B22">
        <f>SUM(B15:B21)</f>
        <v>32</v>
      </c>
      <c r="C22">
        <f>SUM(C15:C21)</f>
        <v>90</v>
      </c>
      <c r="D22">
        <f>SUM(D15:D21)</f>
        <v>33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8"/>
  <sheetViews>
    <sheetView workbookViewId="0">
      <selection activeCell="A11" sqref="A11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104</v>
      </c>
      <c r="C2">
        <v>311</v>
      </c>
      <c r="D2">
        <v>153</v>
      </c>
    </row>
    <row r="3" spans="1:4" x14ac:dyDescent="0.25">
      <c r="A3" t="s">
        <v>2</v>
      </c>
      <c r="B3">
        <v>25</v>
      </c>
      <c r="C3">
        <v>200</v>
      </c>
      <c r="D3">
        <v>116</v>
      </c>
    </row>
    <row r="4" spans="1:4" x14ac:dyDescent="0.25">
      <c r="A4" t="s">
        <v>3</v>
      </c>
      <c r="B4">
        <v>6</v>
      </c>
      <c r="C4">
        <v>15</v>
      </c>
      <c r="D4">
        <v>9</v>
      </c>
    </row>
    <row r="5" spans="1:4" x14ac:dyDescent="0.25">
      <c r="A5" t="s">
        <v>56</v>
      </c>
      <c r="B5">
        <v>2</v>
      </c>
      <c r="C5">
        <v>26</v>
      </c>
      <c r="D5">
        <v>19</v>
      </c>
    </row>
    <row r="6" spans="1:4" x14ac:dyDescent="0.25">
      <c r="A6" t="s">
        <v>7</v>
      </c>
      <c r="B6">
        <v>14</v>
      </c>
      <c r="C6">
        <v>35</v>
      </c>
      <c r="D6">
        <v>5</v>
      </c>
    </row>
    <row r="7" spans="1:4" x14ac:dyDescent="0.25">
      <c r="A7" t="s">
        <v>55</v>
      </c>
      <c r="B7">
        <v>2</v>
      </c>
      <c r="C7">
        <v>13</v>
      </c>
      <c r="D7">
        <v>13</v>
      </c>
    </row>
    <row r="8" spans="1:4" x14ac:dyDescent="0.25">
      <c r="A8" t="s">
        <v>4</v>
      </c>
      <c r="B8">
        <v>6</v>
      </c>
      <c r="C8">
        <v>14</v>
      </c>
      <c r="D8">
        <v>4</v>
      </c>
    </row>
    <row r="9" spans="1:4" x14ac:dyDescent="0.25">
      <c r="A9" t="s">
        <v>5</v>
      </c>
      <c r="B9">
        <v>1</v>
      </c>
      <c r="C9">
        <v>2</v>
      </c>
      <c r="D9">
        <v>0</v>
      </c>
    </row>
    <row r="10" spans="1:4" x14ac:dyDescent="0.25">
      <c r="A10" t="s">
        <v>8</v>
      </c>
      <c r="B10">
        <v>4</v>
      </c>
      <c r="C10">
        <v>14</v>
      </c>
      <c r="D10">
        <v>0</v>
      </c>
    </row>
    <row r="11" spans="1:4" x14ac:dyDescent="0.25">
      <c r="A11" t="s">
        <v>57</v>
      </c>
      <c r="B11">
        <v>1</v>
      </c>
      <c r="C11">
        <v>5</v>
      </c>
      <c r="D11">
        <v>0</v>
      </c>
    </row>
    <row r="12" spans="1:4" x14ac:dyDescent="0.25">
      <c r="A12" t="s">
        <v>6</v>
      </c>
      <c r="B12">
        <v>1</v>
      </c>
      <c r="C12">
        <v>2</v>
      </c>
      <c r="D12">
        <v>2</v>
      </c>
    </row>
    <row r="13" spans="1:4" x14ac:dyDescent="0.25">
      <c r="A13" t="s">
        <v>67</v>
      </c>
      <c r="B13">
        <v>1</v>
      </c>
      <c r="C13">
        <v>8</v>
      </c>
      <c r="D13">
        <v>0</v>
      </c>
    </row>
    <row r="14" spans="1:4" x14ac:dyDescent="0.25">
      <c r="A14" t="s">
        <v>28</v>
      </c>
      <c r="B14">
        <f>SUM(B2:B13)</f>
        <v>167</v>
      </c>
      <c r="C14">
        <f>SUM(C2:C13)</f>
        <v>645</v>
      </c>
      <c r="D14">
        <f>SUM(D2:D13)</f>
        <v>321</v>
      </c>
    </row>
    <row r="16" spans="1:4" x14ac:dyDescent="0.25">
      <c r="A16" t="s">
        <v>17</v>
      </c>
      <c r="B16" t="s">
        <v>10</v>
      </c>
      <c r="C16" t="s">
        <v>11</v>
      </c>
      <c r="D16" t="s">
        <v>135</v>
      </c>
    </row>
    <row r="17" spans="1:4" x14ac:dyDescent="0.25">
      <c r="A17" t="s">
        <v>32</v>
      </c>
      <c r="B17">
        <v>4</v>
      </c>
      <c r="C17">
        <v>9</v>
      </c>
      <c r="D17">
        <v>0</v>
      </c>
    </row>
    <row r="18" spans="1:4" x14ac:dyDescent="0.25">
      <c r="A18" t="s">
        <v>61</v>
      </c>
      <c r="B18">
        <v>1</v>
      </c>
      <c r="C18">
        <v>3</v>
      </c>
      <c r="D18">
        <v>0</v>
      </c>
    </row>
    <row r="19" spans="1:4" x14ac:dyDescent="0.25">
      <c r="A19" t="s">
        <v>18</v>
      </c>
      <c r="B19">
        <v>8</v>
      </c>
      <c r="C19">
        <v>18</v>
      </c>
      <c r="D19">
        <v>2</v>
      </c>
    </row>
    <row r="20" spans="1:4" x14ac:dyDescent="0.25">
      <c r="A20" t="s">
        <v>19</v>
      </c>
      <c r="B20">
        <v>4</v>
      </c>
      <c r="C20">
        <v>8</v>
      </c>
      <c r="D20">
        <v>0</v>
      </c>
    </row>
    <row r="21" spans="1:4" x14ac:dyDescent="0.25">
      <c r="A21" t="s">
        <v>22</v>
      </c>
      <c r="B21">
        <v>4</v>
      </c>
      <c r="C21">
        <v>14</v>
      </c>
      <c r="D21">
        <v>9</v>
      </c>
    </row>
    <row r="22" spans="1:4" x14ac:dyDescent="0.25">
      <c r="A22" t="s">
        <v>80</v>
      </c>
      <c r="B22">
        <v>1</v>
      </c>
      <c r="C22">
        <v>2</v>
      </c>
      <c r="D22">
        <v>0</v>
      </c>
    </row>
    <row r="23" spans="1:4" x14ac:dyDescent="0.25">
      <c r="A23" t="s">
        <v>70</v>
      </c>
      <c r="B23">
        <v>3</v>
      </c>
      <c r="C23">
        <v>7</v>
      </c>
      <c r="D23">
        <v>3</v>
      </c>
    </row>
    <row r="24" spans="1:4" x14ac:dyDescent="0.25">
      <c r="A24" t="s">
        <v>78</v>
      </c>
      <c r="B24">
        <v>3</v>
      </c>
      <c r="C24">
        <v>9</v>
      </c>
      <c r="D24">
        <v>0</v>
      </c>
    </row>
    <row r="25" spans="1:4" x14ac:dyDescent="0.25">
      <c r="A25" t="s">
        <v>81</v>
      </c>
      <c r="B25">
        <v>3</v>
      </c>
      <c r="C25">
        <v>10</v>
      </c>
      <c r="D25">
        <v>10</v>
      </c>
    </row>
    <row r="26" spans="1:4" x14ac:dyDescent="0.25">
      <c r="A26" t="s">
        <v>82</v>
      </c>
      <c r="B26">
        <v>2</v>
      </c>
      <c r="C26">
        <v>5</v>
      </c>
      <c r="D26">
        <v>3</v>
      </c>
    </row>
    <row r="27" spans="1:4" x14ac:dyDescent="0.25">
      <c r="A27" t="s">
        <v>71</v>
      </c>
      <c r="B27">
        <v>2</v>
      </c>
      <c r="C27">
        <v>8</v>
      </c>
      <c r="D27">
        <v>0</v>
      </c>
    </row>
    <row r="28" spans="1:4" x14ac:dyDescent="0.25">
      <c r="A28" t="s">
        <v>28</v>
      </c>
      <c r="B28">
        <f>SUM(B17:B27)</f>
        <v>35</v>
      </c>
      <c r="C28">
        <f>SUM(C17:C27)</f>
        <v>93</v>
      </c>
      <c r="D28">
        <f>SUM(D17:D27)</f>
        <v>27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A10" sqref="A10"/>
    </sheetView>
  </sheetViews>
  <sheetFormatPr defaultRowHeight="15" x14ac:dyDescent="0.25"/>
  <cols>
    <col min="1" max="1" width="47.5703125" customWidth="1"/>
    <col min="2" max="5" width="23.5703125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135</v>
      </c>
    </row>
    <row r="2" spans="1:4" x14ac:dyDescent="0.25">
      <c r="A2" t="s">
        <v>1</v>
      </c>
      <c r="B2">
        <v>111</v>
      </c>
      <c r="C2">
        <v>361</v>
      </c>
      <c r="D2">
        <v>181</v>
      </c>
    </row>
    <row r="3" spans="1:4" x14ac:dyDescent="0.25">
      <c r="A3" t="s">
        <v>2</v>
      </c>
      <c r="B3">
        <v>30</v>
      </c>
      <c r="C3">
        <v>236</v>
      </c>
      <c r="D3">
        <v>152</v>
      </c>
    </row>
    <row r="4" spans="1:4" x14ac:dyDescent="0.25">
      <c r="A4" t="s">
        <v>3</v>
      </c>
      <c r="B4">
        <v>3</v>
      </c>
      <c r="C4">
        <v>9</v>
      </c>
      <c r="D4">
        <v>4</v>
      </c>
    </row>
    <row r="5" spans="1:4" x14ac:dyDescent="0.25">
      <c r="A5" t="s">
        <v>56</v>
      </c>
      <c r="B5">
        <v>3</v>
      </c>
      <c r="C5">
        <v>40</v>
      </c>
      <c r="D5">
        <v>22</v>
      </c>
    </row>
    <row r="6" spans="1:4" x14ac:dyDescent="0.25">
      <c r="A6" t="s">
        <v>7</v>
      </c>
      <c r="B6">
        <v>12</v>
      </c>
      <c r="C6">
        <v>38</v>
      </c>
      <c r="D6">
        <v>27</v>
      </c>
    </row>
    <row r="7" spans="1:4" x14ac:dyDescent="0.25">
      <c r="A7" t="s">
        <v>4</v>
      </c>
      <c r="B7">
        <v>10</v>
      </c>
      <c r="C7">
        <v>28</v>
      </c>
      <c r="D7">
        <v>15</v>
      </c>
    </row>
    <row r="8" spans="1:4" x14ac:dyDescent="0.25">
      <c r="A8" t="s">
        <v>5</v>
      </c>
      <c r="B8">
        <v>2</v>
      </c>
      <c r="C8">
        <v>9</v>
      </c>
      <c r="D8">
        <v>3</v>
      </c>
    </row>
    <row r="9" spans="1:4" x14ac:dyDescent="0.25">
      <c r="A9" t="s">
        <v>8</v>
      </c>
      <c r="B9">
        <v>3</v>
      </c>
      <c r="C9">
        <v>9</v>
      </c>
      <c r="D9">
        <v>0</v>
      </c>
    </row>
    <row r="10" spans="1:4" x14ac:dyDescent="0.25">
      <c r="A10" t="s">
        <v>57</v>
      </c>
      <c r="B10">
        <v>2</v>
      </c>
      <c r="C10">
        <v>18</v>
      </c>
      <c r="D10">
        <v>0</v>
      </c>
    </row>
    <row r="11" spans="1:4" x14ac:dyDescent="0.25">
      <c r="A11" t="s">
        <v>47</v>
      </c>
      <c r="B11">
        <v>1</v>
      </c>
      <c r="C11">
        <v>3</v>
      </c>
      <c r="D11">
        <v>2</v>
      </c>
    </row>
    <row r="12" spans="1:4" x14ac:dyDescent="0.25">
      <c r="A12" t="s">
        <v>60</v>
      </c>
      <c r="B12">
        <v>2</v>
      </c>
      <c r="C12">
        <v>4</v>
      </c>
      <c r="D12">
        <v>0</v>
      </c>
    </row>
    <row r="13" spans="1:4" x14ac:dyDescent="0.25">
      <c r="A13" t="s">
        <v>28</v>
      </c>
      <c r="B13">
        <f>SUM(B2:B12)</f>
        <v>179</v>
      </c>
      <c r="C13">
        <f>SUM(C2:C12)</f>
        <v>755</v>
      </c>
      <c r="D13">
        <f>SUM(D2:D12)</f>
        <v>406</v>
      </c>
    </row>
    <row r="15" spans="1:4" x14ac:dyDescent="0.25">
      <c r="A15" t="s">
        <v>17</v>
      </c>
      <c r="B15" t="s">
        <v>10</v>
      </c>
      <c r="C15" t="s">
        <v>11</v>
      </c>
      <c r="D15" t="s">
        <v>135</v>
      </c>
    </row>
    <row r="16" spans="1:4" x14ac:dyDescent="0.25">
      <c r="A16" t="s">
        <v>32</v>
      </c>
      <c r="B16">
        <v>5</v>
      </c>
      <c r="C16">
        <v>21</v>
      </c>
      <c r="D16">
        <v>7</v>
      </c>
    </row>
    <row r="17" spans="1:4" x14ac:dyDescent="0.25">
      <c r="A17" t="s">
        <v>18</v>
      </c>
      <c r="B17">
        <v>10</v>
      </c>
      <c r="C17">
        <v>27</v>
      </c>
      <c r="D17">
        <v>2</v>
      </c>
    </row>
    <row r="18" spans="1:4" x14ac:dyDescent="0.25">
      <c r="A18" t="s">
        <v>19</v>
      </c>
      <c r="B18">
        <v>1</v>
      </c>
      <c r="C18">
        <v>2</v>
      </c>
      <c r="D18">
        <v>0</v>
      </c>
    </row>
    <row r="19" spans="1:4" x14ac:dyDescent="0.25">
      <c r="A19" t="s">
        <v>71</v>
      </c>
      <c r="B19">
        <v>4</v>
      </c>
      <c r="C19">
        <v>13</v>
      </c>
      <c r="D19" t="s">
        <v>66</v>
      </c>
    </row>
    <row r="20" spans="1:4" x14ac:dyDescent="0.25">
      <c r="A20" t="s">
        <v>81</v>
      </c>
      <c r="B20">
        <v>2</v>
      </c>
      <c r="C20">
        <v>7</v>
      </c>
      <c r="D20">
        <v>7</v>
      </c>
    </row>
    <row r="21" spans="1:4" x14ac:dyDescent="0.25">
      <c r="A21" t="s">
        <v>82</v>
      </c>
      <c r="B21">
        <v>5</v>
      </c>
      <c r="C21">
        <v>16</v>
      </c>
      <c r="D21">
        <v>15</v>
      </c>
    </row>
    <row r="22" spans="1:4" x14ac:dyDescent="0.25">
      <c r="A22" t="s">
        <v>54</v>
      </c>
      <c r="B22">
        <v>3</v>
      </c>
      <c r="C22">
        <v>9</v>
      </c>
      <c r="D22" t="s">
        <v>66</v>
      </c>
    </row>
    <row r="23" spans="1:4" x14ac:dyDescent="0.25">
      <c r="A23" t="s">
        <v>22</v>
      </c>
      <c r="B23">
        <v>11</v>
      </c>
      <c r="C23">
        <v>34</v>
      </c>
      <c r="D23">
        <v>14</v>
      </c>
    </row>
    <row r="24" spans="1:4" x14ac:dyDescent="0.25">
      <c r="A24" t="s">
        <v>63</v>
      </c>
      <c r="B24">
        <v>1</v>
      </c>
      <c r="C24">
        <v>2</v>
      </c>
      <c r="D24" t="s">
        <v>66</v>
      </c>
    </row>
    <row r="25" spans="1:4" x14ac:dyDescent="0.25">
      <c r="A25" t="s">
        <v>83</v>
      </c>
      <c r="B25">
        <v>1</v>
      </c>
      <c r="C25">
        <v>2</v>
      </c>
      <c r="D25">
        <v>2</v>
      </c>
    </row>
    <row r="26" spans="1:4" x14ac:dyDescent="0.25">
      <c r="A26" t="s">
        <v>28</v>
      </c>
      <c r="B26">
        <f>SUM(B16:B25)</f>
        <v>43</v>
      </c>
      <c r="C26">
        <f>SUM(C16:C25)</f>
        <v>133</v>
      </c>
      <c r="D26">
        <f>SUM(D16:D25)</f>
        <v>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Annual totals 1903-2018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ALindeman</dc:creator>
  <cp:lastModifiedBy>MGualtieri</cp:lastModifiedBy>
  <cp:lastPrinted>2019-12-02T22:53:06Z</cp:lastPrinted>
  <dcterms:created xsi:type="dcterms:W3CDTF">2016-01-26T01:20:07Z</dcterms:created>
  <dcterms:modified xsi:type="dcterms:W3CDTF">2021-12-23T20:03:54Z</dcterms:modified>
</cp:coreProperties>
</file>