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ntos-my.sharepoint.com/personal/burmr_santos_com/Documents/Work in progress/Python/0-ResEng/Z-Factors/Inerts5/"/>
    </mc:Choice>
  </mc:AlternateContent>
  <xr:revisionPtr revIDLastSave="343" documentId="8_{AA740A47-1034-4526-A368-2B11E5735254}" xr6:coauthVersionLast="47" xr6:coauthVersionMax="47" xr10:uidLastSave="{3CC5FA42-C488-4B90-A0CA-4DDC334FEFD8}"/>
  <bookViews>
    <workbookView xWindow="-110" yWindow="-110" windowWidth="24220" windowHeight="15500" xr2:uid="{1D675120-AB69-4B00-B6AF-989798846ECB}"/>
  </bookViews>
  <sheets>
    <sheet name="Sheet1" sheetId="1" r:id="rId1"/>
  </sheets>
  <definedNames>
    <definedName name="degF2R">Sheet1!#REF!</definedName>
    <definedName name="degR">Sheet1!$M$6</definedName>
    <definedName name="gasR">Sheet1!$P$12</definedName>
    <definedName name="hcMW">Sheet1!$L$6</definedName>
    <definedName name="mwAir">Sheet1!$P$11</definedName>
    <definedName name="solver_adj" localSheetId="0" hidden="1">Sheet1!$B$6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Sheet1!$L$6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16.223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1" l="1"/>
  <c r="M6" i="1"/>
  <c r="G6" i="1"/>
  <c r="R2" i="1" s="1"/>
  <c r="L6" i="1" l="1"/>
  <c r="C16" i="1" s="1"/>
  <c r="B12" i="1" a="1"/>
  <c r="D23" i="1" l="1"/>
  <c r="E23" i="1"/>
  <c r="B23" i="1"/>
  <c r="F19" i="1" s="1" a="1"/>
  <c r="F19" i="1" s="1"/>
  <c r="I16" i="1"/>
  <c r="C23" i="1"/>
  <c r="P7" i="1"/>
  <c r="R3" i="1"/>
  <c r="B1" i="1" s="1"/>
  <c r="D16" i="1"/>
  <c r="B15" i="1"/>
  <c r="B14" i="1"/>
  <c r="B13" i="1"/>
  <c r="B12" i="1"/>
  <c r="B16" i="1"/>
  <c r="F20" i="1" l="1"/>
  <c r="F22" i="1"/>
  <c r="F21" i="1"/>
</calcChain>
</file>

<file path=xl/sharedStrings.xml><?xml version="1.0" encoding="utf-8"?>
<sst xmlns="http://schemas.openxmlformats.org/spreadsheetml/2006/main" count="65" uniqueCount="46">
  <si>
    <t>CO2</t>
  </si>
  <si>
    <t>H2S</t>
  </si>
  <si>
    <t>N2</t>
  </si>
  <si>
    <t>H2</t>
  </si>
  <si>
    <t>Hydrocarbon</t>
  </si>
  <si>
    <t>MW</t>
  </si>
  <si>
    <t>Mole Fraction</t>
  </si>
  <si>
    <t>Messages:</t>
  </si>
  <si>
    <t>Component</t>
  </si>
  <si>
    <t>Mol Wt</t>
  </si>
  <si>
    <t>Tc (R)</t>
  </si>
  <si>
    <t>Pc (psia)</t>
  </si>
  <si>
    <t>Acentric</t>
  </si>
  <si>
    <t>Vol Tran</t>
  </si>
  <si>
    <t>A</t>
  </si>
  <si>
    <t>B</t>
  </si>
  <si>
    <t>VcVis (ft3/lbmol)</t>
  </si>
  <si>
    <t>Gas</t>
  </si>
  <si>
    <t>(deg F)</t>
  </si>
  <si>
    <t>Temperature</t>
  </si>
  <si>
    <t>Gas Specific Gravity</t>
  </si>
  <si>
    <t>(rel Air)</t>
  </si>
  <si>
    <t xml:space="preserve">P0 </t>
  </si>
  <si>
    <t xml:space="preserve"> P1 </t>
  </si>
  <si>
    <t xml:space="preserve"> P2 </t>
  </si>
  <si>
    <t xml:space="preserve"> P3 </t>
  </si>
  <si>
    <t xml:space="preserve"> P4 </t>
  </si>
  <si>
    <t xml:space="preserve"> F0 </t>
  </si>
  <si>
    <t>LBC Coefficients</t>
  </si>
  <si>
    <t>BIPS</t>
  </si>
  <si>
    <t>degR</t>
  </si>
  <si>
    <t>BIP Intcpts:</t>
  </si>
  <si>
    <t>BIP DegR Slopes:</t>
  </si>
  <si>
    <t>BIP MW Slopes:</t>
  </si>
  <si>
    <t>Offset</t>
  </si>
  <si>
    <t xml:space="preserve"> Pl</t>
  </si>
  <si>
    <t xml:space="preserve"> Vl </t>
  </si>
  <si>
    <t>v1</t>
  </si>
  <si>
    <t xml:space="preserve"> v2</t>
  </si>
  <si>
    <t xml:space="preserve"> v3 </t>
  </si>
  <si>
    <t>Vc:</t>
  </si>
  <si>
    <t>Inputs (Green Cells)</t>
  </si>
  <si>
    <t>Peng-Robinson (1979) Model Outputs (Updated cells in blue)</t>
  </si>
  <si>
    <t>mwAir:</t>
  </si>
  <si>
    <t>R:</t>
  </si>
  <si>
    <t>Error &amp; Warning 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</si>
</sst>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2" borderId="0" xfId="0" applyFill="1"/>
    <xf numFmtId="11" fontId="0" fillId="2" borderId="0" xfId="0" applyNumberFormat="1" applyFill="1" applyAlignment="1">
      <alignment horizontal="center"/>
    </xf>
    <xf numFmtId="11" fontId="0" fillId="2" borderId="0" xfId="0" applyNumberFormat="1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4" xfId="0" applyFont="1" applyBorder="1" applyAlignment="1">
      <alignment horizontal="right"/>
    </xf>
    <xf numFmtId="0" fontId="1" fillId="0" borderId="4" xfId="0" applyFont="1" applyBorder="1"/>
    <xf numFmtId="0" fontId="1" fillId="0" borderId="0" xfId="0" applyFont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166" fontId="0" fillId="0" borderId="5" xfId="0" applyNumberFormat="1" applyBorder="1"/>
    <xf numFmtId="165" fontId="2" fillId="0" borderId="0" xfId="0" applyNumberFormat="1" applyFont="1"/>
    <xf numFmtId="166" fontId="3" fillId="0" borderId="0" xfId="0" applyNumberFormat="1" applyFont="1"/>
    <xf numFmtId="166" fontId="2" fillId="0" borderId="5" xfId="0" applyNumberFormat="1" applyFont="1" applyBorder="1"/>
    <xf numFmtId="166" fontId="2" fillId="0" borderId="0" xfId="0" applyNumberFormat="1" applyFont="1"/>
    <xf numFmtId="0" fontId="0" fillId="0" borderId="7" xfId="0" applyBorder="1"/>
    <xf numFmtId="0" fontId="0" fillId="0" borderId="8" xfId="0" applyBorder="1"/>
    <xf numFmtId="0" fontId="2" fillId="0" borderId="7" xfId="0" applyFont="1" applyBorder="1"/>
    <xf numFmtId="0" fontId="0" fillId="0" borderId="6" xfId="0" applyBorder="1" applyAlignment="1">
      <alignment horizontal="right"/>
    </xf>
    <xf numFmtId="164" fontId="0" fillId="3" borderId="6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57637-8B40-49C8-8329-1BE6F5C4A8BB}">
  <dimension ref="A1:S27"/>
  <sheetViews>
    <sheetView tabSelected="1" workbookViewId="0">
      <selection activeCell="B7" sqref="B7"/>
    </sheetView>
  </sheetViews>
  <sheetFormatPr defaultRowHeight="14.5" x14ac:dyDescent="0.35"/>
  <cols>
    <col min="1" max="1" width="17.6328125" bestFit="1" customWidth="1"/>
    <col min="2" max="2" width="18.7265625" bestFit="1" customWidth="1"/>
    <col min="7" max="7" width="11.54296875" bestFit="1" customWidth="1"/>
    <col min="9" max="9" width="15" bestFit="1" customWidth="1"/>
    <col min="12" max="12" width="11.54296875" bestFit="1" customWidth="1"/>
    <col min="15" max="15" width="14.453125" bestFit="1" customWidth="1"/>
    <col min="18" max="18" width="9.453125" bestFit="1" customWidth="1"/>
  </cols>
  <sheetData>
    <row r="1" spans="1:19" x14ac:dyDescent="0.35">
      <c r="A1" s="4" t="s">
        <v>7</v>
      </c>
      <c r="B1" t="str">
        <f>IF(CONCATENATE(R2,R3, R4)="","All Good", CONCATENATE(R2,R3, R4))</f>
        <v>All Good</v>
      </c>
      <c r="O1" s="2" t="s">
        <v>34</v>
      </c>
      <c r="P1" s="2" t="s">
        <v>35</v>
      </c>
      <c r="Q1" s="2" t="s">
        <v>36</v>
      </c>
      <c r="R1" s="5" t="s">
        <v>45</v>
      </c>
      <c r="S1" s="2"/>
    </row>
    <row r="2" spans="1:19" x14ac:dyDescent="0.35">
      <c r="A2" s="4"/>
      <c r="O2" s="2">
        <v>11.1888062498228</v>
      </c>
      <c r="P2" s="2">
        <v>183.52585676641201</v>
      </c>
      <c r="Q2" s="2">
        <v>2654.6738696902598</v>
      </c>
      <c r="R2" s="5" t="str">
        <f>IF(G6&gt;=0,"", "Error: Sum of inert mole fractions &gt; 1.0.")</f>
        <v/>
      </c>
      <c r="S2" s="2"/>
    </row>
    <row r="3" spans="1:19" x14ac:dyDescent="0.35">
      <c r="A3" s="42" t="s">
        <v>41</v>
      </c>
      <c r="B3" s="43"/>
      <c r="C3" s="43"/>
      <c r="D3" s="43"/>
      <c r="E3" s="43"/>
      <c r="F3" s="43"/>
      <c r="G3" s="44"/>
      <c r="O3" s="2"/>
      <c r="P3" s="2"/>
      <c r="Q3" s="2"/>
      <c r="R3" s="5" t="str">
        <f>IF(L6&gt;16.043,"",CONCATENATE(" Error: Gas SG is too low for inert mole fractions specified. Needs to be at least ",ROUND((16.043*(1-C6-D6-E6-F6)+(C6*H6+D6*I6+E6*J6+F6*K6))/mwAir,4)," for methane non-inert"))</f>
        <v/>
      </c>
      <c r="S3" s="2"/>
    </row>
    <row r="4" spans="1:19" x14ac:dyDescent="0.35">
      <c r="A4" s="8" t="s">
        <v>19</v>
      </c>
      <c r="B4" s="9" t="s">
        <v>20</v>
      </c>
      <c r="C4" s="39" t="s">
        <v>6</v>
      </c>
      <c r="D4" s="40"/>
      <c r="E4" s="40"/>
      <c r="F4" s="40"/>
      <c r="G4" s="41"/>
      <c r="H4" s="39" t="s">
        <v>5</v>
      </c>
      <c r="I4" s="40"/>
      <c r="J4" s="40"/>
      <c r="K4" s="40"/>
      <c r="L4" s="41"/>
      <c r="M4" s="18"/>
      <c r="O4" s="2" t="s">
        <v>37</v>
      </c>
      <c r="P4" s="2" t="s">
        <v>38</v>
      </c>
      <c r="Q4" s="2" t="s">
        <v>39</v>
      </c>
      <c r="R4" s="5" t="str">
        <f>IF(SUM(C6:F6)&gt;=1," Warning: Inert mole fractions leaves no hydrocarbons. Hydrocarbon properties have been defaulted to SG=0.65","")</f>
        <v/>
      </c>
      <c r="S4" s="2"/>
    </row>
    <row r="5" spans="1:19" x14ac:dyDescent="0.35">
      <c r="A5" s="10" t="s">
        <v>18</v>
      </c>
      <c r="B5" s="11" t="s">
        <v>21</v>
      </c>
      <c r="C5" s="10" t="s">
        <v>0</v>
      </c>
      <c r="D5" s="11" t="s">
        <v>1</v>
      </c>
      <c r="E5" s="11" t="s">
        <v>2</v>
      </c>
      <c r="F5" s="11" t="s">
        <v>3</v>
      </c>
      <c r="G5" s="12" t="s">
        <v>4</v>
      </c>
      <c r="H5" s="10" t="s">
        <v>0</v>
      </c>
      <c r="I5" s="11" t="s">
        <v>1</v>
      </c>
      <c r="J5" s="11" t="s">
        <v>2</v>
      </c>
      <c r="K5" s="11" t="s">
        <v>3</v>
      </c>
      <c r="L5" s="12" t="s">
        <v>4</v>
      </c>
      <c r="M5" s="12" t="s">
        <v>30</v>
      </c>
      <c r="O5" s="6">
        <v>8.1054458501843101E-5</v>
      </c>
      <c r="P5" s="2">
        <v>5.6755904936473998E-2</v>
      </c>
      <c r="Q5" s="2">
        <v>0.764998248102576</v>
      </c>
      <c r="R5" s="2"/>
      <c r="S5" s="2"/>
    </row>
    <row r="6" spans="1:19" s="1" customFormat="1" x14ac:dyDescent="0.35">
      <c r="A6" s="13">
        <v>120</v>
      </c>
      <c r="B6" s="14">
        <v>1.51</v>
      </c>
      <c r="C6" s="38">
        <v>0.99</v>
      </c>
      <c r="D6" s="15">
        <v>0</v>
      </c>
      <c r="E6" s="15">
        <v>0</v>
      </c>
      <c r="F6" s="15">
        <v>0</v>
      </c>
      <c r="G6" s="16">
        <f>1-SUM(C6:F6)</f>
        <v>1.0000000000000009E-2</v>
      </c>
      <c r="H6" s="19">
        <v>44.01</v>
      </c>
      <c r="I6" s="20">
        <v>34.082000000000001</v>
      </c>
      <c r="J6" s="20">
        <v>28.013999999999999</v>
      </c>
      <c r="K6" s="20">
        <v>2.016</v>
      </c>
      <c r="L6" s="16">
        <f xml:space="preserve"> IF(G6&lt;=0,0.65*mwAir,(B6*mwAir - (C6 * H6 + D6 * I6 + E6 * J6 + F6 * K6)) / (1 - C6 - D6 - E6 - F6))</f>
        <v>17.480000000000459</v>
      </c>
      <c r="M6" s="21">
        <f>A6+459.67</f>
        <v>579.67000000000007</v>
      </c>
      <c r="O6" s="2"/>
      <c r="P6" s="2"/>
      <c r="Q6" s="2"/>
      <c r="R6" s="2"/>
      <c r="S6" s="2"/>
    </row>
    <row r="7" spans="1:19" s="1" customFormat="1" x14ac:dyDescent="0.35">
      <c r="A7"/>
      <c r="B7"/>
      <c r="C7"/>
      <c r="D7"/>
      <c r="E7"/>
      <c r="F7"/>
      <c r="L7"/>
      <c r="M7"/>
      <c r="O7" s="17" t="s">
        <v>40</v>
      </c>
      <c r="P7" s="7">
        <f>O5 * hcMW ^ 2 + P5 * hcMW + Q5</f>
        <v>1.7818576886091906</v>
      </c>
      <c r="Q7" s="5"/>
      <c r="R7" s="5"/>
      <c r="S7" s="5"/>
    </row>
    <row r="8" spans="1:19" s="1" customFormat="1" x14ac:dyDescent="0.35">
      <c r="A8"/>
      <c r="B8"/>
      <c r="C8"/>
      <c r="D8"/>
      <c r="E8"/>
      <c r="F8"/>
      <c r="G8"/>
      <c r="H8"/>
      <c r="I8"/>
      <c r="J8"/>
      <c r="K8"/>
      <c r="L8"/>
      <c r="M8"/>
      <c r="O8" s="17" t="s">
        <v>31</v>
      </c>
      <c r="P8" s="5">
        <v>0.39787099999999997</v>
      </c>
      <c r="Q8" s="5">
        <v>0.281553</v>
      </c>
      <c r="R8" s="5">
        <v>0.50944</v>
      </c>
      <c r="S8" s="5">
        <v>0.80935999999999997</v>
      </c>
    </row>
    <row r="9" spans="1:19" s="1" customFormat="1" x14ac:dyDescent="0.35">
      <c r="A9" s="42" t="s">
        <v>42</v>
      </c>
      <c r="B9" s="43"/>
      <c r="C9" s="43"/>
      <c r="D9" s="43"/>
      <c r="E9" s="43"/>
      <c r="F9" s="43"/>
      <c r="G9" s="43"/>
      <c r="H9" s="43"/>
      <c r="I9" s="44"/>
      <c r="J9"/>
      <c r="K9"/>
      <c r="L9"/>
      <c r="M9"/>
      <c r="O9" s="17" t="s">
        <v>33</v>
      </c>
      <c r="P9" s="5">
        <v>-2.7620499999999998E-3</v>
      </c>
      <c r="Q9" s="5">
        <v>-4.4160600000000003E-3</v>
      </c>
      <c r="R9" s="5">
        <v>-4.3751900000000002E-3</v>
      </c>
      <c r="S9" s="5">
        <v>8.8400400000000004E-3</v>
      </c>
    </row>
    <row r="10" spans="1:19" s="1" customFormat="1" x14ac:dyDescent="0.35">
      <c r="A10" s="22"/>
      <c r="B10"/>
      <c r="C10"/>
      <c r="D10"/>
      <c r="E10"/>
      <c r="F10"/>
      <c r="G10"/>
      <c r="H10"/>
      <c r="I10" s="23"/>
      <c r="J10"/>
      <c r="K10"/>
      <c r="L10"/>
      <c r="M10"/>
      <c r="O10" s="17" t="s">
        <v>32</v>
      </c>
      <c r="P10" s="5">
        <v>-157.44</v>
      </c>
      <c r="Q10" s="5">
        <v>-61.198</v>
      </c>
      <c r="R10" s="5">
        <v>-222.58199999999999</v>
      </c>
      <c r="S10" s="5">
        <v>-470.39800000000002</v>
      </c>
    </row>
    <row r="11" spans="1:19" s="1" customFormat="1" x14ac:dyDescent="0.35">
      <c r="A11" s="10" t="s">
        <v>8</v>
      </c>
      <c r="B11" s="11" t="s">
        <v>9</v>
      </c>
      <c r="C11" s="26" t="s">
        <v>10</v>
      </c>
      <c r="D11" s="26" t="s">
        <v>11</v>
      </c>
      <c r="E11" s="26" t="s">
        <v>12</v>
      </c>
      <c r="F11" s="26" t="s">
        <v>13</v>
      </c>
      <c r="G11" s="26" t="s">
        <v>14</v>
      </c>
      <c r="H11" s="26" t="s">
        <v>15</v>
      </c>
      <c r="I11" s="12" t="s">
        <v>16</v>
      </c>
      <c r="J11"/>
      <c r="K11"/>
      <c r="L11"/>
      <c r="M11"/>
      <c r="O11" s="17" t="s">
        <v>43</v>
      </c>
      <c r="P11" s="5">
        <v>28.97</v>
      </c>
      <c r="Q11" s="2"/>
      <c r="R11" s="2"/>
      <c r="S11" s="2"/>
    </row>
    <row r="12" spans="1:19" x14ac:dyDescent="0.35">
      <c r="A12" s="24" t="s">
        <v>0</v>
      </c>
      <c r="B12" s="27">
        <f t="array" ref="B12:B16">TRANSPOSE(H6:L6)</f>
        <v>44.01</v>
      </c>
      <c r="C12" s="27">
        <v>547.41600000000005</v>
      </c>
      <c r="D12" s="27">
        <v>1069.51</v>
      </c>
      <c r="E12" s="28">
        <v>0.12256</v>
      </c>
      <c r="F12" s="28">
        <v>-0.27593000000000001</v>
      </c>
      <c r="G12">
        <v>0.427705</v>
      </c>
      <c r="H12">
        <v>6.9646E-2</v>
      </c>
      <c r="I12" s="29">
        <v>1.4355599999999999</v>
      </c>
      <c r="O12" s="17" t="s">
        <v>44</v>
      </c>
      <c r="P12" s="5">
        <v>10.731577089016</v>
      </c>
      <c r="Q12" s="5"/>
      <c r="R12" s="5"/>
      <c r="S12" s="5"/>
    </row>
    <row r="13" spans="1:19" x14ac:dyDescent="0.35">
      <c r="A13" s="24" t="s">
        <v>1</v>
      </c>
      <c r="B13" s="27">
        <v>34.082000000000001</v>
      </c>
      <c r="C13" s="27">
        <v>672.12</v>
      </c>
      <c r="D13" s="27">
        <v>1299.97</v>
      </c>
      <c r="E13" s="28">
        <v>4.9160000000000002E-2</v>
      </c>
      <c r="F13" s="28">
        <v>-0.22896</v>
      </c>
      <c r="G13">
        <v>0.43674299999999999</v>
      </c>
      <c r="H13">
        <v>7.2437299999999996E-2</v>
      </c>
      <c r="I13" s="29">
        <v>1.45055</v>
      </c>
      <c r="J13" s="3"/>
      <c r="K13" s="3"/>
      <c r="L13" s="3"/>
      <c r="M13" s="3"/>
    </row>
    <row r="14" spans="1:19" x14ac:dyDescent="0.35">
      <c r="A14" s="24" t="s">
        <v>2</v>
      </c>
      <c r="B14" s="27">
        <v>28.013999999999999</v>
      </c>
      <c r="C14" s="27">
        <v>227.16</v>
      </c>
      <c r="D14" s="27">
        <v>492.84</v>
      </c>
      <c r="E14" s="28">
        <v>3.6999999999999998E-2</v>
      </c>
      <c r="F14" s="28">
        <v>-0.21065999999999999</v>
      </c>
      <c r="G14">
        <v>0.45723599999999998</v>
      </c>
      <c r="H14">
        <v>7.7796100000000007E-2</v>
      </c>
      <c r="I14" s="29">
        <v>1.3355999999999999</v>
      </c>
    </row>
    <row r="15" spans="1:19" x14ac:dyDescent="0.35">
      <c r="A15" s="24" t="s">
        <v>3</v>
      </c>
      <c r="B15" s="27">
        <v>2.016</v>
      </c>
      <c r="C15" s="27">
        <v>47.43</v>
      </c>
      <c r="D15" s="27">
        <v>187.53</v>
      </c>
      <c r="E15" s="28">
        <v>-0.217</v>
      </c>
      <c r="F15" s="28">
        <v>-0.32400000000000001</v>
      </c>
      <c r="G15">
        <v>0.45723599999999998</v>
      </c>
      <c r="H15">
        <v>7.7796100000000007E-2</v>
      </c>
      <c r="I15" s="29">
        <v>0.75785999999999998</v>
      </c>
    </row>
    <row r="16" spans="1:19" x14ac:dyDescent="0.35">
      <c r="A16" s="24" t="s">
        <v>17</v>
      </c>
      <c r="B16" s="30">
        <v>17.480000000000459</v>
      </c>
      <c r="C16" s="30">
        <f xml:space="preserve"> (hcMW + O2)*Q2 / (hcMW + O2 + P2)</f>
        <v>358.66279455292255</v>
      </c>
      <c r="D16" s="30">
        <f>0.3074*gasR*C16/P7</f>
        <v>664.01933507267472</v>
      </c>
      <c r="E16" s="31">
        <v>-3.8989999999999997E-2</v>
      </c>
      <c r="F16" s="31">
        <v>-0.19076000000000001</v>
      </c>
      <c r="G16">
        <v>0.45723599999999998</v>
      </c>
      <c r="H16">
        <v>7.7796100000000007E-2</v>
      </c>
      <c r="I16" s="32">
        <f>0.0577172 * hcMW + 0.480478182</f>
        <v>1.4893748380000265</v>
      </c>
    </row>
    <row r="17" spans="1:13" s="3" customFormat="1" x14ac:dyDescent="0.35">
      <c r="A17" s="22"/>
      <c r="B17" s="27"/>
      <c r="C17"/>
      <c r="D17"/>
      <c r="E17"/>
      <c r="F17"/>
      <c r="G17"/>
      <c r="H17"/>
      <c r="I17" s="23"/>
      <c r="J17"/>
      <c r="K17"/>
      <c r="L17"/>
      <c r="M17"/>
    </row>
    <row r="18" spans="1:13" x14ac:dyDescent="0.35">
      <c r="A18" s="25" t="s">
        <v>29</v>
      </c>
      <c r="B18" s="11" t="s">
        <v>0</v>
      </c>
      <c r="C18" s="11" t="s">
        <v>1</v>
      </c>
      <c r="D18" s="11" t="s">
        <v>2</v>
      </c>
      <c r="E18" s="11" t="s">
        <v>3</v>
      </c>
      <c r="F18" s="11" t="s">
        <v>17</v>
      </c>
      <c r="I18" s="23"/>
    </row>
    <row r="19" spans="1:13" x14ac:dyDescent="0.35">
      <c r="A19" s="24" t="s">
        <v>0</v>
      </c>
      <c r="B19">
        <v>0</v>
      </c>
      <c r="C19" s="28">
        <v>5.7079999999999999E-2</v>
      </c>
      <c r="D19" s="28">
        <v>-0.22062999999999999</v>
      </c>
      <c r="E19" s="28">
        <v>0.64810000000000001</v>
      </c>
      <c r="F19" s="33">
        <f t="array" ref="F19:F22">TRANSPOSE(B23:E23)</f>
        <v>7.7987557505510507E-2</v>
      </c>
      <c r="I19" s="23"/>
    </row>
    <row r="20" spans="1:13" x14ac:dyDescent="0.35">
      <c r="A20" s="24" t="s">
        <v>1</v>
      </c>
      <c r="B20" s="28">
        <v>5.7079999999999999E-2</v>
      </c>
      <c r="C20">
        <v>0</v>
      </c>
      <c r="D20" s="28">
        <v>-0.19505</v>
      </c>
      <c r="E20" s="28">
        <v>0.65</v>
      </c>
      <c r="F20" s="33">
        <v>9.8786410210124437E-2</v>
      </c>
      <c r="I20" s="23"/>
    </row>
    <row r="21" spans="1:13" x14ac:dyDescent="0.35">
      <c r="A21" s="24" t="s">
        <v>2</v>
      </c>
      <c r="B21" s="28">
        <v>-0.22062999999999999</v>
      </c>
      <c r="C21" s="28">
        <v>-0.19505</v>
      </c>
      <c r="D21">
        <v>0</v>
      </c>
      <c r="E21" s="28">
        <v>0.36917</v>
      </c>
      <c r="F21" s="33">
        <v>4.898113814755789E-2</v>
      </c>
      <c r="I21" s="23"/>
    </row>
    <row r="22" spans="1:13" x14ac:dyDescent="0.35">
      <c r="A22" s="24" t="s">
        <v>3</v>
      </c>
      <c r="B22" s="28">
        <v>0.64810000000000001</v>
      </c>
      <c r="C22" s="28">
        <v>0.65</v>
      </c>
      <c r="D22" s="28">
        <v>0.36917</v>
      </c>
      <c r="E22">
        <v>0</v>
      </c>
      <c r="F22" s="33">
        <v>0.15239115332735242</v>
      </c>
      <c r="I22" s="23"/>
    </row>
    <row r="23" spans="1:13" x14ac:dyDescent="0.35">
      <c r="A23" s="24" t="s">
        <v>17</v>
      </c>
      <c r="B23" s="33">
        <f>P8+P9*hcMW+P10/degR</f>
        <v>7.7987557505510507E-2</v>
      </c>
      <c r="C23" s="33">
        <f>Q8+Q9*hcMW+Q10/degR</f>
        <v>9.8786410210124437E-2</v>
      </c>
      <c r="D23" s="33">
        <f>R8+R9*hcMW+R10/degR</f>
        <v>4.898113814755789E-2</v>
      </c>
      <c r="E23" s="33">
        <f>S8+S9*hcMW+S10/degR</f>
        <v>0.15239115332735242</v>
      </c>
      <c r="F23">
        <v>0</v>
      </c>
      <c r="I23" s="23"/>
    </row>
    <row r="24" spans="1:13" x14ac:dyDescent="0.35">
      <c r="A24" s="22"/>
      <c r="I24" s="23"/>
    </row>
    <row r="25" spans="1:13" x14ac:dyDescent="0.35">
      <c r="A25" s="10" t="s">
        <v>28</v>
      </c>
      <c r="I25" s="23"/>
    </row>
    <row r="26" spans="1:13" x14ac:dyDescent="0.35">
      <c r="A26" s="10" t="s">
        <v>22</v>
      </c>
      <c r="B26" s="11" t="s">
        <v>23</v>
      </c>
      <c r="C26" s="11" t="s">
        <v>24</v>
      </c>
      <c r="D26" s="11" t="s">
        <v>25</v>
      </c>
      <c r="E26" s="11" t="s">
        <v>26</v>
      </c>
      <c r="F26" s="11" t="s">
        <v>27</v>
      </c>
      <c r="I26" s="23"/>
    </row>
    <row r="27" spans="1:13" x14ac:dyDescent="0.35">
      <c r="A27" s="37">
        <v>0.1023</v>
      </c>
      <c r="B27" s="34">
        <v>2.3363999999999999E-2</v>
      </c>
      <c r="C27" s="34">
        <v>5.8533000000000002E-2</v>
      </c>
      <c r="D27" s="36">
        <v>-3.8817699999999997E-2</v>
      </c>
      <c r="E27" s="36">
        <v>9.1386799999999997E-3</v>
      </c>
      <c r="F27" s="34">
        <v>0.1</v>
      </c>
      <c r="G27" s="34"/>
      <c r="H27" s="34"/>
      <c r="I27" s="35"/>
    </row>
  </sheetData>
  <mergeCells count="4">
    <mergeCell ref="C4:G4"/>
    <mergeCell ref="H4:L4"/>
    <mergeCell ref="A3:G3"/>
    <mergeCell ref="A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degR</vt:lpstr>
      <vt:lpstr>gasR</vt:lpstr>
      <vt:lpstr>hcMW</vt:lpstr>
      <vt:lpstr>mwAir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burgoyne</dc:creator>
  <cp:lastModifiedBy>Burgoyne, Mark (Mark)</cp:lastModifiedBy>
  <dcterms:created xsi:type="dcterms:W3CDTF">2024-09-12T21:13:35Z</dcterms:created>
  <dcterms:modified xsi:type="dcterms:W3CDTF">2024-09-14T07:10:11Z</dcterms:modified>
</cp:coreProperties>
</file>