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<sst xmlns="http://schemas.openxmlformats.org/spreadsheetml/2006/main" count="133" uniqueCount="14">
  <si>
    <t>Cluster</t>
  </si>
  <si>
    <t># of Min</t>
  </si>
  <si>
    <t>Count</t>
  </si>
  <si>
    <t>Arrivial Rate</t>
  </si>
  <si>
    <t>Avg # of Servers</t>
  </si>
  <si>
    <t>Distribution of # of Active Servers (%)</t>
  </si>
  <si>
    <t>Monday</t>
  </si>
  <si>
    <t>-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</si>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</sst>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4.0"/>
      <color rgb="FFFFFFFF"/>
      <name val="Arial"/>
      <scheme val="minor"/>
    </font>
    <font>
      <sz val="13.0"/>
      <color rgb="FFFFFFFF"/>
      <name val="Arial"/>
      <scheme val="minor"/>
    </font>
    <font>
      <sz val="13.0"/>
      <color theme="0"/>
      <name val="Arial"/>
      <scheme val="minor"/>
    </font>
    <font>
      <sz val="12.0"/>
      <color rgb="FFFFFFFF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2" fontId="4" numFmtId="0" xfId="0" applyAlignment="1" applyFont="1">
      <alignment readingOrder="0" textRotation="90" vertical="center"/>
    </xf>
    <xf borderId="0" fillId="3" fontId="6" numFmtId="0" xfId="0" applyAlignment="1" applyFill="1" applyFont="1">
      <alignment readingOrder="0"/>
    </xf>
    <xf borderId="0" fillId="3" fontId="6" numFmtId="2" xfId="0" applyFont="1" applyNumberFormat="1"/>
    <xf borderId="0" fillId="3" fontId="6" numFmtId="0" xfId="0" applyAlignment="1" applyFont="1">
      <alignment horizontal="center" readingOrder="0"/>
    </xf>
    <xf borderId="0" fillId="3" fontId="6" numFmtId="2" xfId="0" applyAlignment="1" applyFont="1" applyNumberFormat="1">
      <alignment horizontal="center" readingOrder="0"/>
    </xf>
    <xf borderId="0" fillId="4" fontId="6" numFmtId="0" xfId="0" applyAlignment="1" applyFill="1" applyFont="1">
      <alignment readingOrder="0"/>
    </xf>
    <xf borderId="0" fillId="4" fontId="6" numFmtId="2" xfId="0" applyFont="1" applyNumberFormat="1"/>
    <xf borderId="0" fillId="4" fontId="6" numFmtId="0" xfId="0" applyAlignment="1" applyFont="1">
      <alignment horizontal="center" readingOrder="0"/>
    </xf>
    <xf borderId="0" fillId="4" fontId="6" numFmtId="2" xfId="0" applyAlignment="1" applyFont="1" applyNumberFormat="1">
      <alignment horizontal="center" readingOrder="0"/>
    </xf>
    <xf borderId="0" fillId="4" fontId="0" numFmtId="2" xfId="0" applyAlignment="1" applyFont="1" applyNumberFormat="1">
      <alignment horizontal="center" readingOrder="0" shrinkToFit="0" wrapText="0"/>
    </xf>
    <xf borderId="0" fillId="5" fontId="6" numFmtId="0" xfId="0" applyAlignment="1" applyFill="1" applyFont="1">
      <alignment readingOrder="0"/>
    </xf>
    <xf borderId="0" fillId="5" fontId="6" numFmtId="2" xfId="0" applyFont="1" applyNumberFormat="1"/>
    <xf borderId="0" fillId="5" fontId="6" numFmtId="2" xfId="0" applyAlignment="1" applyFont="1" applyNumberFormat="1">
      <alignment horizontal="center" readingOrder="0"/>
    </xf>
    <xf borderId="0" fillId="5" fontId="6" numFmtId="0" xfId="0" applyAlignment="1" applyFont="1">
      <alignment horizontal="center" readingOrder="0"/>
    </xf>
    <xf borderId="0" fillId="6" fontId="7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6" fontId="6" numFmtId="2" xfId="0" applyFont="1" applyNumberFormat="1"/>
    <xf borderId="0" fillId="6" fontId="6" numFmtId="2" xfId="0" applyAlignment="1" applyFont="1" applyNumberFormat="1">
      <alignment horizontal="center" readingOrder="0"/>
    </xf>
    <xf borderId="0" fillId="6" fontId="6" numFmtId="0" xfId="0" applyAlignment="1" applyFont="1">
      <alignment horizontal="center" readingOrder="0"/>
    </xf>
    <xf borderId="0" fillId="7" fontId="6" numFmtId="0" xfId="0" applyAlignment="1" applyFill="1" applyFont="1">
      <alignment readingOrder="0"/>
    </xf>
    <xf borderId="0" fillId="7" fontId="6" numFmtId="2" xfId="0" applyFont="1" applyNumberFormat="1"/>
    <xf borderId="0" fillId="7" fontId="6" numFmtId="2" xfId="0" applyAlignment="1" applyFont="1" applyNumberFormat="1">
      <alignment horizontal="center" readingOrder="0"/>
    </xf>
    <xf borderId="0" fillId="7" fontId="6" numFmtId="0" xfId="0" applyAlignment="1" applyFont="1">
      <alignment horizontal="center" readingOrder="0"/>
    </xf>
    <xf borderId="0" fillId="8" fontId="6" numFmtId="0" xfId="0" applyAlignment="1" applyFill="1" applyFont="1">
      <alignment readingOrder="0"/>
    </xf>
    <xf borderId="0" fillId="8" fontId="6" numFmtId="2" xfId="0" applyFont="1" applyNumberFormat="1"/>
    <xf borderId="0" fillId="8" fontId="6" numFmtId="2" xfId="0" applyAlignment="1" applyFont="1" applyNumberFormat="1">
      <alignment horizontal="center" readingOrder="0"/>
    </xf>
    <xf borderId="0" fillId="8" fontId="6" numFmtId="0" xfId="0" applyAlignment="1" applyFont="1">
      <alignment horizontal="center" readingOrder="0"/>
    </xf>
    <xf borderId="0" fillId="9" fontId="6" numFmtId="0" xfId="0" applyAlignment="1" applyFill="1" applyFont="1">
      <alignment readingOrder="0"/>
    </xf>
    <xf borderId="0" fillId="9" fontId="6" numFmtId="2" xfId="0" applyFont="1" applyNumberFormat="1"/>
    <xf borderId="0" fillId="9" fontId="6" numFmtId="2" xfId="0" applyAlignment="1" applyFont="1" applyNumberFormat="1">
      <alignment horizontal="center" readingOrder="0"/>
    </xf>
    <xf borderId="0" fillId="9" fontId="6" numFmtId="0" xfId="0" applyAlignment="1" applyFont="1">
      <alignment horizontal="center" readingOrder="0"/>
    </xf>
    <xf borderId="0" fillId="0" fontId="8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">
        <v>1</v>
      </c>
      <c r="D1" s="3" t="s">
        <v>2</v>
      </c>
      <c r="E1" s="3" t="s">
        <v>3</v>
      </c>
      <c r="G1" s="1" t="s">
        <v>0</v>
      </c>
      <c r="I1" s="4" t="s">
        <v>4</v>
      </c>
      <c r="J1" s="5" t="s">
        <v>5</v>
      </c>
    </row>
    <row r="2">
      <c r="J2" s="6">
        <v>0.0</v>
      </c>
      <c r="K2" s="6">
        <v>1.0</v>
      </c>
      <c r="L2" s="6">
        <v>2.0</v>
      </c>
      <c r="M2" s="6">
        <v>3.0</v>
      </c>
      <c r="N2" s="6">
        <v>4.0</v>
      </c>
      <c r="O2" s="6">
        <v>5.0</v>
      </c>
      <c r="P2" s="6">
        <v>6.0</v>
      </c>
    </row>
    <row r="3">
      <c r="A3" s="7" t="s">
        <v>6</v>
      </c>
      <c r="B3" s="8">
        <v>1.0</v>
      </c>
      <c r="C3" s="8">
        <v>360.0</v>
      </c>
      <c r="D3" s="8">
        <v>0.0</v>
      </c>
      <c r="E3" s="9">
        <f t="shared" ref="E3:E30" si="1">D3/C3</f>
        <v>0</v>
      </c>
      <c r="G3" s="7" t="s">
        <v>6</v>
      </c>
      <c r="H3" s="8">
        <v>1.0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</row>
    <row r="4">
      <c r="B4" s="8">
        <v>2.0</v>
      </c>
      <c r="C4" s="8">
        <v>360.0</v>
      </c>
      <c r="D4" s="8">
        <v>8340.0</v>
      </c>
      <c r="E4" s="9">
        <f t="shared" si="1"/>
        <v>23.16666667</v>
      </c>
      <c r="H4" s="8">
        <v>2.0</v>
      </c>
      <c r="I4" s="10">
        <v>1.54</v>
      </c>
      <c r="J4" s="11">
        <f>3/D4*100</f>
        <v>0.03597122302</v>
      </c>
      <c r="K4" s="11">
        <f>3862/$D$4*100</f>
        <v>46.30695444</v>
      </c>
      <c r="L4" s="11">
        <f>4415/D4*100</f>
        <v>52.93764988</v>
      </c>
      <c r="M4" s="11">
        <f>60/D4*100</f>
        <v>0.7194244604</v>
      </c>
      <c r="N4" s="11" t="s">
        <v>7</v>
      </c>
      <c r="O4" s="11" t="s">
        <v>7</v>
      </c>
      <c r="P4" s="11" t="s">
        <v>7</v>
      </c>
    </row>
    <row r="5">
      <c r="B5" s="8">
        <v>3.0</v>
      </c>
      <c r="C5" s="8">
        <v>360.0</v>
      </c>
      <c r="D5" s="8">
        <v>10186.0</v>
      </c>
      <c r="E5" s="9">
        <f t="shared" si="1"/>
        <v>28.29444444</v>
      </c>
      <c r="H5" s="8">
        <v>3.0</v>
      </c>
      <c r="I5" s="10">
        <v>1.14</v>
      </c>
      <c r="J5" s="11">
        <f>5/D5*100</f>
        <v>0.04908698213</v>
      </c>
      <c r="K5" s="11">
        <f>8713/D5*100</f>
        <v>85.53897506</v>
      </c>
      <c r="L5" s="11">
        <f>1467/D5*100</f>
        <v>14.40212056</v>
      </c>
      <c r="M5" s="11" t="s">
        <v>7</v>
      </c>
      <c r="N5" s="11" t="s">
        <v>7</v>
      </c>
      <c r="O5" s="11" t="s">
        <v>7</v>
      </c>
      <c r="P5" s="11">
        <f>1/D5*100</f>
        <v>0.009817396426</v>
      </c>
    </row>
    <row r="6">
      <c r="B6" s="8">
        <v>4.0</v>
      </c>
      <c r="C6" s="8">
        <v>360.0</v>
      </c>
      <c r="D6" s="8">
        <v>7337.0</v>
      </c>
      <c r="E6" s="9">
        <f t="shared" si="1"/>
        <v>20.38055556</v>
      </c>
      <c r="H6" s="8">
        <v>4.0</v>
      </c>
      <c r="I6" s="10">
        <v>1.12</v>
      </c>
      <c r="J6" s="11">
        <f>18/D6*100</f>
        <v>0.2453318795</v>
      </c>
      <c r="K6" s="11">
        <f>6417/D6*100</f>
        <v>87.46081505</v>
      </c>
      <c r="L6" s="11">
        <f>902/D6*100</f>
        <v>12.29385307</v>
      </c>
      <c r="M6" s="11" t="s">
        <v>7</v>
      </c>
      <c r="N6" s="11" t="s">
        <v>7</v>
      </c>
      <c r="O6" s="11" t="s">
        <v>7</v>
      </c>
      <c r="P6" s="11" t="s">
        <v>7</v>
      </c>
    </row>
    <row r="7">
      <c r="A7" s="7" t="s">
        <v>8</v>
      </c>
      <c r="B7" s="12">
        <v>1.0</v>
      </c>
      <c r="C7" s="8">
        <v>360.0</v>
      </c>
      <c r="D7" s="12">
        <v>5.0</v>
      </c>
      <c r="E7" s="13">
        <f t="shared" si="1"/>
        <v>0.01388888889</v>
      </c>
      <c r="G7" s="7" t="s">
        <v>8</v>
      </c>
      <c r="H7" s="12">
        <v>1.0</v>
      </c>
      <c r="I7" s="14">
        <v>1.6</v>
      </c>
      <c r="J7" s="14" t="s">
        <v>7</v>
      </c>
      <c r="K7" s="14">
        <f>4/D7*100</f>
        <v>80</v>
      </c>
      <c r="L7" s="14" t="s">
        <v>7</v>
      </c>
      <c r="M7" s="14" t="s">
        <v>7</v>
      </c>
      <c r="N7" s="14">
        <f t="shared" ref="N7:N8" si="2">1/D7*100</f>
        <v>20</v>
      </c>
      <c r="O7" s="14" t="s">
        <v>7</v>
      </c>
      <c r="P7" s="14" t="s">
        <v>7</v>
      </c>
    </row>
    <row r="8">
      <c r="B8" s="12">
        <v>2.0</v>
      </c>
      <c r="C8" s="8">
        <v>360.0</v>
      </c>
      <c r="D8" s="12">
        <v>9432.0</v>
      </c>
      <c r="E8" s="13">
        <f t="shared" si="1"/>
        <v>26.2</v>
      </c>
      <c r="H8" s="12">
        <v>2.0</v>
      </c>
      <c r="I8" s="14">
        <v>1.5</v>
      </c>
      <c r="J8" s="15">
        <f>6/D8*100</f>
        <v>0.06361323155</v>
      </c>
      <c r="K8" s="15">
        <f>4743/D8*100</f>
        <v>50.28625954</v>
      </c>
      <c r="L8" s="15">
        <f>4682/D8*100</f>
        <v>49.63952502</v>
      </c>
      <c r="M8" s="15" t="s">
        <v>7</v>
      </c>
      <c r="N8" s="15">
        <f t="shared" si="2"/>
        <v>0.01060220526</v>
      </c>
      <c r="O8" s="14" t="s">
        <v>7</v>
      </c>
      <c r="P8" s="14" t="s">
        <v>7</v>
      </c>
    </row>
    <row r="9">
      <c r="B9" s="12">
        <v>3.0</v>
      </c>
      <c r="C9" s="8">
        <v>360.0</v>
      </c>
      <c r="D9" s="12">
        <v>11091.0</v>
      </c>
      <c r="E9" s="13">
        <f t="shared" si="1"/>
        <v>30.80833333</v>
      </c>
      <c r="H9" s="12">
        <v>3.0</v>
      </c>
      <c r="I9" s="14">
        <v>1.16</v>
      </c>
      <c r="J9" s="15" t="s">
        <v>7</v>
      </c>
      <c r="K9" s="15">
        <f>9347/D9*100</f>
        <v>84.27553873</v>
      </c>
      <c r="L9" s="16">
        <f>1743/D9*100</f>
        <v>15.71544496</v>
      </c>
      <c r="M9" s="15" t="s">
        <v>7</v>
      </c>
      <c r="N9" s="14" t="s">
        <v>7</v>
      </c>
      <c r="O9" s="14" t="s">
        <v>7</v>
      </c>
      <c r="P9" s="14" t="s">
        <v>7</v>
      </c>
    </row>
    <row r="10">
      <c r="B10" s="12">
        <v>4.0</v>
      </c>
      <c r="C10" s="8">
        <v>360.0</v>
      </c>
      <c r="D10" s="12">
        <v>8980.0</v>
      </c>
      <c r="E10" s="13">
        <f t="shared" si="1"/>
        <v>24.94444444</v>
      </c>
      <c r="H10" s="12">
        <v>4.0</v>
      </c>
      <c r="I10" s="15">
        <v>1.27</v>
      </c>
      <c r="J10" s="15">
        <f>32/D10*100</f>
        <v>0.3563474388</v>
      </c>
      <c r="K10" s="15">
        <f>6548/D10*100</f>
        <v>72.91759465</v>
      </c>
      <c r="L10" s="15">
        <f>2304/D10*100</f>
        <v>25.65701559</v>
      </c>
      <c r="M10" s="15">
        <f>96/D10*100</f>
        <v>1.069042316</v>
      </c>
      <c r="N10" s="14" t="s">
        <v>7</v>
      </c>
      <c r="O10" s="14" t="s">
        <v>7</v>
      </c>
      <c r="P10" s="14" t="s">
        <v>7</v>
      </c>
    </row>
    <row r="11">
      <c r="A11" s="7" t="s">
        <v>9</v>
      </c>
      <c r="B11" s="17">
        <v>1.0</v>
      </c>
      <c r="C11" s="8">
        <v>360.0</v>
      </c>
      <c r="D11" s="17">
        <v>73.0</v>
      </c>
      <c r="E11" s="18">
        <f t="shared" si="1"/>
        <v>0.2027777778</v>
      </c>
      <c r="G11" s="7" t="s">
        <v>9</v>
      </c>
      <c r="H11" s="17">
        <v>1.0</v>
      </c>
      <c r="I11" s="19">
        <v>0.99</v>
      </c>
      <c r="J11" s="19">
        <f>1/D11*100</f>
        <v>1.369863014</v>
      </c>
      <c r="K11" s="19">
        <f>72/D11*100</f>
        <v>98.63013699</v>
      </c>
      <c r="L11" s="20" t="s">
        <v>7</v>
      </c>
      <c r="M11" s="20" t="s">
        <v>7</v>
      </c>
      <c r="N11" s="20" t="s">
        <v>7</v>
      </c>
      <c r="O11" s="20" t="s">
        <v>7</v>
      </c>
      <c r="P11" s="20" t="s">
        <v>7</v>
      </c>
    </row>
    <row r="12">
      <c r="B12" s="17">
        <v>2.0</v>
      </c>
      <c r="C12" s="8">
        <v>360.0</v>
      </c>
      <c r="D12" s="17">
        <v>12100.0</v>
      </c>
      <c r="E12" s="18">
        <f t="shared" si="1"/>
        <v>33.61111111</v>
      </c>
      <c r="H12" s="17">
        <v>2.0</v>
      </c>
      <c r="I12" s="19">
        <v>1.63</v>
      </c>
      <c r="J12" s="19">
        <f t="shared" ref="J12:J13" si="3">3/D12*100</f>
        <v>0.02479338843</v>
      </c>
      <c r="K12" s="19">
        <f>4672/D12*100</f>
        <v>38.61157025</v>
      </c>
      <c r="L12" s="19">
        <f>7235/D12*100</f>
        <v>59.79338843</v>
      </c>
      <c r="M12" s="19">
        <f>190/D12*100</f>
        <v>1.570247934</v>
      </c>
      <c r="N12" s="20" t="s">
        <v>7</v>
      </c>
      <c r="O12" s="20" t="s">
        <v>7</v>
      </c>
      <c r="P12" s="20" t="s">
        <v>7</v>
      </c>
    </row>
    <row r="13">
      <c r="B13" s="17">
        <v>3.0</v>
      </c>
      <c r="C13" s="8">
        <v>360.0</v>
      </c>
      <c r="D13" s="17">
        <v>12096.0</v>
      </c>
      <c r="E13" s="18">
        <f t="shared" si="1"/>
        <v>33.6</v>
      </c>
      <c r="H13" s="17">
        <v>3.0</v>
      </c>
      <c r="I13" s="19">
        <v>1.22</v>
      </c>
      <c r="J13" s="19">
        <f t="shared" si="3"/>
        <v>0.0248015873</v>
      </c>
      <c r="K13" s="19">
        <f>9476/D13*100</f>
        <v>78.33994709</v>
      </c>
      <c r="L13" s="19">
        <f>2521/D13*100</f>
        <v>20.84160053</v>
      </c>
      <c r="M13" s="19">
        <f>96/D13*100</f>
        <v>0.7936507937</v>
      </c>
      <c r="N13" s="20" t="s">
        <v>7</v>
      </c>
      <c r="O13" s="20" t="s">
        <v>7</v>
      </c>
      <c r="P13" s="20" t="s">
        <v>7</v>
      </c>
    </row>
    <row r="14">
      <c r="B14" s="17">
        <v>4.0</v>
      </c>
      <c r="C14" s="8">
        <v>360.0</v>
      </c>
      <c r="D14" s="17">
        <v>12436.0</v>
      </c>
      <c r="E14" s="18">
        <f t="shared" si="1"/>
        <v>34.54444444</v>
      </c>
      <c r="H14" s="17">
        <v>4.0</v>
      </c>
      <c r="I14" s="19">
        <v>1.42</v>
      </c>
      <c r="J14" s="19">
        <f>16/D14*100</f>
        <v>0.1286587327</v>
      </c>
      <c r="K14" s="19">
        <f>7525/D14*100</f>
        <v>60.50981023</v>
      </c>
      <c r="L14" s="19">
        <f>4586/D14*100</f>
        <v>36.87680926</v>
      </c>
      <c r="M14" s="19">
        <f>308/D14*100</f>
        <v>2.476680605</v>
      </c>
      <c r="N14" s="20" t="s">
        <v>7</v>
      </c>
      <c r="O14" s="19">
        <f>1/D14*100</f>
        <v>0.008041170794</v>
      </c>
      <c r="P14" s="20" t="s">
        <v>7</v>
      </c>
    </row>
    <row r="15">
      <c r="A15" s="7" t="s">
        <v>10</v>
      </c>
      <c r="B15" s="21">
        <v>1.0</v>
      </c>
      <c r="C15" s="8">
        <v>360.0</v>
      </c>
      <c r="D15" s="22">
        <v>84.0</v>
      </c>
      <c r="E15" s="23">
        <f t="shared" si="1"/>
        <v>0.2333333333</v>
      </c>
      <c r="G15" s="7" t="s">
        <v>10</v>
      </c>
      <c r="H15" s="21">
        <v>1.0</v>
      </c>
      <c r="I15" s="24">
        <v>1.4</v>
      </c>
      <c r="J15" s="25" t="s">
        <v>7</v>
      </c>
      <c r="K15" s="24">
        <f>50/D15*100</f>
        <v>59.52380952</v>
      </c>
      <c r="L15" s="24">
        <f>34/D15*100</f>
        <v>40.47619048</v>
      </c>
      <c r="M15" s="24" t="s">
        <v>7</v>
      </c>
      <c r="N15" s="25" t="s">
        <v>7</v>
      </c>
      <c r="O15" s="24" t="s">
        <v>7</v>
      </c>
      <c r="P15" s="25" t="s">
        <v>7</v>
      </c>
    </row>
    <row r="16">
      <c r="B16" s="21">
        <v>2.0</v>
      </c>
      <c r="C16" s="8">
        <v>360.0</v>
      </c>
      <c r="D16" s="22">
        <v>13928.0</v>
      </c>
      <c r="E16" s="23">
        <f t="shared" si="1"/>
        <v>38.68888889</v>
      </c>
      <c r="H16" s="21">
        <v>2.0</v>
      </c>
      <c r="I16" s="24">
        <v>1.78</v>
      </c>
      <c r="J16" s="25" t="s">
        <v>7</v>
      </c>
      <c r="K16" s="24">
        <f>3996/D16*100</f>
        <v>28.69040781</v>
      </c>
      <c r="L16" s="24">
        <f>9054/D16*100</f>
        <v>65.00574383</v>
      </c>
      <c r="M16" s="24">
        <f>876/D16*100</f>
        <v>6.2894888</v>
      </c>
      <c r="N16" s="25" t="s">
        <v>7</v>
      </c>
      <c r="O16" s="24">
        <f>1/D16*100</f>
        <v>0.007179781735</v>
      </c>
      <c r="P16" s="25" t="s">
        <v>7</v>
      </c>
    </row>
    <row r="17" ht="15.0" customHeight="1">
      <c r="B17" s="21">
        <v>3.0</v>
      </c>
      <c r="C17" s="8">
        <v>360.0</v>
      </c>
      <c r="D17" s="22">
        <v>13845.0</v>
      </c>
      <c r="E17" s="23">
        <f t="shared" si="1"/>
        <v>38.45833333</v>
      </c>
      <c r="H17" s="21">
        <v>3.0</v>
      </c>
      <c r="I17" s="24">
        <v>1.23</v>
      </c>
      <c r="J17" s="25" t="s">
        <v>7</v>
      </c>
      <c r="K17" s="24">
        <f>10694/D17*100</f>
        <v>77.24088118</v>
      </c>
      <c r="L17" s="24">
        <f>3151/D17*100</f>
        <v>22.75911882</v>
      </c>
      <c r="M17" s="25" t="s">
        <v>7</v>
      </c>
      <c r="N17" s="25" t="s">
        <v>7</v>
      </c>
      <c r="O17" s="25" t="s">
        <v>7</v>
      </c>
      <c r="P17" s="25" t="s">
        <v>7</v>
      </c>
    </row>
    <row r="18">
      <c r="B18" s="21">
        <v>4.0</v>
      </c>
      <c r="C18" s="8">
        <v>360.0</v>
      </c>
      <c r="D18" s="22">
        <v>12394.0</v>
      </c>
      <c r="E18" s="23">
        <f t="shared" si="1"/>
        <v>34.42777778</v>
      </c>
      <c r="H18" s="21">
        <v>4.0</v>
      </c>
      <c r="I18" s="24">
        <v>1.46</v>
      </c>
      <c r="J18" s="24">
        <f>24/D18*100</f>
        <v>0.1936420849</v>
      </c>
      <c r="K18" s="24">
        <f>6626/D18*100</f>
        <v>53.46135227</v>
      </c>
      <c r="L18" s="24">
        <f>5744/D18*100</f>
        <v>46.34500565</v>
      </c>
      <c r="M18" s="25" t="s">
        <v>7</v>
      </c>
      <c r="N18" s="25" t="s">
        <v>7</v>
      </c>
      <c r="O18" s="25" t="s">
        <v>7</v>
      </c>
      <c r="P18" s="25" t="s">
        <v>7</v>
      </c>
    </row>
    <row r="19">
      <c r="A19" s="7" t="s">
        <v>11</v>
      </c>
      <c r="B19" s="26">
        <v>1.0</v>
      </c>
      <c r="C19" s="8">
        <v>360.0</v>
      </c>
      <c r="D19" s="26">
        <v>0.0</v>
      </c>
      <c r="E19" s="27">
        <f t="shared" si="1"/>
        <v>0</v>
      </c>
      <c r="G19" s="7" t="s">
        <v>11</v>
      </c>
      <c r="H19" s="26">
        <v>1.0</v>
      </c>
      <c r="I19" s="28" t="s">
        <v>7</v>
      </c>
      <c r="J19" s="29" t="s">
        <v>7</v>
      </c>
      <c r="K19" s="29" t="s">
        <v>7</v>
      </c>
      <c r="L19" s="29" t="s">
        <v>7</v>
      </c>
      <c r="M19" s="29" t="s">
        <v>7</v>
      </c>
      <c r="N19" s="29" t="s">
        <v>7</v>
      </c>
      <c r="O19" s="29" t="s">
        <v>7</v>
      </c>
      <c r="P19" s="29" t="s">
        <v>7</v>
      </c>
    </row>
    <row r="20">
      <c r="B20" s="26">
        <v>2.0</v>
      </c>
      <c r="C20" s="8">
        <v>360.0</v>
      </c>
      <c r="D20" s="26">
        <v>11415.0</v>
      </c>
      <c r="E20" s="27">
        <f t="shared" si="1"/>
        <v>31.70833333</v>
      </c>
      <c r="H20" s="26">
        <v>2.0</v>
      </c>
      <c r="I20" s="28">
        <v>1.58</v>
      </c>
      <c r="J20" s="28">
        <f>7/D20*100</f>
        <v>0.06132282085</v>
      </c>
      <c r="K20" s="28">
        <f>4985/D20*100</f>
        <v>43.67060885</v>
      </c>
      <c r="L20" s="28">
        <f>6247/D20*100</f>
        <v>54.72623741</v>
      </c>
      <c r="M20" s="28">
        <f>176/D20*100</f>
        <v>1.541830924</v>
      </c>
      <c r="N20" s="29" t="s">
        <v>7</v>
      </c>
      <c r="O20" s="29" t="s">
        <v>7</v>
      </c>
      <c r="P20" s="29" t="s">
        <v>7</v>
      </c>
    </row>
    <row r="21">
      <c r="B21" s="26">
        <v>3.0</v>
      </c>
      <c r="C21" s="8">
        <v>360.0</v>
      </c>
      <c r="D21" s="26">
        <v>12400.0</v>
      </c>
      <c r="E21" s="27">
        <f t="shared" si="1"/>
        <v>34.44444444</v>
      </c>
      <c r="H21" s="26">
        <v>3.0</v>
      </c>
      <c r="I21" s="28">
        <v>1.23</v>
      </c>
      <c r="J21" s="28">
        <f>12/D21*100</f>
        <v>0.09677419355</v>
      </c>
      <c r="K21" s="28">
        <f>9848/D21*100</f>
        <v>79.41935484</v>
      </c>
      <c r="L21" s="28">
        <f>2236/D21*100</f>
        <v>18.03225806</v>
      </c>
      <c r="M21" s="28">
        <f>304/D21*100</f>
        <v>2.451612903</v>
      </c>
      <c r="N21" s="29" t="s">
        <v>7</v>
      </c>
      <c r="O21" s="29" t="s">
        <v>7</v>
      </c>
      <c r="P21" s="29" t="s">
        <v>7</v>
      </c>
    </row>
    <row r="22">
      <c r="B22" s="26">
        <v>4.0</v>
      </c>
      <c r="C22" s="8">
        <v>360.0</v>
      </c>
      <c r="D22" s="26">
        <v>6615.0</v>
      </c>
      <c r="E22" s="27">
        <f t="shared" si="1"/>
        <v>18.375</v>
      </c>
      <c r="H22" s="26">
        <v>4.0</v>
      </c>
      <c r="I22" s="28">
        <v>1.3</v>
      </c>
      <c r="J22" s="28">
        <f>57/D22*100</f>
        <v>0.8616780045</v>
      </c>
      <c r="K22" s="28">
        <f>4614/D22*100</f>
        <v>69.75056689</v>
      </c>
      <c r="L22" s="28">
        <f>1858/D22*100</f>
        <v>28.08767952</v>
      </c>
      <c r="M22" s="28">
        <f>86/D22*100</f>
        <v>1.300075586</v>
      </c>
      <c r="N22" s="29" t="s">
        <v>7</v>
      </c>
      <c r="O22" s="29" t="s">
        <v>7</v>
      </c>
      <c r="P22" s="29" t="s">
        <v>7</v>
      </c>
    </row>
    <row r="23">
      <c r="A23" s="7" t="s">
        <v>12</v>
      </c>
      <c r="B23" s="30">
        <v>1.0</v>
      </c>
      <c r="C23" s="8">
        <v>360.0</v>
      </c>
      <c r="D23" s="30">
        <v>1.0</v>
      </c>
      <c r="E23" s="31">
        <f t="shared" si="1"/>
        <v>0.002777777778</v>
      </c>
      <c r="G23" s="7" t="s">
        <v>12</v>
      </c>
      <c r="H23" s="30">
        <v>1.0</v>
      </c>
      <c r="I23" s="32">
        <v>0.0</v>
      </c>
      <c r="J23" s="32">
        <f>1/D23*100</f>
        <v>100</v>
      </c>
      <c r="K23" s="33" t="s">
        <v>7</v>
      </c>
      <c r="L23" s="33" t="s">
        <v>7</v>
      </c>
      <c r="M23" s="33" t="s">
        <v>7</v>
      </c>
      <c r="N23" s="33" t="s">
        <v>7</v>
      </c>
      <c r="O23" s="33" t="s">
        <v>7</v>
      </c>
      <c r="P23" s="33" t="s">
        <v>7</v>
      </c>
    </row>
    <row r="24">
      <c r="B24" s="30">
        <v>2.0</v>
      </c>
      <c r="C24" s="8">
        <v>360.0</v>
      </c>
      <c r="D24" s="30">
        <v>10690.0</v>
      </c>
      <c r="E24" s="31">
        <f t="shared" si="1"/>
        <v>29.69444444</v>
      </c>
      <c r="H24" s="30">
        <v>2.0</v>
      </c>
      <c r="I24" s="32">
        <v>1.54</v>
      </c>
      <c r="J24" s="32">
        <f>3/D24*100</f>
        <v>0.02806361085</v>
      </c>
      <c r="K24" s="32">
        <f>5193/D24*100</f>
        <v>48.57811038</v>
      </c>
      <c r="L24" s="32">
        <f>5190/D24*100</f>
        <v>48.55004677</v>
      </c>
      <c r="M24" s="32">
        <f>304/D24*100</f>
        <v>2.843779233</v>
      </c>
      <c r="N24" s="33" t="s">
        <v>7</v>
      </c>
      <c r="O24" s="33" t="s">
        <v>7</v>
      </c>
      <c r="P24" s="33" t="s">
        <v>7</v>
      </c>
    </row>
    <row r="25">
      <c r="B25" s="30">
        <v>3.0</v>
      </c>
      <c r="C25" s="8">
        <v>360.0</v>
      </c>
      <c r="D25" s="30">
        <v>12345.0</v>
      </c>
      <c r="E25" s="31">
        <f t="shared" si="1"/>
        <v>34.29166667</v>
      </c>
      <c r="H25" s="30">
        <v>3.0</v>
      </c>
      <c r="I25" s="32">
        <v>1.15</v>
      </c>
      <c r="J25" s="32">
        <f>10/D25*100</f>
        <v>0.08100445525</v>
      </c>
      <c r="K25" s="32">
        <f>10502/D25*100</f>
        <v>85.0708789</v>
      </c>
      <c r="L25" s="32">
        <f>1833/D25*100</f>
        <v>14.84811665</v>
      </c>
      <c r="M25" s="32" t="s">
        <v>7</v>
      </c>
      <c r="N25" s="33" t="s">
        <v>7</v>
      </c>
      <c r="O25" s="33" t="s">
        <v>7</v>
      </c>
      <c r="P25" s="33" t="s">
        <v>7</v>
      </c>
    </row>
    <row r="26">
      <c r="B26" s="30">
        <v>4.0</v>
      </c>
      <c r="C26" s="8">
        <v>360.0</v>
      </c>
      <c r="D26" s="30">
        <v>13640.0</v>
      </c>
      <c r="E26" s="31">
        <f t="shared" si="1"/>
        <v>37.88888889</v>
      </c>
      <c r="H26" s="30">
        <v>4.0</v>
      </c>
      <c r="I26" s="32">
        <v>1.58</v>
      </c>
      <c r="J26" s="32">
        <f>24/D26*100</f>
        <v>0.1759530792</v>
      </c>
      <c r="K26" s="32">
        <f>6434/D26*100</f>
        <v>47.17008798</v>
      </c>
      <c r="L26" s="32">
        <f>6444/D26*100</f>
        <v>47.24340176</v>
      </c>
      <c r="M26" s="32">
        <f>738/D26*100</f>
        <v>5.410557185</v>
      </c>
      <c r="N26" s="33" t="s">
        <v>7</v>
      </c>
      <c r="O26" s="33" t="s">
        <v>7</v>
      </c>
      <c r="P26" s="33" t="s">
        <v>7</v>
      </c>
    </row>
    <row r="27">
      <c r="A27" s="7" t="s">
        <v>13</v>
      </c>
      <c r="B27" s="34">
        <v>1.0</v>
      </c>
      <c r="C27" s="8">
        <v>360.0</v>
      </c>
      <c r="D27" s="34">
        <v>34.0</v>
      </c>
      <c r="E27" s="35">
        <f t="shared" si="1"/>
        <v>0.09444444444</v>
      </c>
      <c r="G27" s="7" t="s">
        <v>13</v>
      </c>
      <c r="H27" s="34">
        <v>1.0</v>
      </c>
      <c r="I27" s="36">
        <v>1.65</v>
      </c>
      <c r="J27" s="36">
        <f>1/D27*100</f>
        <v>2.941176471</v>
      </c>
      <c r="K27" s="36">
        <f>10/D27*100</f>
        <v>29.41176471</v>
      </c>
      <c r="L27" s="36">
        <f>23/D27*100</f>
        <v>67.64705882</v>
      </c>
      <c r="M27" s="36" t="s">
        <v>7</v>
      </c>
      <c r="N27" s="37" t="s">
        <v>7</v>
      </c>
      <c r="O27" s="37" t="s">
        <v>7</v>
      </c>
      <c r="P27" s="37" t="s">
        <v>7</v>
      </c>
    </row>
    <row r="28">
      <c r="B28" s="34">
        <v>2.0</v>
      </c>
      <c r="C28" s="8">
        <v>360.0</v>
      </c>
      <c r="D28" s="34">
        <v>10274.0</v>
      </c>
      <c r="E28" s="35">
        <f t="shared" si="1"/>
        <v>28.53888889</v>
      </c>
      <c r="H28" s="34">
        <v>2.0</v>
      </c>
      <c r="I28" s="36">
        <v>1.53</v>
      </c>
      <c r="J28" s="36">
        <f>8/D28*100</f>
        <v>0.07786645902</v>
      </c>
      <c r="K28" s="36">
        <f>4798/D28*100</f>
        <v>46.7004088</v>
      </c>
      <c r="L28" s="36">
        <f>5453/D28*100</f>
        <v>53.07572513</v>
      </c>
      <c r="M28" s="36">
        <f>14/D28*100</f>
        <v>0.1362663033</v>
      </c>
      <c r="N28" s="37" t="s">
        <v>7</v>
      </c>
      <c r="O28" s="37" t="s">
        <v>7</v>
      </c>
      <c r="P28" s="37" t="s">
        <v>7</v>
      </c>
    </row>
    <row r="29">
      <c r="B29" s="34">
        <v>3.0</v>
      </c>
      <c r="C29" s="8">
        <v>360.0</v>
      </c>
      <c r="D29" s="34">
        <v>12293.0</v>
      </c>
      <c r="E29" s="35">
        <f t="shared" si="1"/>
        <v>34.14722222</v>
      </c>
      <c r="H29" s="34">
        <v>3.0</v>
      </c>
      <c r="I29" s="36">
        <v>1.2</v>
      </c>
      <c r="J29" s="36">
        <f>2/D29*100</f>
        <v>0.01626942162</v>
      </c>
      <c r="K29" s="36">
        <f>9862/D29*100</f>
        <v>80.22451802</v>
      </c>
      <c r="L29" s="36">
        <f>2429/D29*100</f>
        <v>19.75921256</v>
      </c>
      <c r="M29" s="37" t="s">
        <v>7</v>
      </c>
      <c r="N29" s="37" t="s">
        <v>7</v>
      </c>
      <c r="O29" s="37" t="s">
        <v>7</v>
      </c>
      <c r="P29" s="37" t="s">
        <v>7</v>
      </c>
    </row>
    <row r="30">
      <c r="B30" s="34">
        <v>4.0</v>
      </c>
      <c r="C30" s="8">
        <v>360.0</v>
      </c>
      <c r="D30" s="34">
        <v>9089.0</v>
      </c>
      <c r="E30" s="35">
        <f t="shared" si="1"/>
        <v>25.24722222</v>
      </c>
      <c r="H30" s="34">
        <v>4.0</v>
      </c>
      <c r="I30" s="36">
        <v>1.19</v>
      </c>
      <c r="J30" s="36">
        <f>27/D30*100</f>
        <v>0.2970623831</v>
      </c>
      <c r="K30" s="36">
        <f>7319/D30*100</f>
        <v>80.52591044</v>
      </c>
      <c r="L30" s="36">
        <f>1743/D30*100</f>
        <v>19.17702718</v>
      </c>
      <c r="M30" s="37" t="s">
        <v>7</v>
      </c>
      <c r="N30" s="37" t="s">
        <v>7</v>
      </c>
      <c r="O30" s="37" t="s">
        <v>7</v>
      </c>
      <c r="P30" s="37" t="s">
        <v>7</v>
      </c>
    </row>
    <row r="31">
      <c r="G31" s="38"/>
      <c r="I31" s="39"/>
    </row>
    <row r="32">
      <c r="G32" s="38"/>
    </row>
  </sheetData>
  <mergeCells count="21">
    <mergeCell ref="G1:H2"/>
    <mergeCell ref="G3:G6"/>
    <mergeCell ref="A1:B2"/>
    <mergeCell ref="C1:C2"/>
    <mergeCell ref="D1:D2"/>
    <mergeCell ref="E1:E2"/>
    <mergeCell ref="I1:I2"/>
    <mergeCell ref="J1:P1"/>
    <mergeCell ref="A3:A6"/>
    <mergeCell ref="A19:A22"/>
    <mergeCell ref="A23:A26"/>
    <mergeCell ref="A27:A30"/>
    <mergeCell ref="G23:G26"/>
    <mergeCell ref="G27:G30"/>
    <mergeCell ref="A7:A10"/>
    <mergeCell ref="G7:G10"/>
    <mergeCell ref="A11:A14"/>
    <mergeCell ref="G11:G14"/>
    <mergeCell ref="A15:A18"/>
    <mergeCell ref="G15:G18"/>
    <mergeCell ref="G19:G22"/>
  </mergeCells>
  <drawing r:id="rId1"/>
</worksheet>
</file>