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hub\YearOfLanguages2023\src\dotnet\Ann.Cli\Ann.Cli\"/>
    </mc:Choice>
  </mc:AlternateContent>
  <xr:revisionPtr revIDLastSave="0" documentId="13_ncr:1_{3BC5790C-6B72-4977-B57B-FAA6B9355E4F}" xr6:coauthVersionLast="47" xr6:coauthVersionMax="47" xr10:uidLastSave="{00000000-0000-0000-0000-000000000000}"/>
  <bookViews>
    <workbookView xWindow="-120" yWindow="-120" windowWidth="29040" windowHeight="15720" activeTab="2" xr2:uid="{1BA7F286-EB0B-4382-9A88-E5C095DE8FCC}"/>
  </bookViews>
  <sheets>
    <sheet name="SNN" sheetId="1" r:id="rId1"/>
    <sheet name="SNN (tanh)" sheetId="3" r:id="rId2"/>
    <sheet name="ANN (tanh)" sheetId="4" r:id="rId3"/>
    <sheet name="Sheet5" sheetId="5" r:id="rId4"/>
  </sheets>
  <definedNames>
    <definedName name="Activation">_xlfn.LAMBDA(_xlpm.X, Sigmoid(_xlpm.X))</definedName>
    <definedName name="AntiActivation">_xlfn.LAMBDA(_xlpm.x,EXP(_xlpm.x)/POWER(1+EXP(_xlpm.x),2))</definedName>
    <definedName name="bias" localSheetId="2">'ANN (tanh)'!$B$3</definedName>
    <definedName name="bias" localSheetId="1">'SNN (tanh)'!$B$3</definedName>
    <definedName name="bias">SNN!$C$3</definedName>
    <definedName name="bias_o" localSheetId="2">'ANN (tanh)'!$E$3</definedName>
    <definedName name="bias_o">'SNN (tanh)'!$E$3</definedName>
    <definedName name="bias_x">'ANN (tanh)'!$H$3</definedName>
    <definedName name="CostFunction">_xlfn.LAMBDA(_xlpm.y,_xlpm.a,POWER(_xlpm.a-_xlpm.y,2))</definedName>
    <definedName name="learning_rate" localSheetId="2">'ANN (tanh)'!$M$3</definedName>
    <definedName name="learning_rate" localSheetId="1">'SNN (tanh)'!$H$3</definedName>
    <definedName name="learning_rate">SNN!$F$3</definedName>
    <definedName name="Sigmoid">_xlfn.LAMBDA(_xlpm.x, 1/(1+EXP(-1*_xlpm.x)))</definedName>
    <definedName name="weight_1.0" localSheetId="2">'ANN (tanh)'!$C$3</definedName>
    <definedName name="weight_1.0" localSheetId="1">'SNN (tanh)'!$C$3</definedName>
    <definedName name="weight_1.0">SNN!$D$3</definedName>
    <definedName name="weight_1.0_x">'ANN (tanh)'!$I$3</definedName>
    <definedName name="weight_1.1" localSheetId="2">'ANN (tanh)'!$D$3</definedName>
    <definedName name="weight_1.1" localSheetId="1">'SNN (tanh)'!$D$3</definedName>
    <definedName name="weight_1.1">SNN!$E$3</definedName>
    <definedName name="weight_1.1x">'ANN (tanh)'!$J$3</definedName>
    <definedName name="weight_1.2_x">'ANN (tanh)'!$K$3</definedName>
    <definedName name="weight_1.2x">'ANN (tanh)'!$L$3</definedName>
    <definedName name="weight_o.0" localSheetId="2">'ANN (tanh)'!$F$3</definedName>
    <definedName name="weight_o.0">'SNN (tanh)'!$F$3</definedName>
    <definedName name="weight_o.1" localSheetId="2">'ANN (tanh)'!$G$3</definedName>
    <definedName name="weight_o.1">'SNN (tanh)'!$G$3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4" l="1"/>
  <c r="R5" i="4"/>
  <c r="R6" i="4"/>
  <c r="R7" i="4"/>
  <c r="R8" i="4"/>
  <c r="R9" i="4"/>
  <c r="R10" i="4"/>
  <c r="R3" i="4"/>
  <c r="Q4" i="4"/>
  <c r="Q5" i="4"/>
  <c r="Q6" i="4"/>
  <c r="Q7" i="4"/>
  <c r="Q8" i="4"/>
  <c r="Q9" i="4"/>
  <c r="Q10" i="4"/>
  <c r="Q3" i="4"/>
  <c r="S4" i="4"/>
  <c r="S5" i="4"/>
  <c r="S6" i="4"/>
  <c r="S7" i="4"/>
  <c r="S8" i="4"/>
  <c r="S9" i="4"/>
  <c r="S10" i="4"/>
  <c r="S22" i="4" s="1"/>
  <c r="S3" i="4"/>
  <c r="S15" i="4" s="1"/>
  <c r="S16" i="4"/>
  <c r="S17" i="4"/>
  <c r="S18" i="4"/>
  <c r="S19" i="4"/>
  <c r="S20" i="4"/>
  <c r="S21" i="4"/>
  <c r="O16" i="4"/>
  <c r="P16" i="4"/>
  <c r="O17" i="4"/>
  <c r="P17" i="4"/>
  <c r="O18" i="4"/>
  <c r="P18" i="4"/>
  <c r="O19" i="4"/>
  <c r="P19" i="4"/>
  <c r="O20" i="4"/>
  <c r="P20" i="4"/>
  <c r="O21" i="4"/>
  <c r="P21" i="4"/>
  <c r="O22" i="4"/>
  <c r="P22" i="4"/>
  <c r="P15" i="4"/>
  <c r="O15" i="4"/>
  <c r="AC15" i="4" s="1"/>
  <c r="AC16" i="4"/>
  <c r="AC17" i="4"/>
  <c r="AC18" i="4"/>
  <c r="AC19" i="4"/>
  <c r="AC20" i="4"/>
  <c r="AC21" i="4"/>
  <c r="AC22" i="4"/>
  <c r="AB16" i="4"/>
  <c r="AB17" i="4"/>
  <c r="AB18" i="4"/>
  <c r="AB19" i="4"/>
  <c r="AB20" i="4"/>
  <c r="AB21" i="4"/>
  <c r="AB22" i="4"/>
  <c r="Y15" i="4"/>
  <c r="Y16" i="4"/>
  <c r="Y17" i="4"/>
  <c r="Y18" i="4"/>
  <c r="AD7" i="4"/>
  <c r="AD8" i="4"/>
  <c r="AE7" i="4"/>
  <c r="AE8" i="4"/>
  <c r="AF7" i="4"/>
  <c r="AF8" i="4"/>
  <c r="AG7" i="4"/>
  <c r="AG8" i="4"/>
  <c r="AH7" i="4"/>
  <c r="AH8" i="4"/>
  <c r="AD4" i="4"/>
  <c r="AD5" i="4"/>
  <c r="AE4" i="4"/>
  <c r="AE5" i="4"/>
  <c r="AF4" i="4"/>
  <c r="AF5" i="4"/>
  <c r="AG4" i="4"/>
  <c r="AG5" i="4"/>
  <c r="AH4" i="4"/>
  <c r="AH5" i="4"/>
  <c r="Y22" i="4"/>
  <c r="Y21" i="4"/>
  <c r="Y20" i="4"/>
  <c r="Y19" i="4"/>
  <c r="AH10" i="4"/>
  <c r="AG10" i="4"/>
  <c r="AF10" i="4"/>
  <c r="AE10" i="4"/>
  <c r="AD10" i="4"/>
  <c r="AH9" i="4"/>
  <c r="AG9" i="4"/>
  <c r="AF9" i="4"/>
  <c r="AE9" i="4"/>
  <c r="AD9" i="4"/>
  <c r="AH6" i="4"/>
  <c r="AG6" i="4"/>
  <c r="AF6" i="4"/>
  <c r="AE6" i="4"/>
  <c r="AD6" i="4"/>
  <c r="AH3" i="4"/>
  <c r="AG3" i="4"/>
  <c r="AF3" i="4"/>
  <c r="AE3" i="4"/>
  <c r="AD3" i="4"/>
  <c r="AB3" i="3"/>
  <c r="AB4" i="3"/>
  <c r="AB5" i="3"/>
  <c r="AB6" i="3"/>
  <c r="AA3" i="3"/>
  <c r="AA4" i="3"/>
  <c r="AA5" i="3"/>
  <c r="AA6" i="3"/>
  <c r="Z6" i="3"/>
  <c r="Y6" i="3"/>
  <c r="X6" i="3"/>
  <c r="Z5" i="3"/>
  <c r="Y5" i="3"/>
  <c r="X5" i="3"/>
  <c r="Z4" i="3"/>
  <c r="Y4" i="3"/>
  <c r="X4" i="3"/>
  <c r="Z3" i="3"/>
  <c r="Y3" i="3"/>
  <c r="X3" i="3"/>
  <c r="P3" i="1"/>
  <c r="P4" i="1"/>
  <c r="P5" i="1"/>
  <c r="P6" i="1"/>
  <c r="Q3" i="1"/>
  <c r="Q4" i="1"/>
  <c r="Q5" i="1"/>
  <c r="Q6" i="1"/>
  <c r="R3" i="1"/>
  <c r="R4" i="1"/>
  <c r="R5" i="1"/>
  <c r="R6" i="1"/>
  <c r="AB15" i="4" l="1"/>
  <c r="K6" i="1"/>
  <c r="O6" i="1" s="1" a="1"/>
  <c r="O6" i="1" s="1"/>
  <c r="K5" i="1"/>
  <c r="O5" i="1" s="1" a="1"/>
  <c r="O5" i="1" s="1"/>
  <c r="K4" i="1"/>
  <c r="O4" i="1" s="1" a="1"/>
  <c r="O4" i="1" s="1"/>
  <c r="K3" i="1"/>
  <c r="L3" i="1" s="1" a="1"/>
  <c r="L3" i="1" s="1"/>
  <c r="L6" i="1" l="1" a="1"/>
  <c r="L6" i="1" s="1"/>
  <c r="N6" i="1" s="1"/>
  <c r="O3" i="1" a="1"/>
  <c r="O3" i="1" s="1"/>
  <c r="L4" i="1" a="1"/>
  <c r="L4" i="1" s="1"/>
  <c r="N4" i="1" s="1"/>
  <c r="M6" i="1" a="1"/>
  <c r="M6" i="1" s="1"/>
  <c r="M3" i="1" a="1"/>
  <c r="M3" i="1" s="1"/>
  <c r="N3" i="1"/>
  <c r="L5" i="1" a="1"/>
  <c r="L5" i="1" s="1"/>
  <c r="M4" i="1" l="1" a="1"/>
  <c r="M4" i="1" s="1"/>
  <c r="N5" i="1"/>
  <c r="M5" i="1" a="1"/>
  <c r="M5" i="1" s="1"/>
  <c r="M7" i="1" s="1"/>
  <c r="U4" i="1"/>
  <c r="T4" i="1"/>
  <c r="S4" i="1"/>
  <c r="T3" i="1"/>
  <c r="S3" i="1"/>
  <c r="U3" i="1"/>
  <c r="T6" i="1"/>
  <c r="S6" i="1"/>
  <c r="U6" i="1"/>
  <c r="B3" i="1" l="1"/>
  <c r="B8" i="1"/>
  <c r="S5" i="1"/>
  <c r="S7" i="1" s="1"/>
  <c r="C8" i="1" s="1"/>
  <c r="U5" i="1"/>
  <c r="U7" i="1" s="1"/>
  <c r="E8" i="1" s="1"/>
  <c r="T5" i="1"/>
  <c r="T7" i="1" s="1"/>
  <c r="D8" i="1" s="1"/>
  <c r="O3" i="3"/>
  <c r="N5" i="3"/>
  <c r="P5" i="3" s="1"/>
  <c r="N6" i="3"/>
  <c r="P6" i="3" s="1"/>
  <c r="T6" i="3" s="1"/>
  <c r="O4" i="3"/>
  <c r="N4" i="3"/>
  <c r="P4" i="3" s="1"/>
  <c r="O5" i="3"/>
  <c r="O6" i="3"/>
  <c r="W6" i="3" s="1"/>
  <c r="N3" i="3"/>
  <c r="P3" i="3" s="1"/>
  <c r="V6" i="3" l="1"/>
  <c r="AD6" i="3" s="1"/>
  <c r="W3" i="3"/>
  <c r="T3" i="3"/>
  <c r="R3" i="3" a="1"/>
  <c r="R3" i="3" s="1"/>
  <c r="T4" i="3"/>
  <c r="R4" i="3" a="1"/>
  <c r="R4" i="3" s="1"/>
  <c r="T5" i="3"/>
  <c r="R5" i="3" a="1"/>
  <c r="R5" i="3" s="1"/>
  <c r="V5" i="3"/>
  <c r="W5" i="3"/>
  <c r="V3" i="3"/>
  <c r="Q4" i="3"/>
  <c r="Q3" i="3"/>
  <c r="Q5" i="3"/>
  <c r="V4" i="3"/>
  <c r="Q6" i="3"/>
  <c r="W4" i="3"/>
  <c r="R6" i="3" a="1"/>
  <c r="R6" i="3" s="1"/>
  <c r="U5" i="3" l="1"/>
  <c r="AH5" i="3" s="1"/>
  <c r="S5" i="3" a="1"/>
  <c r="S5" i="3" s="1"/>
  <c r="U3" i="3"/>
  <c r="AG3" i="3" s="1"/>
  <c r="S3" i="3" a="1"/>
  <c r="S3" i="3" s="1"/>
  <c r="U4" i="3"/>
  <c r="AH4" i="3" s="1"/>
  <c r="S4" i="3" a="1"/>
  <c r="S4" i="3" s="1"/>
  <c r="U6" i="3"/>
  <c r="AG6" i="3" s="1"/>
  <c r="S6" i="3" a="1"/>
  <c r="S6" i="3" s="1"/>
  <c r="AC6" i="3"/>
  <c r="AE6" i="3"/>
  <c r="AE3" i="3"/>
  <c r="AD3" i="3"/>
  <c r="AC3" i="3"/>
  <c r="AC4" i="3"/>
  <c r="AE4" i="3"/>
  <c r="AD4" i="3"/>
  <c r="R7" i="3"/>
  <c r="AG5" i="3"/>
  <c r="AC5" i="3"/>
  <c r="AD5" i="3"/>
  <c r="AE5" i="3"/>
  <c r="AF5" i="3" l="1"/>
  <c r="AF3" i="3"/>
  <c r="AH3" i="3"/>
  <c r="AF6" i="3"/>
  <c r="AH6" i="3"/>
  <c r="AF4" i="3"/>
  <c r="AG4" i="3"/>
  <c r="AG7" i="3" s="1"/>
  <c r="F8" i="3" s="1"/>
  <c r="S7" i="3"/>
  <c r="AC7" i="3"/>
  <c r="B8" i="3" s="1"/>
  <c r="AD7" i="3"/>
  <c r="C8" i="3" s="1"/>
  <c r="AE7" i="3"/>
  <c r="D8" i="3" s="1"/>
  <c r="AF7" i="3" l="1"/>
  <c r="E8" i="3" s="1"/>
  <c r="AH7" i="3"/>
  <c r="G8" i="3" s="1"/>
  <c r="U7" i="4"/>
  <c r="W7" i="4" s="1"/>
  <c r="Y7" i="4" s="1" a="1"/>
  <c r="Y7" i="4" s="1"/>
  <c r="U5" i="4"/>
  <c r="W5" i="4" s="1"/>
  <c r="T10" i="4"/>
  <c r="V10" i="4" s="1"/>
  <c r="T5" i="4"/>
  <c r="V5" i="4" s="1"/>
  <c r="T8" i="4"/>
  <c r="V8" i="4" s="1"/>
  <c r="U4" i="4"/>
  <c r="W4" i="4" s="1"/>
  <c r="T4" i="4"/>
  <c r="V4" i="4" s="1"/>
  <c r="U8" i="4"/>
  <c r="W8" i="4" s="1"/>
  <c r="T7" i="4"/>
  <c r="V7" i="4" s="1"/>
  <c r="U10" i="4"/>
  <c r="W10" i="4" s="1"/>
  <c r="U6" i="4"/>
  <c r="W6" i="4" s="1"/>
  <c r="U3" i="4"/>
  <c r="W3" i="4" s="1"/>
  <c r="R15" i="4" s="1"/>
  <c r="AA15" i="4" s="1"/>
  <c r="T6" i="4"/>
  <c r="V6" i="4" s="1"/>
  <c r="T9" i="4"/>
  <c r="V9" i="4" s="1"/>
  <c r="Z9" i="4" s="1"/>
  <c r="U9" i="4"/>
  <c r="W9" i="4" s="1"/>
  <c r="AC9" i="4" s="1"/>
  <c r="T3" i="4"/>
  <c r="V3" i="4" s="1"/>
  <c r="Q19" i="4" s="1"/>
  <c r="Z5" i="4" l="1"/>
  <c r="AB5" i="4"/>
  <c r="X5" i="4" a="1"/>
  <c r="X5" i="4" s="1"/>
  <c r="R18" i="4"/>
  <c r="AA18" i="4" s="1"/>
  <c r="Y6" i="4" a="1"/>
  <c r="Y6" i="4" s="1"/>
  <c r="AB7" i="4"/>
  <c r="Z7" i="4"/>
  <c r="X7" i="4" a="1"/>
  <c r="X7" i="4" s="1"/>
  <c r="Y8" i="4" a="1"/>
  <c r="Y8" i="4" s="1"/>
  <c r="AC8" i="4"/>
  <c r="AA8" i="4"/>
  <c r="Q22" i="4"/>
  <c r="Z10" i="4"/>
  <c r="AB10" i="4"/>
  <c r="X10" i="4" a="1"/>
  <c r="X10" i="4" s="1"/>
  <c r="X4" i="4" a="1"/>
  <c r="X4" i="4" s="1"/>
  <c r="Z4" i="4"/>
  <c r="AB4" i="4"/>
  <c r="Q16" i="4"/>
  <c r="R16" i="4"/>
  <c r="AA16" i="4" s="1"/>
  <c r="Y4" i="4" a="1"/>
  <c r="Y4" i="4" s="1"/>
  <c r="AC4" i="4"/>
  <c r="AA4" i="4"/>
  <c r="AC10" i="4"/>
  <c r="AA10" i="4"/>
  <c r="Y10" i="4" a="1"/>
  <c r="Y10" i="4" s="1"/>
  <c r="R22" i="4"/>
  <c r="AA22" i="4" s="1"/>
  <c r="Q20" i="4"/>
  <c r="X6" i="4" a="1"/>
  <c r="X6" i="4" s="1"/>
  <c r="Q18" i="4"/>
  <c r="Z6" i="4"/>
  <c r="AB6" i="4"/>
  <c r="AA5" i="4"/>
  <c r="AC5" i="4"/>
  <c r="R17" i="4"/>
  <c r="AA17" i="4" s="1"/>
  <c r="Y5" i="4" a="1"/>
  <c r="Y5" i="4" s="1"/>
  <c r="Z19" i="4"/>
  <c r="X8" i="4" a="1"/>
  <c r="X8" i="4" s="1"/>
  <c r="AB8" i="4"/>
  <c r="Z8" i="4"/>
  <c r="Q17" i="4"/>
  <c r="AA3" i="4"/>
  <c r="AA7" i="4"/>
  <c r="Y9" i="4" a="1"/>
  <c r="Y9" i="4" s="1"/>
  <c r="R19" i="4"/>
  <c r="AA19" i="4" s="1"/>
  <c r="AA6" i="4"/>
  <c r="Q21" i="4"/>
  <c r="Z3" i="4"/>
  <c r="AA9" i="4"/>
  <c r="X3" i="4" a="1"/>
  <c r="X3" i="4" s="1"/>
  <c r="R20" i="4"/>
  <c r="AA20" i="4" s="1"/>
  <c r="AC6" i="4"/>
  <c r="AC3" i="4"/>
  <c r="R21" i="4"/>
  <c r="AA21" i="4" s="1"/>
  <c r="AB3" i="4"/>
  <c r="Y3" i="4" a="1"/>
  <c r="Y3" i="4" s="1"/>
  <c r="AB9" i="4"/>
  <c r="AJ9" i="4" s="1"/>
  <c r="AC7" i="4"/>
  <c r="Q15" i="4"/>
  <c r="X9" i="4" a="1"/>
  <c r="X9" i="4" s="1"/>
  <c r="AJ5" i="4" l="1"/>
  <c r="AK5" i="4"/>
  <c r="AI5" i="4"/>
  <c r="AI8" i="4"/>
  <c r="AK8" i="4"/>
  <c r="AJ8" i="4"/>
  <c r="AL5" i="4"/>
  <c r="AM5" i="4"/>
  <c r="AN5" i="4"/>
  <c r="AM10" i="4"/>
  <c r="AL10" i="4"/>
  <c r="AN10" i="4"/>
  <c r="AJ4" i="4"/>
  <c r="AK4" i="4"/>
  <c r="AI4" i="4"/>
  <c r="AK7" i="4"/>
  <c r="AJ7" i="4"/>
  <c r="AI7" i="4"/>
  <c r="X11" i="4"/>
  <c r="AN3" i="4"/>
  <c r="AL3" i="4"/>
  <c r="AM3" i="4"/>
  <c r="Z18" i="4"/>
  <c r="AL6" i="4"/>
  <c r="AN6" i="4"/>
  <c r="AM6" i="4"/>
  <c r="AJ10" i="4"/>
  <c r="AI10" i="4"/>
  <c r="AK10" i="4"/>
  <c r="AI9" i="4"/>
  <c r="Z15" i="4"/>
  <c r="AL7" i="4"/>
  <c r="AM7" i="4"/>
  <c r="AN7" i="4"/>
  <c r="AI6" i="4"/>
  <c r="AK6" i="4"/>
  <c r="AJ6" i="4"/>
  <c r="AN4" i="4"/>
  <c r="AL4" i="4"/>
  <c r="AM4" i="4"/>
  <c r="AM9" i="4"/>
  <c r="AN9" i="4"/>
  <c r="AL9" i="4"/>
  <c r="Z17" i="4"/>
  <c r="Z20" i="4"/>
  <c r="Z22" i="4"/>
  <c r="AK9" i="4"/>
  <c r="Y11" i="4"/>
  <c r="AJ3" i="4"/>
  <c r="AK3" i="4"/>
  <c r="AI3" i="4"/>
  <c r="Z21" i="4"/>
  <c r="Z16" i="4"/>
  <c r="AN8" i="4"/>
  <c r="AM8" i="4"/>
  <c r="AL8" i="4"/>
  <c r="AK11" i="4" l="1"/>
  <c r="D8" i="4" s="1"/>
  <c r="AI11" i="4"/>
  <c r="B8" i="4" s="1"/>
  <c r="AM11" i="4"/>
  <c r="F8" i="4" s="1"/>
  <c r="AL11" i="4"/>
  <c r="E8" i="4" s="1"/>
  <c r="AJ11" i="4"/>
  <c r="C8" i="4" s="1"/>
  <c r="AN11" i="4"/>
  <c r="G8" i="4" s="1"/>
  <c r="T15" i="4"/>
  <c r="U15" i="4" s="1"/>
  <c r="X15" i="4" s="1"/>
  <c r="T17" i="4"/>
  <c r="U17" i="4" s="1"/>
  <c r="T16" i="4"/>
  <c r="U16" i="4" s="1"/>
  <c r="V16" i="4" s="1" a="1"/>
  <c r="V16" i="4" s="1"/>
  <c r="T18" i="4"/>
  <c r="U18" i="4" s="1"/>
  <c r="T19" i="4"/>
  <c r="U19" i="4" s="1"/>
  <c r="V19" i="4" s="1" a="1"/>
  <c r="V19" i="4" s="1"/>
  <c r="T22" i="4"/>
  <c r="U22" i="4" s="1"/>
  <c r="T20" i="4"/>
  <c r="U20" i="4" s="1"/>
  <c r="V20" i="4" s="1" a="1"/>
  <c r="V20" i="4" s="1"/>
  <c r="T21" i="4"/>
  <c r="U21" i="4" s="1"/>
  <c r="X21" i="4" s="1"/>
  <c r="X18" i="4" l="1"/>
  <c r="V18" i="4" a="1"/>
  <c r="V18" i="4" s="1"/>
  <c r="X22" i="4"/>
  <c r="W22" i="4"/>
  <c r="W17" i="4"/>
  <c r="V17" i="4" a="1"/>
  <c r="V17" i="4" s="1"/>
  <c r="V22" i="4" a="1"/>
  <c r="V22" i="4" s="1"/>
  <c r="X20" i="4"/>
  <c r="W21" i="4"/>
  <c r="W20" i="4"/>
  <c r="W16" i="4"/>
  <c r="X17" i="4"/>
  <c r="W18" i="4"/>
  <c r="X19" i="4"/>
  <c r="W15" i="4"/>
  <c r="W19" i="4"/>
  <c r="V21" i="4" a="1"/>
  <c r="V21" i="4" s="1"/>
  <c r="V15" i="4" a="1"/>
  <c r="V15" i="4" s="1"/>
  <c r="X16" i="4"/>
  <c r="AG22" i="4" l="1"/>
  <c r="AE22" i="4"/>
  <c r="AH17" i="4"/>
  <c r="V23" i="4"/>
  <c r="AF22" i="4"/>
  <c r="AH22" i="4"/>
  <c r="AD22" i="4"/>
  <c r="AH18" i="4"/>
  <c r="AF18" i="4"/>
  <c r="AG18" i="4"/>
  <c r="AD18" i="4"/>
  <c r="AE18" i="4"/>
  <c r="AE16" i="4"/>
  <c r="AD16" i="4"/>
  <c r="AF16" i="4"/>
  <c r="AH16" i="4"/>
  <c r="AG16" i="4"/>
  <c r="AD17" i="4"/>
  <c r="AF17" i="4"/>
  <c r="AE17" i="4"/>
  <c r="AD20" i="4"/>
  <c r="AE20" i="4"/>
  <c r="AH20" i="4"/>
  <c r="AF20" i="4"/>
  <c r="AG20" i="4"/>
  <c r="AH19" i="4"/>
  <c r="AE19" i="4"/>
  <c r="AG19" i="4"/>
  <c r="AF19" i="4"/>
  <c r="AD19" i="4"/>
  <c r="AE21" i="4"/>
  <c r="AG21" i="4"/>
  <c r="AF21" i="4"/>
  <c r="AH21" i="4"/>
  <c r="AD21" i="4"/>
  <c r="AG17" i="4"/>
  <c r="AH15" i="4"/>
  <c r="AF15" i="4"/>
  <c r="AG15" i="4"/>
  <c r="AD15" i="4"/>
  <c r="AE15" i="4"/>
  <c r="AG23" i="4" l="1"/>
  <c r="K8" i="4" s="1"/>
  <c r="AF23" i="4"/>
  <c r="J8" i="4" s="1"/>
  <c r="AH23" i="4"/>
  <c r="AE23" i="4"/>
  <c r="I8" i="4" s="1"/>
  <c r="AD23" i="4"/>
  <c r="H8" i="4" s="1"/>
  <c r="L8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<sst xmlns="http://schemas.openxmlformats.org/spreadsheetml/2006/main" count="114" uniqueCount="63">
  <si>
    <t>Input B</t>
  </si>
  <si>
    <t>Input A</t>
  </si>
  <si>
    <t>Expected And</t>
  </si>
  <si>
    <t>bias</t>
  </si>
  <si>
    <t>weight 1.0</t>
  </si>
  <si>
    <t>weight 1.1</t>
  </si>
  <si>
    <t>Weighted Sum Z</t>
  </si>
  <si>
    <t>Output a</t>
  </si>
  <si>
    <t xml:space="preserve">Cost </t>
  </si>
  <si>
    <t>Total</t>
  </si>
  <si>
    <t>dC/da</t>
  </si>
  <si>
    <t>da/dz</t>
  </si>
  <si>
    <t>dz/db</t>
  </si>
  <si>
    <t>dz/dw1</t>
  </si>
  <si>
    <t>dC/db</t>
  </si>
  <si>
    <t>dz/dw2</t>
  </si>
  <si>
    <t>dC/w1</t>
  </si>
  <si>
    <t>dC/w2</t>
  </si>
  <si>
    <t>learning rate</t>
  </si>
  <si>
    <t>Expected Or</t>
  </si>
  <si>
    <t>AND - Sum Z</t>
  </si>
  <si>
    <t>OR - Sum Z</t>
  </si>
  <si>
    <t>weight o.1</t>
  </si>
  <si>
    <t>weight o.0</t>
  </si>
  <si>
    <t>bias-o</t>
  </si>
  <si>
    <t>AND - Output a</t>
  </si>
  <si>
    <t>OR - Output a</t>
  </si>
  <si>
    <t>AND - Cost</t>
  </si>
  <si>
    <t>OR - Cost</t>
  </si>
  <si>
    <t>AND - da/dz</t>
  </si>
  <si>
    <t>OR - da/dz</t>
  </si>
  <si>
    <t>AND - dC/da</t>
  </si>
  <si>
    <t>OR - dC/da</t>
  </si>
  <si>
    <t>OR - dz/dw2</t>
  </si>
  <si>
    <t>OR - dz/dw1</t>
  </si>
  <si>
    <t>AND - dz/dw1</t>
  </si>
  <si>
    <t>AND - dz/dw2</t>
  </si>
  <si>
    <t>AND - dC/db</t>
  </si>
  <si>
    <t>AND - dC/w1</t>
  </si>
  <si>
    <t>AND - dC/w2</t>
  </si>
  <si>
    <t>OR - dC/db</t>
  </si>
  <si>
    <t>OR - dC/w1</t>
  </si>
  <si>
    <t>OR - dC/w2</t>
  </si>
  <si>
    <t>Expected XOR</t>
  </si>
  <si>
    <t>XOR - Output a</t>
  </si>
  <si>
    <t>bias x</t>
  </si>
  <si>
    <t>weight 1.0 x</t>
  </si>
  <si>
    <t>weight 1.1x</t>
  </si>
  <si>
    <t>XOR - dz/dw1</t>
  </si>
  <si>
    <t>XOR - dz/dw2</t>
  </si>
  <si>
    <t>XOR - dC/db</t>
  </si>
  <si>
    <t>XOR - dC/w1</t>
  </si>
  <si>
    <t>XOR - dC/w2</t>
  </si>
  <si>
    <t>XOR - Cost</t>
  </si>
  <si>
    <t>XOR - dC/da</t>
  </si>
  <si>
    <t>XOR - da/dz</t>
  </si>
  <si>
    <t>XOR - Sum Z</t>
  </si>
  <si>
    <t>weight 1.2 x</t>
  </si>
  <si>
    <t>weight 1.2x</t>
  </si>
  <si>
    <t>XOR - dz/dw3</t>
  </si>
  <si>
    <t>XOR - dz/dw4</t>
  </si>
  <si>
    <t>XOR - dC/w12</t>
  </si>
  <si>
    <t>XOR - dC/w23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</si>
</sst>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1" applyNumberFormat="1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textRotation="90"/>
    </xf>
    <xf numFmtId="164" fontId="0" fillId="0" borderId="0" xfId="1" applyNumberFormat="1" applyFont="1" applyAlignment="1"/>
    <xf numFmtId="0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139">
    <dxf>
      <numFmt numFmtId="164" formatCode="0.000"/>
    </dxf>
    <dxf>
      <numFmt numFmtId="164" formatCode="0.000"/>
      <alignment horizontal="general" vertical="bottom" textRotation="0" wrapText="0" indent="0" justifyLastLine="0" shrinkToFit="0" readingOrder="0"/>
    </dxf>
    <dxf>
      <numFmt numFmtId="164" formatCode="0.000"/>
    </dxf>
    <dxf>
      <numFmt numFmtId="164" formatCode="0.000"/>
      <alignment horizontal="general" vertical="bottom" textRotation="0" wrapText="0" indent="0" justifyLastLine="0" shrinkToFit="0" readingOrder="0"/>
    </dxf>
    <dxf>
      <numFmt numFmtId="164" formatCode="0.000"/>
    </dxf>
    <dxf>
      <numFmt numFmtId="164" formatCode="0.000"/>
      <alignment horizontal="general" vertical="bottom" textRotation="0" wrapText="0" indent="0" justifyLastLine="0" shrinkToFit="0" readingOrder="0"/>
    </dxf>
    <dxf>
      <numFmt numFmtId="164" formatCode="0.000"/>
    </dxf>
    <dxf>
      <numFmt numFmtId="164" formatCode="0.000"/>
      <alignment horizontal="general" vertical="bottom" textRotation="0" wrapText="0" indent="0" justifyLastLine="0" shrinkToFit="0" readingOrder="0"/>
    </dxf>
    <dxf>
      <numFmt numFmtId="164" formatCode="0.000"/>
    </dxf>
    <dxf>
      <numFmt numFmtId="164" formatCode="0.000"/>
      <alignment horizontal="general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0.000"/>
    </dxf>
    <dxf>
      <numFmt numFmtId="164" formatCode="0.000"/>
      <alignment horizontal="general" vertical="bottom" textRotation="0" wrapText="0" indent="0" justifyLastLine="0" shrinkToFit="0" readingOrder="0"/>
    </dxf>
    <dxf>
      <numFmt numFmtId="164" formatCode="0.000"/>
    </dxf>
    <dxf>
      <numFmt numFmtId="164" formatCode="0.000"/>
      <alignment horizontal="general" vertical="bottom" textRotation="0" wrapText="0" indent="0" justifyLastLine="0" shrinkToFit="0" readingOrder="0"/>
    </dxf>
    <dxf>
      <numFmt numFmtId="164" formatCode="0.000"/>
    </dxf>
    <dxf>
      <numFmt numFmtId="164" formatCode="0.000"/>
      <alignment horizontal="general" vertical="bottom" textRotation="0" wrapText="0" indent="0" justifyLastLine="0" shrinkToFit="0" readingOrder="0"/>
    </dxf>
    <dxf>
      <numFmt numFmtId="164" formatCode="0.00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0.000"/>
      <alignment horizontal="general" vertical="bottom" textRotation="0" wrapText="0" indent="0" justifyLastLine="0" shrinkToFit="0" readingOrder="0"/>
    </dxf>
    <dxf>
      <numFmt numFmtId="164" formatCode="0.0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alignment horizontal="general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alignment horizontal="general" vertical="bottom" textRotation="90" wrapText="0" indent="0" justifyLastLine="0" shrinkToFit="0" readingOrder="0"/>
    </dxf>
    <dxf>
      <numFmt numFmtId="0" formatCode="General"/>
    </dxf>
    <dxf>
      <numFmt numFmtId="164" formatCode="0.000"/>
    </dxf>
    <dxf>
      <numFmt numFmtId="0" formatCode="General"/>
    </dxf>
    <dxf>
      <numFmt numFmtId="164" formatCode="0.000"/>
    </dxf>
    <dxf>
      <numFmt numFmtId="0" formatCode="General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"/>
    </dxf>
    <dxf>
      <numFmt numFmtId="0" formatCode="General"/>
    </dxf>
    <dxf>
      <numFmt numFmtId="164" formatCode="0.000"/>
    </dxf>
    <dxf>
      <numFmt numFmtId="0" formatCode="General"/>
    </dxf>
    <dxf>
      <numFmt numFmtId="164" formatCode="0.000"/>
    </dxf>
    <dxf>
      <numFmt numFmtId="0" formatCode="General"/>
    </dxf>
    <dxf>
      <numFmt numFmtId="164" formatCode="0.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189EC-96E0-4314-B216-2BC58BA170FF}" name="Table1" displayName="Table1" ref="H2:U7" totalsRowCount="1">
  <autoFilter ref="H2:U6" xr:uid="{928189EC-96E0-4314-B216-2BC58BA170FF}"/>
  <tableColumns count="14">
    <tableColumn id="1" xr3:uid="{9B3E97C3-56CA-4BAD-AC36-727A63002E3B}" name="Input A" totalsRowLabel="Total"/>
    <tableColumn id="2" xr3:uid="{B6C0DB8E-E21F-4771-B876-DCDBB34C2073}" name="Input B"/>
    <tableColumn id="3" xr3:uid="{ED256BF6-FE69-43A3-BA24-3CFA81800AA8}" name="Expected And"/>
    <tableColumn id="4" xr3:uid="{E77538CA-3EE8-4A07-BAC9-9C39C35928E3}" name="Weighted Sum Z" dataDxfId="138">
      <calculatedColumnFormula>bias+weight_1.0*Table1[[#This Row],[Input A]]+weight_1.1*Table1[[#This Row],[Input B]]</calculatedColumnFormula>
    </tableColumn>
    <tableColumn id="5" xr3:uid="{145B9DCC-0E15-47FB-9FA7-6786D76379D9}" name="Output a" dataDxfId="137" totalsRowDxfId="136" dataCellStyle="Percent">
      <calculatedColumnFormula array="1">Sigmoid(Table1[[#This Row],[Weighted Sum Z]])</calculatedColumnFormula>
    </tableColumn>
    <tableColumn id="6" xr3:uid="{CE46E3B7-2B0A-4621-B7BB-AD7E7FCE65DE}" name="Cost " totalsRowFunction="sum" dataDxfId="135" totalsRowDxfId="134" dataCellStyle="Percent">
      <calculatedColumnFormula array="1">CostFunction(Table1[[#This Row],[Expected And]],Table1[[#This Row],[Output a]])</calculatedColumnFormula>
    </tableColumn>
    <tableColumn id="7" xr3:uid="{81637D14-49EF-4D59-8F66-71CEE575B34B}" name="dC/da" dataDxfId="133" totalsRowDxfId="132" dataCellStyle="Percent">
      <calculatedColumnFormula>2*(Table1[[#This Row],[Output a]]-Table1[[#This Row],[Expected And]])</calculatedColumnFormula>
    </tableColumn>
    <tableColumn id="8" xr3:uid="{8586B2C7-E637-4FC0-9B72-BCF0484964D8}" name="da/dz" dataDxfId="131" totalsRowDxfId="130" dataCellStyle="Percent">
      <calculatedColumnFormula array="1">AntiActivation(Table1[[#This Row],[Weighted Sum Z]])</calculatedColumnFormula>
    </tableColumn>
    <tableColumn id="9" xr3:uid="{87B49927-C887-4A9E-A1C9-E637D35864F6}" name="dz/db" dataDxfId="129" totalsRowDxfId="128" dataCellStyle="Percent">
      <calculatedColumnFormula>1</calculatedColumnFormula>
    </tableColumn>
    <tableColumn id="10" xr3:uid="{4D42B7A2-A886-463C-A583-E250D57FC438}" name="dz/dw1" dataDxfId="127" totalsRowDxfId="126" dataCellStyle="Percent">
      <calculatedColumnFormula>Table1[[#This Row],[Input A]]</calculatedColumnFormula>
    </tableColumn>
    <tableColumn id="12" xr3:uid="{D20E71D8-9C9E-43B0-B8AB-FCDB6C17251A}" name="dz/dw2" dataDxfId="125" totalsRowDxfId="124" dataCellStyle="Percent">
      <calculatedColumnFormula>Table1[[#This Row],[Input B]]</calculatedColumnFormula>
    </tableColumn>
    <tableColumn id="11" xr3:uid="{B1E13722-73FF-4BB3-9172-3FAAFB5DCCB3}" name="dC/db" totalsRowFunction="average" dataDxfId="123" totalsRowDxfId="122" dataCellStyle="Percent">
      <calculatedColumnFormula>Table1[[#This Row],[dC/da]]*Table1[[#This Row],[da/dz]]*Table1[[#This Row],[dz/db]]</calculatedColumnFormula>
    </tableColumn>
    <tableColumn id="13" xr3:uid="{FAF36E73-8FB6-4748-B34B-FB812DE29646}" name="dC/w1" totalsRowFunction="average" dataDxfId="121" totalsRowDxfId="120" dataCellStyle="Percent">
      <calculatedColumnFormula>Table1[[#This Row],[dC/da]]*Table1[[#This Row],[da/dz]]*Table1[[#This Row],[dz/dw1]]</calculatedColumnFormula>
    </tableColumn>
    <tableColumn id="14" xr3:uid="{5DF94E04-87B2-42ED-899E-1B38E756DA81}" name="dC/w2" totalsRowFunction="average" dataDxfId="119" totalsRowDxfId="118" dataCellStyle="Percent">
      <calculatedColumnFormula>Table1[[#This Row],[dC/da]]*Table1[[#This Row],[da/dz]]*Table1[[#This Row],[dz/dw2]]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6A7620-FAA0-4429-B702-C7C632D28CE4}" name="Table15" displayName="Table15" ref="J2:AH7" totalsRowCount="1" headerRowDxfId="117">
  <autoFilter ref="J2:AH6" xr:uid="{928189EC-96E0-4314-B216-2BC58BA170F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CDE274F4-718A-4AC1-94E6-C9377E9D4454}" name="Input A" totalsRowLabel="Total"/>
    <tableColumn id="2" xr3:uid="{1E195D88-CAE2-42B9-959A-0D7AE377C13E}" name="Input B"/>
    <tableColumn id="3" xr3:uid="{AC8FEAF3-256A-4044-9053-D59FFBF321D7}" name="Expected And"/>
    <tableColumn id="15" xr3:uid="{F08844AE-C961-4E69-8890-6FE4A5531346}" name="Expected Or"/>
    <tableColumn id="4" xr3:uid="{5686C403-CC08-4210-A8D6-A040E08EA5B0}" name="AND - Sum Z" dataDxfId="116">
      <calculatedColumnFormula>bias+weight_1.0*Table15[[#This Row],[Input A]]+weight_1.1*Table15[[#This Row],[Input B]]</calculatedColumnFormula>
    </tableColumn>
    <tableColumn id="16" xr3:uid="{7891831A-1EA4-460E-9CA2-0BCB0CB2400B}" name="OR - Sum Z" dataDxfId="115">
      <calculatedColumnFormula>bias_o+weight_o.0*Table15[[#This Row],[Input A]]+weight_o.1*Table15[[#This Row],[Input B]]</calculatedColumnFormula>
    </tableColumn>
    <tableColumn id="5" xr3:uid="{CE459CA6-1558-46DB-B7B3-858226F7B654}" name="AND - Output a" dataDxfId="114" totalsRowDxfId="113" dataCellStyle="Percent">
      <calculatedColumnFormula>TANH(Table15[[#This Row],[AND - Sum Z]])</calculatedColumnFormula>
    </tableColumn>
    <tableColumn id="17" xr3:uid="{8EC3DDD1-0263-4C27-AFB6-24E9F373CAFB}" name="OR - Output a" dataDxfId="112" totalsRowDxfId="111" dataCellStyle="Percent">
      <calculatedColumnFormula>TANH(Table15[[#This Row],[OR - Sum Z]])</calculatedColumnFormula>
    </tableColumn>
    <tableColumn id="6" xr3:uid="{E797B9F2-D565-443C-B052-FAE98156498B}" name="AND - Cost" totalsRowFunction="sum" dataDxfId="110" totalsRowDxfId="109" dataCellStyle="Percent">
      <calculatedColumnFormula array="1">CostFunction(Table15[[#This Row],[Expected And]],Table15[[#This Row],[AND - Output a]])</calculatedColumnFormula>
    </tableColumn>
    <tableColumn id="19" xr3:uid="{D41E5327-BFA5-42ED-B54A-C769AF8AE81E}" name="OR - Cost" totalsRowFunction="average" dataDxfId="108" totalsRowDxfId="107" dataCellStyle="Percent">
      <calculatedColumnFormula array="1">CostFunction(Table15[[#This Row],[Expected Or]],Table15[[#This Row],[OR - Output a]])</calculatedColumnFormula>
    </tableColumn>
    <tableColumn id="7" xr3:uid="{3F015CB4-E71C-487D-9D95-8A4FD4814E4D}" name="AND - dC/da" dataDxfId="106" totalsRowDxfId="105" dataCellStyle="Percent">
      <calculatedColumnFormula>2*(Table15[[#This Row],[AND - Output a]]-Table15[[#This Row],[Expected And]])</calculatedColumnFormula>
    </tableColumn>
    <tableColumn id="21" xr3:uid="{E065E657-CFEC-4DCE-B127-BC368C9E4EB0}" name="OR - dC/da" dataDxfId="104" totalsRowDxfId="103" dataCellStyle="Percent">
      <calculatedColumnFormula>2*(Table15[[#This Row],[OR - Output a]]-Table15[[#This Row],[Expected Or]])</calculatedColumnFormula>
    </tableColumn>
    <tableColumn id="8" xr3:uid="{10A080BE-9242-4F3E-9ECD-3F8B54415951}" name="AND - da/dz" dataDxfId="102" totalsRowDxfId="101" dataCellStyle="Percent">
      <calculatedColumnFormula>_xlfn.SECH(Table15[[#This Row],[AND - Sum Z]])</calculatedColumnFormula>
    </tableColumn>
    <tableColumn id="20" xr3:uid="{186E4FEE-8209-4D37-AE8F-07390A2CC985}" name="OR - da/dz" dataDxfId="100" totalsRowDxfId="99" dataCellStyle="Percent">
      <calculatedColumnFormula>_xlfn.SECH(Table15[[#This Row],[OR - Sum Z]])</calculatedColumnFormula>
    </tableColumn>
    <tableColumn id="9" xr3:uid="{2BD7520D-E140-4318-B2A4-10EABBE02D39}" name="dz/db" dataDxfId="98" totalsRowDxfId="97" dataCellStyle="Percent">
      <calculatedColumnFormula>1</calculatedColumnFormula>
    </tableColumn>
    <tableColumn id="10" xr3:uid="{72231861-2225-4324-9E64-AD63F51E9147}" name="AND - dz/dw1" dataDxfId="96" totalsRowDxfId="95" dataCellStyle="Percent">
      <calculatedColumnFormula>Table15[[#This Row],[Input A]]</calculatedColumnFormula>
    </tableColumn>
    <tableColumn id="12" xr3:uid="{86C71E56-45CB-4692-A745-752C76C308E9}" name="AND - dz/dw2" dataDxfId="94" totalsRowDxfId="93" dataCellStyle="Percent">
      <calculatedColumnFormula>Table15[[#This Row],[Input B]]</calculatedColumnFormula>
    </tableColumn>
    <tableColumn id="23" xr3:uid="{643E69E0-A5D6-4406-AA27-F7456DC2D1F2}" name="OR - dz/dw1" dataDxfId="92" totalsRowDxfId="91" dataCellStyle="Percent">
      <calculatedColumnFormula>Table15[[#This Row],[Input A]]</calculatedColumnFormula>
    </tableColumn>
    <tableColumn id="22" xr3:uid="{944F68F2-7EEB-47B5-9E58-4D16F4D8280B}" name="OR - dz/dw2" dataDxfId="90" totalsRowDxfId="89" dataCellStyle="Percent">
      <calculatedColumnFormula>Table15[[#This Row],[Input B]]</calculatedColumnFormula>
    </tableColumn>
    <tableColumn id="11" xr3:uid="{62AC9D42-025A-4E67-A730-28B78FFC12DF}" name="AND - dC/db" totalsRowFunction="average" dataDxfId="88" totalsRowDxfId="87" dataCellStyle="Percent">
      <calculatedColumnFormula>Table15[[#This Row],[AND - dC/da]]*Table15[[#This Row],[AND - da/dz]]*Table15[[#This Row],[dz/db]]</calculatedColumnFormula>
    </tableColumn>
    <tableColumn id="13" xr3:uid="{7A48DE29-50D1-4B11-A25E-B9C1B6D05734}" name="AND - dC/w1" totalsRowFunction="average" dataDxfId="86" totalsRowDxfId="85" dataCellStyle="Percent">
      <calculatedColumnFormula>Table15[[#This Row],[AND - dC/da]]*Table15[[#This Row],[AND - da/dz]]*Table15[[#This Row],[AND - dz/dw1]]</calculatedColumnFormula>
    </tableColumn>
    <tableColumn id="14" xr3:uid="{77636745-397E-499A-ADAA-3E677C438F0C}" name="AND - dC/w2" totalsRowFunction="average" dataDxfId="84" totalsRowDxfId="83" dataCellStyle="Percent">
      <calculatedColumnFormula>Table15[[#This Row],[AND - dC/da]]*Table15[[#This Row],[AND - da/dz]]*Table15[[#This Row],[AND - dz/dw2]]</calculatedColumnFormula>
    </tableColumn>
    <tableColumn id="24" xr3:uid="{19AE8828-1047-4A60-BF68-42511435376D}" name="OR - dC/db" totalsRowFunction="average" dataDxfId="82" totalsRowDxfId="81" dataCellStyle="Percent">
      <calculatedColumnFormula>Table15[[#This Row],[OR - dC/da]]*Table15[[#This Row],[OR - da/dz]]*Table15[[#This Row],[dz/db]]</calculatedColumnFormula>
    </tableColumn>
    <tableColumn id="25" xr3:uid="{46586F8A-5545-466E-B4F2-F4AD7B3427D7}" name="OR - dC/w1" totalsRowFunction="average" dataDxfId="80" totalsRowDxfId="79" dataCellStyle="Percent">
      <calculatedColumnFormula>Table15[[#This Row],[OR - dC/da]]*Table15[[#This Row],[OR - da/dz]]*Table15[[#This Row],[OR - dz/dw1]]</calculatedColumnFormula>
    </tableColumn>
    <tableColumn id="26" xr3:uid="{D6B973A1-97C6-455E-9C3F-373BE8B8C8A3}" name="OR - dC/w2" totalsRowFunction="average" dataDxfId="78" totalsRowDxfId="77" dataCellStyle="Percent">
      <calculatedColumnFormula>Table15[[#This Row],[OR - dC/da]]*Table15[[#This Row],[OR - da/dz]]*Table15[[#This Row],[OR - dz/dw2]]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0CDDCE-2DE9-473C-ADE3-24CB1239EA0E}" name="Table156" displayName="Table156" ref="O2:AN11" totalsRowCount="1" headerRowDxfId="76">
  <autoFilter ref="O2:AN10" xr:uid="{928189EC-96E0-4314-B216-2BC58BA170F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DCEBE438-22B7-4DF2-B05C-38010E292615}" name="Input A" totalsRowLabel="Total"/>
    <tableColumn id="2" xr3:uid="{7882A525-AE37-4AE1-94A5-872C5AEB8DCB}" name="Input B"/>
    <tableColumn id="3" xr3:uid="{D15B705E-8A0A-4360-9AB7-7F676E4F6944}" name="Expected And">
      <calculatedColumnFormula>IF(AND(Table156[[#This Row],[Input A]]&gt;0,Table156[[#This Row],[Input B]]&gt;0),1,-1)</calculatedColumnFormula>
    </tableColumn>
    <tableColumn id="15" xr3:uid="{F8BB8B78-9437-4491-B851-75D2609B049B}" name="Expected Or">
      <calculatedColumnFormula>IF(OR(Table156[[#This Row],[Input A]]&gt;0,Table156[[#This Row],[Input B]]&gt;0),1,-1)</calculatedColumnFormula>
    </tableColumn>
    <tableColumn id="27" xr3:uid="{EF4A706E-C9B6-4181-B8E5-90410D8BC9AE}" name="Expected XOR">
      <calculatedColumnFormula>IF(_xlfn.XOR(Table156[[#This Row],[Input A]]&gt;0,Table156[[#This Row],[Input B]]&gt;0),1,-1)</calculatedColumnFormula>
    </tableColumn>
    <tableColumn id="4" xr3:uid="{D2C61953-7428-4A2B-BE88-136F8EEA2498}" name="AND - Sum Z" dataDxfId="75">
      <calculatedColumnFormula>bias+weight_1.0*Table156[[#This Row],[Input A]]+weight_1.1*Table156[[#This Row],[Input B]]</calculatedColumnFormula>
    </tableColumn>
    <tableColumn id="16" xr3:uid="{C5617471-D434-4226-9DE1-DD34291A9F66}" name="OR - Sum Z" dataDxfId="74">
      <calculatedColumnFormula>bias_o+weight_o.0*Table156[[#This Row],[Input A]]+weight_o.1*Table156[[#This Row],[Input B]]</calculatedColumnFormula>
    </tableColumn>
    <tableColumn id="5" xr3:uid="{8B038F66-3DE5-4589-9C6B-A8585F052590}" name="AND - Output a" dataDxfId="73" totalsRowDxfId="72" dataCellStyle="Percent">
      <calculatedColumnFormula>TANH(Table156[[#This Row],[AND - Sum Z]])</calculatedColumnFormula>
    </tableColumn>
    <tableColumn id="17" xr3:uid="{E54202BC-6C3B-4973-A89B-8C8DCE91AA10}" name="OR - Output a" dataDxfId="71" totalsRowDxfId="70" dataCellStyle="Percent">
      <calculatedColumnFormula>TANH(Table156[[#This Row],[OR - Sum Z]])</calculatedColumnFormula>
    </tableColumn>
    <tableColumn id="6" xr3:uid="{BD6896D7-1163-4ABF-AF93-5D4ADCC129C0}" name="AND - Cost" totalsRowFunction="sum" dataDxfId="69" totalsRowDxfId="68" dataCellStyle="Percent">
      <calculatedColumnFormula array="1">CostFunction(Table156[[#This Row],[Expected And]],Table156[[#This Row],[AND - Output a]])</calculatedColumnFormula>
    </tableColumn>
    <tableColumn id="19" xr3:uid="{3F5225CA-17A2-42C8-861B-A7A92F2E91B9}" name="OR - Cost" totalsRowFunction="average" dataDxfId="67" totalsRowDxfId="66" dataCellStyle="Percent">
      <calculatedColumnFormula array="1">CostFunction(Table156[[#This Row],[Expected Or]],Table156[[#This Row],[OR - Output a]])</calculatedColumnFormula>
    </tableColumn>
    <tableColumn id="7" xr3:uid="{27B57238-9E46-4B52-A139-B5433BCA3431}" name="AND - dC/da" dataDxfId="65" totalsRowDxfId="64" dataCellStyle="Percent">
      <calculatedColumnFormula>2*(Table156[[#This Row],[AND - Output a]]-Table156[[#This Row],[Expected And]])</calculatedColumnFormula>
    </tableColumn>
    <tableColumn id="21" xr3:uid="{70E3AEF1-87B9-4B0E-8EA3-A435452FFCD8}" name="OR - dC/da" dataDxfId="63" totalsRowDxfId="62" dataCellStyle="Percent">
      <calculatedColumnFormula>2*(Table156[[#This Row],[OR - Output a]]-Table156[[#This Row],[Expected Or]])</calculatedColumnFormula>
    </tableColumn>
    <tableColumn id="8" xr3:uid="{FFEFC1AE-A41E-46BE-BA7C-2A39CA073B4E}" name="AND - da/dz" dataDxfId="61" totalsRowDxfId="60" dataCellStyle="Percent">
      <calculatedColumnFormula>_xlfn.SECH(Table156[[#This Row],[AND - Output a]])</calculatedColumnFormula>
    </tableColumn>
    <tableColumn id="20" xr3:uid="{F65F65C6-9B58-4843-B711-680131690397}" name="OR - da/dz" dataDxfId="59" totalsRowDxfId="58" dataCellStyle="Percent">
      <calculatedColumnFormula>_xlfn.SECH(Table156[[#This Row],[OR - Output a]])</calculatedColumnFormula>
    </tableColumn>
    <tableColumn id="9" xr3:uid="{985306C0-FF15-4F2A-8215-D8E7EA5417A6}" name="dz/db" dataDxfId="57" totalsRowDxfId="56" dataCellStyle="Percent">
      <calculatedColumnFormula>1</calculatedColumnFormula>
    </tableColumn>
    <tableColumn id="10" xr3:uid="{A6DF0F73-716B-4520-9E7E-2756AA2C3ACF}" name="AND - dz/dw1" dataDxfId="55" totalsRowDxfId="54" dataCellStyle="Percent">
      <calculatedColumnFormula>Table156[[#This Row],[Input A]]</calculatedColumnFormula>
    </tableColumn>
    <tableColumn id="12" xr3:uid="{FAC60E39-191B-4AE2-94EA-7642509CD92F}" name="AND - dz/dw2" dataDxfId="53" totalsRowDxfId="52" dataCellStyle="Percent">
      <calculatedColumnFormula>Table156[[#This Row],[Input B]]</calculatedColumnFormula>
    </tableColumn>
    <tableColumn id="23" xr3:uid="{26C5F56B-AC6C-4EAD-9F63-40D620DD37BD}" name="OR - dz/dw1" dataDxfId="51" totalsRowDxfId="50" dataCellStyle="Percent">
      <calculatedColumnFormula>Table156[[#This Row],[Input A]]</calculatedColumnFormula>
    </tableColumn>
    <tableColumn id="22" xr3:uid="{C13707AC-A44D-41D0-931F-72462883E6B2}" name="OR - dz/dw2" dataDxfId="49" totalsRowDxfId="48" dataCellStyle="Percent">
      <calculatedColumnFormula>Table156[[#This Row],[Input B]]</calculatedColumnFormula>
    </tableColumn>
    <tableColumn id="11" xr3:uid="{363A9A17-0284-40D1-B51B-9ACB694630A1}" name="AND - dC/db" totalsRowFunction="average" dataDxfId="47" totalsRowDxfId="46" dataCellStyle="Percent">
      <calculatedColumnFormula>Table156[[#This Row],[AND - dC/da]]*Table156[[#This Row],[AND - da/dz]]*Table156[[#This Row],[dz/db]]</calculatedColumnFormula>
    </tableColumn>
    <tableColumn id="13" xr3:uid="{30EF3676-49D9-4FCF-8C16-81FD4264FB99}" name="AND - dC/w1" totalsRowFunction="average" dataDxfId="45" totalsRowDxfId="44" dataCellStyle="Percent">
      <calculatedColumnFormula>Table156[[#This Row],[AND - dC/da]]*Table156[[#This Row],[AND - da/dz]]*Table156[[#This Row],[AND - dz/dw1]]</calculatedColumnFormula>
    </tableColumn>
    <tableColumn id="14" xr3:uid="{C39B0225-A301-4E36-8C49-83C46D62E221}" name="AND - dC/w2" totalsRowFunction="average" dataDxfId="43" totalsRowDxfId="42" dataCellStyle="Percent">
      <calculatedColumnFormula>Table156[[#This Row],[AND - dC/da]]*Table156[[#This Row],[AND - da/dz]]*Table156[[#This Row],[AND - dz/dw2]]</calculatedColumnFormula>
    </tableColumn>
    <tableColumn id="24" xr3:uid="{CD34A1D9-3CE0-43DF-B857-655DE5AC97F7}" name="OR - dC/db" totalsRowFunction="average" dataDxfId="41" totalsRowDxfId="40" dataCellStyle="Percent">
      <calculatedColumnFormula>Table156[[#This Row],[OR - dC/da]]*Table156[[#This Row],[OR - da/dz]]*Table156[[#This Row],[dz/db]]</calculatedColumnFormula>
    </tableColumn>
    <tableColumn id="25" xr3:uid="{99B36C51-748F-4FA8-BCE4-CD20EB08EC6A}" name="OR - dC/w1" totalsRowFunction="average" dataDxfId="39" totalsRowDxfId="38" dataCellStyle="Percent">
      <calculatedColumnFormula>Table156[[#This Row],[OR - dC/da]]*Table156[[#This Row],[OR - da/dz]]*Table156[[#This Row],[OR - dz/dw1]]</calculatedColumnFormula>
    </tableColumn>
    <tableColumn id="26" xr3:uid="{B38FF30D-26C5-47A4-8AAF-907D46E8AABA}" name="OR - dC/w2" totalsRowFunction="average" dataDxfId="37" totalsRowDxfId="36" dataCellStyle="Percent">
      <calculatedColumnFormula>Table156[[#This Row],[OR - dC/da]]*Table156[[#This Row],[OR - da/dz]]*Table156[[#This Row],[OR - dz/dw2]]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DF16FE-A322-4CB7-B361-223BC41206D3}" name="Table1568" displayName="Table1568" ref="O14:AH23" totalsRowCount="1" headerRowDxfId="35" dataDxfId="34">
  <autoFilter ref="O14:AH22" xr:uid="{FBDF16FE-A322-4CB7-B361-223BC41206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28" xr3:uid="{B6B88DA7-3477-4DD5-B766-DCBD3AB6F2C0}" name="Input A" dataDxfId="33" dataCellStyle="Percent">
      <calculatedColumnFormula>O3</calculatedColumnFormula>
    </tableColumn>
    <tableColumn id="29" xr3:uid="{3F8441F3-40F1-4A84-8B23-4F06DE34AFE7}" name="Input B" dataDxfId="32" dataCellStyle="Percent">
      <calculatedColumnFormula>P3</calculatedColumnFormula>
    </tableColumn>
    <tableColumn id="1" xr3:uid="{4B362D75-96A5-41C8-AB4D-9914CF3405EB}" name="AND - Output a" totalsRowLabel="Total" dataDxfId="31">
      <calculatedColumnFormula>V3</calculatedColumnFormula>
    </tableColumn>
    <tableColumn id="2" xr3:uid="{B1E8DCFB-C058-4827-8F46-565EC0F747C2}" name="OR - Output a" dataDxfId="30">
      <calculatedColumnFormula>W3</calculatedColumnFormula>
    </tableColumn>
    <tableColumn id="3" xr3:uid="{0C3272F3-B3D2-45DE-8681-D62E6A04C855}" name="Expected XOR" dataDxfId="29">
      <calculatedColumnFormula>S3</calculatedColumnFormula>
    </tableColumn>
    <tableColumn id="4" xr3:uid="{32B58CAB-AD95-47F0-A4B2-EE6181FBEA66}" name="XOR - Sum Z" dataDxfId="28">
      <calculatedColumnFormula>bias_x+weight_1.0_x*Table1568[[#This Row],[AND - Output a]]+weight_1.1x*Table1568[[#This Row],[OR - Output a]]+Table1568[[#This Row],[Input A]]*weight_1.2_x+Table1568[[#This Row],[Input B]]*weight_1.2x</calculatedColumnFormula>
    </tableColumn>
    <tableColumn id="5" xr3:uid="{AFAEACC6-2124-4B3B-B2C6-EE09E90A6235}" name="XOR - Output a" dataDxfId="27" totalsRowDxfId="26" dataCellStyle="Percent">
      <calculatedColumnFormula>TANH(Table1568[[#This Row],[XOR - Sum Z]])</calculatedColumnFormula>
    </tableColumn>
    <tableColumn id="6" xr3:uid="{03C50F61-466D-4FB3-AE0D-704D8DAC98A5}" name="XOR - Cost" totalsRowFunction="sum" dataDxfId="25" totalsRowDxfId="24" dataCellStyle="Percent">
      <calculatedColumnFormula array="1">CostFunction(Table1568[[#This Row],[Expected XOR]],Table1568[[#This Row],[XOR - Output a]])</calculatedColumnFormula>
    </tableColumn>
    <tableColumn id="7" xr3:uid="{3054CF2E-97D7-4D0F-B57D-1BABD520129B}" name="XOR - dC/da" dataDxfId="23" totalsRowDxfId="22" dataCellStyle="Percent">
      <calculatedColumnFormula>2*(Table1568[[#This Row],[XOR - Output a]]-Table1568[[#This Row],[Expected XOR]])</calculatedColumnFormula>
    </tableColumn>
    <tableColumn id="8" xr3:uid="{7E6CAE15-507F-475F-A47C-FB31FAABA71D}" name="XOR - da/dz" dataDxfId="21" totalsRowDxfId="20" dataCellStyle="Percent">
      <calculatedColumnFormula>_xlfn.SECH(Table1568[[#This Row],[XOR - Output a]])</calculatedColumnFormula>
    </tableColumn>
    <tableColumn id="9" xr3:uid="{05C45B7E-B604-4A56-B919-85E1FDF6EB1A}" name="dz/db" dataDxfId="19" totalsRowDxfId="18" dataCellStyle="Percent">
      <calculatedColumnFormula>1</calculatedColumnFormula>
    </tableColumn>
    <tableColumn id="10" xr3:uid="{8A580495-1FDB-49E7-A258-B7E07E9205B5}" name="XOR - dz/dw1" dataDxfId="17" totalsRowDxfId="16" dataCellStyle="Percent">
      <calculatedColumnFormula>Table1568[[#This Row],[AND - Output a]]</calculatedColumnFormula>
    </tableColumn>
    <tableColumn id="12" xr3:uid="{181AC000-7441-4ED6-9237-575ABF6430CB}" name="XOR - dz/dw2" dataDxfId="15" totalsRowDxfId="14" dataCellStyle="Percent">
      <calculatedColumnFormula>Table1568[[#This Row],[OR - Output a]]</calculatedColumnFormula>
    </tableColumn>
    <tableColumn id="33" xr3:uid="{C532A7AC-EFB0-459D-80A3-7EE078099F92}" name="XOR - dz/dw3" dataDxfId="13" totalsRowDxfId="12" dataCellStyle="Percent">
      <calculatedColumnFormula>Table1568[[#This Row],[Input A]]</calculatedColumnFormula>
    </tableColumn>
    <tableColumn id="34" xr3:uid="{F5755F54-5A97-4CE1-A131-63D525D3F015}" name="XOR - dz/dw4" dataDxfId="11" totalsRowDxfId="10" dataCellStyle="Percent">
      <calculatedColumnFormula>Table1568[[#This Row],[Input A]]</calculatedColumnFormula>
    </tableColumn>
    <tableColumn id="11" xr3:uid="{C2A51482-4F68-422E-85DF-3D850A06F38D}" name="XOR - dC/db" totalsRowFunction="average" dataDxfId="9" totalsRowDxfId="8" dataCellStyle="Percent">
      <calculatedColumnFormula>Table1568[[#This Row],[XOR - dC/da]]*Table1568[[#This Row],[XOR - da/dz]]*Table1568[[#This Row],[dz/db]]</calculatedColumnFormula>
    </tableColumn>
    <tableColumn id="13" xr3:uid="{0D1A8C49-B235-4400-A473-3A59D4D1D219}" name="XOR - dC/w1" totalsRowFunction="average" dataDxfId="7" totalsRowDxfId="6" dataCellStyle="Percent">
      <calculatedColumnFormula>Table1568[[#This Row],[XOR - dC/da]]*Table1568[[#This Row],[XOR - da/dz]]*Table1568[[#This Row],[XOR - dz/dw1]]</calculatedColumnFormula>
    </tableColumn>
    <tableColumn id="14" xr3:uid="{3503F7AA-3E33-4C9C-895E-0B7EBAF30A77}" name="XOR - dC/w2" totalsRowFunction="average" dataDxfId="5" totalsRowDxfId="4" dataCellStyle="Percent">
      <calculatedColumnFormula>Table1568[[#This Row],[XOR - dC/da]]*Table1568[[#This Row],[XOR - da/dz]]*Table1568[[#This Row],[XOR - dz/dw2]]</calculatedColumnFormula>
    </tableColumn>
    <tableColumn id="35" xr3:uid="{D1E35776-5118-4BBB-A31A-B06BFE52CA68}" name="XOR - dC/w12" totalsRowFunction="average" dataDxfId="3" totalsRowDxfId="2" dataCellStyle="Percent">
      <calculatedColumnFormula>Table1568[[#This Row],[XOR - dC/da]]*Table1568[[#This Row],[XOR - da/dz]]*Table1568[[#This Row],[XOR - dz/dw3]]</calculatedColumnFormula>
    </tableColumn>
    <tableColumn id="36" xr3:uid="{F3B95A07-C7F6-40F7-83C3-3D8567F54EB1}" name="XOR - dC/w23" totalsRowFunction="average" dataDxfId="1" totalsRowDxfId="0" dataCellStyle="Percent">
      <calculatedColumnFormula>Table1568[[#This Row],[XOR - dC/da]]*Table1568[[#This Row],[XOR - da/dz]]*Table1568[[#This Row],[XOR - dz/dw4]]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D51F-01A8-4496-975E-3C3FB5778391}">
  <dimension ref="B2:U8"/>
  <sheetViews>
    <sheetView workbookViewId="0">
      <selection activeCell="G16" sqref="G16"/>
    </sheetView>
  </sheetViews>
  <sheetFormatPr defaultRowHeight="15" x14ac:dyDescent="0.25"/>
  <cols>
    <col min="1" max="1" width="3" bestFit="1" customWidth="1"/>
    <col min="2" max="2" width="12" bestFit="1" customWidth="1"/>
    <col min="3" max="4" width="12.7109375" bestFit="1" customWidth="1"/>
    <col min="5" max="5" width="12" bestFit="1" customWidth="1"/>
    <col min="6" max="6" width="12.28515625" bestFit="1" customWidth="1"/>
    <col min="8" max="8" width="9.7109375" bestFit="1" customWidth="1"/>
    <col min="9" max="9" width="9.5703125" bestFit="1" customWidth="1"/>
    <col min="10" max="10" width="15.5703125" bestFit="1" customWidth="1"/>
    <col min="11" max="11" width="18" bestFit="1" customWidth="1"/>
    <col min="12" max="12" width="11" bestFit="1" customWidth="1"/>
    <col min="13" max="13" width="7.5703125" bestFit="1" customWidth="1"/>
    <col min="14" max="14" width="8.5703125" bestFit="1" customWidth="1"/>
    <col min="15" max="15" width="8.28515625" bestFit="1" customWidth="1"/>
    <col min="16" max="16" width="8.42578125" bestFit="1" customWidth="1"/>
    <col min="17" max="17" width="9.85546875" bestFit="1" customWidth="1"/>
    <col min="18" max="18" width="9.85546875" customWidth="1"/>
    <col min="19" max="19" width="8.7109375" bestFit="1" customWidth="1"/>
    <col min="20" max="21" width="9" bestFit="1" customWidth="1"/>
  </cols>
  <sheetData>
    <row r="2" spans="2:21" x14ac:dyDescent="0.25">
      <c r="C2" t="s">
        <v>3</v>
      </c>
      <c r="D2" t="s">
        <v>4</v>
      </c>
      <c r="E2" t="s">
        <v>5</v>
      </c>
      <c r="F2" t="s">
        <v>18</v>
      </c>
      <c r="H2" t="s">
        <v>1</v>
      </c>
      <c r="I2" t="s">
        <v>0</v>
      </c>
      <c r="J2" t="s">
        <v>2</v>
      </c>
      <c r="K2" t="s">
        <v>6</v>
      </c>
      <c r="L2" t="s">
        <v>7</v>
      </c>
      <c r="M2" t="s">
        <v>8</v>
      </c>
      <c r="N2" t="s">
        <v>10</v>
      </c>
      <c r="O2" t="s">
        <v>11</v>
      </c>
      <c r="P2" t="s">
        <v>12</v>
      </c>
      <c r="Q2" t="s">
        <v>13</v>
      </c>
      <c r="R2" t="s">
        <v>15</v>
      </c>
      <c r="S2" t="s">
        <v>14</v>
      </c>
      <c r="T2" t="s">
        <v>16</v>
      </c>
      <c r="U2" t="s">
        <v>17</v>
      </c>
    </row>
    <row r="3" spans="2:21" x14ac:dyDescent="0.25">
      <c r="B3">
        <f>Table1[[#Totals],[Cost ]]</f>
        <v>8.6863513238880242E-3</v>
      </c>
      <c r="C3">
        <v>-8.625878375208389</v>
      </c>
      <c r="D3">
        <v>5.6845527526339046</v>
      </c>
      <c r="E3">
        <v>5.6845527603647392</v>
      </c>
      <c r="F3">
        <v>100</v>
      </c>
      <c r="H3">
        <v>0</v>
      </c>
      <c r="I3">
        <v>0</v>
      </c>
      <c r="J3">
        <v>0</v>
      </c>
      <c r="K3">
        <f>bias+weight_1.0*Table1[[#This Row],[Input A]]+weight_1.1*Table1[[#This Row],[Input B]]</f>
        <v>-8.625878375208389</v>
      </c>
      <c r="L3" s="2" cm="1">
        <f t="array" ref="L3">Sigmoid(Table1[[#This Row],[Weighted Sum Z]])</f>
        <v>1.7937037393881062E-4</v>
      </c>
      <c r="M3" s="2" cm="1">
        <f t="array" ref="M3">CostFunction(Table1[[#This Row],[Expected And]],Table1[[#This Row],[Output a]])</f>
        <v>3.2173731046948751E-8</v>
      </c>
      <c r="N3" s="2">
        <f>2*(Table1[[#This Row],[Output a]]-Table1[[#This Row],[Expected And]])</f>
        <v>3.5874074787762124E-4</v>
      </c>
      <c r="O3" s="2" cm="1">
        <f t="array" ref="O3">AntiActivation(Table1[[#This Row],[Weighted Sum Z]])</f>
        <v>1.7933820020776369E-4</v>
      </c>
      <c r="P3" s="1">
        <f>1</f>
        <v>1</v>
      </c>
      <c r="Q3" s="1">
        <f>Table1[[#This Row],[Input A]]</f>
        <v>0</v>
      </c>
      <c r="R3" s="1">
        <f>Table1[[#This Row],[Input B]]</f>
        <v>0</v>
      </c>
      <c r="S3" s="2">
        <f>Table1[[#This Row],[dC/da]]*Table1[[#This Row],[da/dz]]*Table1[[#This Row],[dz/db]]</f>
        <v>6.4335920065559717E-8</v>
      </c>
      <c r="T3" s="2">
        <f>Table1[[#This Row],[dC/da]]*Table1[[#This Row],[da/dz]]*Table1[[#This Row],[dz/dw1]]</f>
        <v>0</v>
      </c>
      <c r="U3" s="2">
        <f>Table1[[#This Row],[dC/da]]*Table1[[#This Row],[da/dz]]*Table1[[#This Row],[dz/dw2]]</f>
        <v>0</v>
      </c>
    </row>
    <row r="4" spans="2:21" x14ac:dyDescent="0.25">
      <c r="H4">
        <v>0</v>
      </c>
      <c r="I4">
        <v>1</v>
      </c>
      <c r="J4">
        <v>0</v>
      </c>
      <c r="K4">
        <f>bias+weight_1.0*Table1[[#This Row],[Input A]]+weight_1.1*Table1[[#This Row],[Input B]]</f>
        <v>-2.9413256148436497</v>
      </c>
      <c r="L4" s="2" cm="1">
        <f t="array" ref="L4">Sigmoid(Table1[[#This Row],[Weighted Sum Z]])</f>
        <v>5.0148092164898878E-2</v>
      </c>
      <c r="M4" s="2" cm="1">
        <f t="array" ref="M4">CostFunction(Table1[[#This Row],[Expected And]],Table1[[#This Row],[Output a]])</f>
        <v>2.514831147779192E-3</v>
      </c>
      <c r="N4" s="2">
        <f>2*(Table1[[#This Row],[Output a]]-Table1[[#This Row],[Expected And]])</f>
        <v>0.10029618432979776</v>
      </c>
      <c r="O4" s="2" cm="1">
        <f t="array" ref="O4">AntiActivation(Table1[[#This Row],[Weighted Sum Z]])</f>
        <v>4.7633261017119691E-2</v>
      </c>
      <c r="P4" s="1">
        <f>1</f>
        <v>1</v>
      </c>
      <c r="Q4" s="1">
        <f>Table1[[#This Row],[Input A]]</f>
        <v>0</v>
      </c>
      <c r="R4" s="1">
        <f>Table1[[#This Row],[Input B]]</f>
        <v>1</v>
      </c>
      <c r="S4" s="2">
        <f>Table1[[#This Row],[dC/da]]*Table1[[#This Row],[da/dz]]*Table1[[#This Row],[dz/db]]</f>
        <v>4.7774343272024063E-3</v>
      </c>
      <c r="T4" s="2">
        <f>Table1[[#This Row],[dC/da]]*Table1[[#This Row],[da/dz]]*Table1[[#This Row],[dz/dw1]]</f>
        <v>0</v>
      </c>
      <c r="U4" s="2">
        <f>Table1[[#This Row],[dC/da]]*Table1[[#This Row],[da/dz]]*Table1[[#This Row],[dz/dw2]]</f>
        <v>4.7774343272024063E-3</v>
      </c>
    </row>
    <row r="5" spans="2:21" x14ac:dyDescent="0.25">
      <c r="H5">
        <v>1</v>
      </c>
      <c r="I5">
        <v>0</v>
      </c>
      <c r="J5">
        <v>0</v>
      </c>
      <c r="K5">
        <f>bias+weight_1.0*Table1[[#This Row],[Input A]]+weight_1.1*Table1[[#This Row],[Input B]]</f>
        <v>-2.9413256225744844</v>
      </c>
      <c r="L5" s="2" cm="1">
        <f t="array" ref="L5">Sigmoid(Table1[[#This Row],[Weighted Sum Z]])</f>
        <v>5.0148091796654012E-2</v>
      </c>
      <c r="M5" s="2" cm="1">
        <f t="array" ref="M5">CostFunction(Table1[[#This Row],[Expected And]],Table1[[#This Row],[Output a]])</f>
        <v>2.5148311108456373E-3</v>
      </c>
      <c r="N5" s="2">
        <f>2*(Table1[[#This Row],[Output a]]-Table1[[#This Row],[Expected And]])</f>
        <v>0.10029618359330802</v>
      </c>
      <c r="O5" s="2" cm="1">
        <f t="array" ref="O5">AntiActivation(Table1[[#This Row],[Weighted Sum Z]])</f>
        <v>4.7633260685808365E-2</v>
      </c>
      <c r="P5" s="1">
        <f>1</f>
        <v>1</v>
      </c>
      <c r="Q5" s="1">
        <f>Table1[[#This Row],[Input A]]</f>
        <v>1</v>
      </c>
      <c r="R5" s="1">
        <f>Table1[[#This Row],[Input B]]</f>
        <v>0</v>
      </c>
      <c r="S5" s="2">
        <f>Table1[[#This Row],[dC/da]]*Table1[[#This Row],[da/dz]]*Table1[[#This Row],[dz/db]]</f>
        <v>4.7774342588917367E-3</v>
      </c>
      <c r="T5" s="2">
        <f>Table1[[#This Row],[dC/da]]*Table1[[#This Row],[da/dz]]*Table1[[#This Row],[dz/dw1]]</f>
        <v>4.7774342588917367E-3</v>
      </c>
      <c r="U5" s="2">
        <f>Table1[[#This Row],[dC/da]]*Table1[[#This Row],[da/dz]]*Table1[[#This Row],[dz/dw2]]</f>
        <v>0</v>
      </c>
    </row>
    <row r="6" spans="2:21" x14ac:dyDescent="0.25">
      <c r="H6">
        <v>1</v>
      </c>
      <c r="I6">
        <v>1</v>
      </c>
      <c r="J6">
        <v>1</v>
      </c>
      <c r="K6">
        <f>bias+weight_1.0*Table1[[#This Row],[Input A]]+weight_1.1*Table1[[#This Row],[Input B]]</f>
        <v>2.7432271377902548</v>
      </c>
      <c r="L6" s="2" cm="1">
        <f t="array" ref="L6">Sigmoid(Table1[[#This Row],[Weighted Sum Z]])</f>
        <v>0.93952970240248401</v>
      </c>
      <c r="M6" s="2" cm="1">
        <f t="array" ref="M6">CostFunction(Table1[[#This Row],[Expected And]],Table1[[#This Row],[Output a]])</f>
        <v>3.6566568915321479E-3</v>
      </c>
      <c r="N6" s="2">
        <f>2*(Table1[[#This Row],[Output a]]-Table1[[#This Row],[Expected And]])</f>
        <v>-0.12094059519503197</v>
      </c>
      <c r="O6" s="2" cm="1">
        <f t="array" ref="O6">AntiActivation(Table1[[#This Row],[Weighted Sum Z]])</f>
        <v>5.6813640705983812E-2</v>
      </c>
      <c r="P6" s="1">
        <f>1</f>
        <v>1</v>
      </c>
      <c r="Q6" s="1">
        <f>Table1[[#This Row],[Input A]]</f>
        <v>1</v>
      </c>
      <c r="R6" s="1">
        <f>Table1[[#This Row],[Input B]]</f>
        <v>1</v>
      </c>
      <c r="S6" s="2">
        <f>Table1[[#This Row],[dC/da]]*Table1[[#This Row],[da/dz]]*Table1[[#This Row],[dz/db]]</f>
        <v>-6.8710755221783786E-3</v>
      </c>
      <c r="T6" s="2">
        <f>Table1[[#This Row],[dC/da]]*Table1[[#This Row],[da/dz]]*Table1[[#This Row],[dz/dw1]]</f>
        <v>-6.8710755221783786E-3</v>
      </c>
      <c r="U6" s="2">
        <f>Table1[[#This Row],[dC/da]]*Table1[[#This Row],[da/dz]]*Table1[[#This Row],[dz/dw2]]</f>
        <v>-6.8710755221783786E-3</v>
      </c>
    </row>
    <row r="7" spans="2:21" x14ac:dyDescent="0.25">
      <c r="H7" t="s">
        <v>9</v>
      </c>
      <c r="L7" s="3"/>
      <c r="M7" s="3">
        <f>SUBTOTAL(109,Table1[[Cost ]])</f>
        <v>8.6863513238880242E-3</v>
      </c>
      <c r="N7" s="3"/>
      <c r="O7" s="3"/>
      <c r="S7" s="3">
        <f>SUBTOTAL(101,Table1[dC/db])</f>
        <v>6.7096434995895745E-4</v>
      </c>
      <c r="T7" s="3">
        <f>SUBTOTAL(101,Table1[dC/w1])</f>
        <v>-5.2341031582166047E-4</v>
      </c>
      <c r="U7" s="3">
        <f>SUBTOTAL(101,Table1[dC/w2])</f>
        <v>-5.2341029874399306E-4</v>
      </c>
    </row>
    <row r="8" spans="2:21" x14ac:dyDescent="0.25">
      <c r="B8">
        <f>Table1[[#Totals],[Cost ]]</f>
        <v>8.6863513238880242E-3</v>
      </c>
      <c r="C8">
        <f>bias-learning_rate*Table1[[#Totals],[dC/db]]</f>
        <v>-8.6929748102042854</v>
      </c>
      <c r="D8">
        <f>weight_1.0-learning_rate*Table1[[#Totals],[dC/w1]]</f>
        <v>5.736893784216071</v>
      </c>
      <c r="E8">
        <f>weight_1.1-learning_rate*Table1[[#Totals],[dC/w2]]</f>
        <v>5.7368937902391384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D07E-90BC-488A-B253-7F7C72CD53B4}">
  <dimension ref="B2:AH8"/>
  <sheetViews>
    <sheetView workbookViewId="0">
      <selection activeCell="N1" sqref="N1:N1048576"/>
    </sheetView>
  </sheetViews>
  <sheetFormatPr defaultRowHeight="15" x14ac:dyDescent="0.25"/>
  <cols>
    <col min="1" max="1" width="3" bestFit="1" customWidth="1"/>
    <col min="2" max="2" width="12.7109375" bestFit="1" customWidth="1"/>
    <col min="3" max="3" width="12" bestFit="1" customWidth="1"/>
    <col min="4" max="4" width="12.7109375" bestFit="1" customWidth="1"/>
    <col min="5" max="7" width="12" customWidth="1"/>
    <col min="8" max="8" width="4" bestFit="1" customWidth="1"/>
    <col min="10" max="10" width="5.42578125" bestFit="1" customWidth="1"/>
    <col min="11" max="13" width="3.7109375" bestFit="1" customWidth="1"/>
    <col min="14" max="15" width="12.7109375" bestFit="1" customWidth="1"/>
    <col min="16" max="16" width="6.28515625" bestFit="1" customWidth="1"/>
    <col min="17" max="17" width="6.28515625" customWidth="1"/>
    <col min="18" max="18" width="5.5703125" bestFit="1" customWidth="1"/>
    <col min="19" max="19" width="5.5703125" customWidth="1"/>
    <col min="20" max="20" width="6.28515625" bestFit="1" customWidth="1"/>
    <col min="21" max="21" width="6.28515625" customWidth="1"/>
    <col min="22" max="22" width="8.5703125" bestFit="1" customWidth="1"/>
    <col min="23" max="23" width="8.5703125" customWidth="1"/>
    <col min="24" max="26" width="3.7109375" bestFit="1" customWidth="1"/>
    <col min="27" max="28" width="3.7109375" customWidth="1"/>
    <col min="29" max="29" width="7.5703125" bestFit="1" customWidth="1"/>
    <col min="30" max="30" width="8.28515625" bestFit="1" customWidth="1"/>
    <col min="31" max="31" width="7.5703125" bestFit="1" customWidth="1"/>
  </cols>
  <sheetData>
    <row r="2" spans="2:34" s="4" customFormat="1" ht="75.75" x14ac:dyDescent="0.25">
      <c r="B2" s="4" t="s">
        <v>3</v>
      </c>
      <c r="C2" s="4" t="s">
        <v>4</v>
      </c>
      <c r="D2" s="4" t="s">
        <v>5</v>
      </c>
      <c r="E2" s="4" t="s">
        <v>24</v>
      </c>
      <c r="F2" s="4" t="s">
        <v>23</v>
      </c>
      <c r="G2" s="4" t="s">
        <v>22</v>
      </c>
      <c r="H2" s="4" t="s">
        <v>18</v>
      </c>
      <c r="J2" s="4" t="s">
        <v>1</v>
      </c>
      <c r="K2" s="4" t="s">
        <v>0</v>
      </c>
      <c r="L2" s="4" t="s">
        <v>2</v>
      </c>
      <c r="M2" s="4" t="s">
        <v>19</v>
      </c>
      <c r="N2" s="4" t="s">
        <v>20</v>
      </c>
      <c r="O2" s="4" t="s">
        <v>21</v>
      </c>
      <c r="P2" s="4" t="s">
        <v>25</v>
      </c>
      <c r="Q2" s="4" t="s">
        <v>26</v>
      </c>
      <c r="R2" s="4" t="s">
        <v>27</v>
      </c>
      <c r="S2" s="4" t="s">
        <v>28</v>
      </c>
      <c r="T2" s="4" t="s">
        <v>31</v>
      </c>
      <c r="U2" s="4" t="s">
        <v>32</v>
      </c>
      <c r="V2" s="4" t="s">
        <v>29</v>
      </c>
      <c r="W2" s="4" t="s">
        <v>30</v>
      </c>
      <c r="X2" s="4" t="s">
        <v>12</v>
      </c>
      <c r="Y2" s="4" t="s">
        <v>35</v>
      </c>
      <c r="Z2" s="4" t="s">
        <v>36</v>
      </c>
      <c r="AA2" s="4" t="s">
        <v>34</v>
      </c>
      <c r="AB2" s="4" t="s">
        <v>33</v>
      </c>
      <c r="AC2" s="4" t="s">
        <v>37</v>
      </c>
      <c r="AD2" s="4" t="s">
        <v>38</v>
      </c>
      <c r="AE2" s="4" t="s">
        <v>39</v>
      </c>
      <c r="AF2" s="4" t="s">
        <v>40</v>
      </c>
      <c r="AG2" s="4" t="s">
        <v>41</v>
      </c>
      <c r="AH2" s="4" t="s">
        <v>42</v>
      </c>
    </row>
    <row r="3" spans="2:34" x14ac:dyDescent="0.25">
      <c r="B3">
        <v>-1.3035298384914118</v>
      </c>
      <c r="C3">
        <v>1.3035400434487572</v>
      </c>
      <c r="D3">
        <v>1.3035409644929969</v>
      </c>
      <c r="E3">
        <v>1.3172535376354275</v>
      </c>
      <c r="F3">
        <v>1.3172335735635201</v>
      </c>
      <c r="G3">
        <v>1.3172417470967219</v>
      </c>
      <c r="H3">
        <v>0.5</v>
      </c>
      <c r="J3">
        <v>-1</v>
      </c>
      <c r="K3">
        <v>-1</v>
      </c>
      <c r="L3">
        <v>-1</v>
      </c>
      <c r="M3">
        <v>-1</v>
      </c>
      <c r="N3">
        <f>bias+weight_1.0*Table15[[#This Row],[Input A]]+weight_1.1*Table15[[#This Row],[Input B]]</f>
        <v>-3.9106108464331659</v>
      </c>
      <c r="O3">
        <f>bias_o+weight_o.0*Table15[[#This Row],[Input A]]+weight_o.1*Table15[[#This Row],[Input B]]</f>
        <v>-1.3172217830248145</v>
      </c>
      <c r="P3" s="2">
        <f>TANH(Table15[[#This Row],[AND - Sum Z]])</f>
        <v>-0.99919805903553394</v>
      </c>
      <c r="Q3" s="2">
        <f>TANH(Table15[[#This Row],[OR - Sum Z]])</f>
        <v>-0.86609136023474331</v>
      </c>
      <c r="R3" s="2" cm="1">
        <f t="array" ref="R3">CostFunction(Table15[[#This Row],[Expected And]],Table15[[#This Row],[AND - Output a]])</f>
        <v>6.4310931048876017E-7</v>
      </c>
      <c r="S3" s="2" cm="1">
        <f t="array" ref="S3">CostFunction(Table15[[#This Row],[Expected Or]],Table15[[#This Row],[OR - Output a]])</f>
        <v>1.7931523803781286E-2</v>
      </c>
      <c r="T3" s="2">
        <f>2*(Table15[[#This Row],[AND - Output a]]-Table15[[#This Row],[Expected And]])</f>
        <v>1.6038819289321271E-3</v>
      </c>
      <c r="U3" s="2">
        <f>2*(Table15[[#This Row],[OR - Output a]]-Table15[[#This Row],[Expected Or]])</f>
        <v>0.26781727953051337</v>
      </c>
      <c r="V3" s="2">
        <f>_xlfn.SECH(Table15[[#This Row],[AND - Sum Z]])</f>
        <v>4.0040464777788463E-2</v>
      </c>
      <c r="W3" s="2">
        <f>_xlfn.SECH(Table15[[#This Row],[OR - Sum Z]])</f>
        <v>0.4998857426719952</v>
      </c>
      <c r="X3" s="1">
        <f>1</f>
        <v>1</v>
      </c>
      <c r="Y3" s="1">
        <f>Table15[[#This Row],[Input A]]</f>
        <v>-1</v>
      </c>
      <c r="Z3" s="1">
        <f>Table15[[#This Row],[Input B]]</f>
        <v>-1</v>
      </c>
      <c r="AA3" s="1">
        <f>Table15[[#This Row],[Input A]]</f>
        <v>-1</v>
      </c>
      <c r="AB3" s="1">
        <f>Table15[[#This Row],[Input B]]</f>
        <v>-1</v>
      </c>
      <c r="AC3" s="2">
        <f>Table15[[#This Row],[AND - dC/da]]*Table15[[#This Row],[AND - da/dz]]*Table15[[#This Row],[dz/db]]</f>
        <v>6.4220177883138251E-5</v>
      </c>
      <c r="AD3" s="2">
        <f>Table15[[#This Row],[AND - dC/da]]*Table15[[#This Row],[AND - da/dz]]*Table15[[#This Row],[AND - dz/dw1]]</f>
        <v>-6.4220177883138251E-5</v>
      </c>
      <c r="AE3" s="2">
        <f>Table15[[#This Row],[AND - dC/da]]*Table15[[#This Row],[AND - da/dz]]*Table15[[#This Row],[AND - dz/dw2]]</f>
        <v>-6.4220177883138251E-5</v>
      </c>
      <c r="AF3" s="2">
        <f>Table15[[#This Row],[OR - dC/da]]*Table15[[#This Row],[OR - da/dz]]*Table15[[#This Row],[dz/db]]</f>
        <v>0.13387803967850401</v>
      </c>
      <c r="AG3" s="2">
        <f>Table15[[#This Row],[OR - dC/da]]*Table15[[#This Row],[OR - da/dz]]*Table15[[#This Row],[OR - dz/dw1]]</f>
        <v>-0.13387803967850401</v>
      </c>
      <c r="AH3" s="2">
        <f>Table15[[#This Row],[OR - dC/da]]*Table15[[#This Row],[OR - da/dz]]*Table15[[#This Row],[OR - dz/dw2]]</f>
        <v>-0.13387803967850401</v>
      </c>
    </row>
    <row r="4" spans="2:34" x14ac:dyDescent="0.25">
      <c r="J4">
        <v>-1</v>
      </c>
      <c r="K4">
        <v>1</v>
      </c>
      <c r="L4">
        <v>-1</v>
      </c>
      <c r="M4">
        <v>1</v>
      </c>
      <c r="N4">
        <f>bias+weight_1.0*Table15[[#This Row],[Input A]]+weight_1.1*Table15[[#This Row],[Input B]]</f>
        <v>-1.303528917447172</v>
      </c>
      <c r="O4">
        <f>bias_o+weight_o.0*Table15[[#This Row],[Input A]]+weight_o.1*Table15[[#This Row],[Input B]]</f>
        <v>1.3172617111686293</v>
      </c>
      <c r="P4" s="2">
        <f>TANH(Table15[[#This Row],[AND - Sum Z]])</f>
        <v>-0.86262886185693521</v>
      </c>
      <c r="Q4" s="2">
        <f>TANH(Table15[[#This Row],[OR - Sum Z]])</f>
        <v>0.86610133736410644</v>
      </c>
      <c r="R4" s="2" cm="1">
        <f t="array" ref="R4">CostFunction(Table15[[#This Row],[Expected And]],Table15[[#This Row],[AND - Output a]])</f>
        <v>1.887082959472099E-2</v>
      </c>
      <c r="S4" s="2" cm="1">
        <f t="array" ref="S4">CostFunction(Table15[[#This Row],[Expected Or]],Table15[[#This Row],[OR - Output a]])</f>
        <v>1.7928851855680838E-2</v>
      </c>
      <c r="T4" s="2">
        <f>2*(Table15[[#This Row],[AND - Output a]]-Table15[[#This Row],[Expected And]])</f>
        <v>0.27474227628612957</v>
      </c>
      <c r="U4" s="2">
        <f>2*(Table15[[#This Row],[OR - Output a]]-Table15[[#This Row],[Expected Or]])</f>
        <v>-0.26779732527178712</v>
      </c>
      <c r="V4" s="2">
        <f>_xlfn.SECH(Table15[[#This Row],[AND - Sum Z]])</f>
        <v>0.50583737178208621</v>
      </c>
      <c r="W4" s="2">
        <f>_xlfn.SECH(Table15[[#This Row],[OR - Sum Z]])</f>
        <v>0.49986845611231162</v>
      </c>
      <c r="X4" s="1">
        <f>1</f>
        <v>1</v>
      </c>
      <c r="Y4" s="1">
        <f>Table15[[#This Row],[Input A]]</f>
        <v>-1</v>
      </c>
      <c r="Z4" s="1">
        <f>Table15[[#This Row],[Input B]]</f>
        <v>1</v>
      </c>
      <c r="AA4" s="1">
        <f>Table15[[#This Row],[Input A]]</f>
        <v>-1</v>
      </c>
      <c r="AB4" s="1">
        <f>Table15[[#This Row],[Input B]]</f>
        <v>1</v>
      </c>
      <c r="AC4" s="2">
        <f>Table15[[#This Row],[AND - dC/da]]*Table15[[#This Row],[AND - da/dz]]*Table15[[#This Row],[dz/db]]</f>
        <v>0.13897491095400358</v>
      </c>
      <c r="AD4" s="2">
        <f>Table15[[#This Row],[AND - dC/da]]*Table15[[#This Row],[AND - da/dz]]*Table15[[#This Row],[AND - dz/dw1]]</f>
        <v>-0.13897491095400358</v>
      </c>
      <c r="AE4" s="2">
        <f>Table15[[#This Row],[AND - dC/da]]*Table15[[#This Row],[AND - da/dz]]*Table15[[#This Row],[AND - dz/dw2]]</f>
        <v>0.13897491095400358</v>
      </c>
      <c r="AF4" s="2">
        <f>Table15[[#This Row],[OR - dC/da]]*Table15[[#This Row],[OR - da/dz]]*Table15[[#This Row],[dz/db]]</f>
        <v>-0.13386343553461477</v>
      </c>
      <c r="AG4" s="2">
        <f>Table15[[#This Row],[OR - dC/da]]*Table15[[#This Row],[OR - da/dz]]*Table15[[#This Row],[OR - dz/dw1]]</f>
        <v>0.13386343553461477</v>
      </c>
      <c r="AH4" s="2">
        <f>Table15[[#This Row],[OR - dC/da]]*Table15[[#This Row],[OR - da/dz]]*Table15[[#This Row],[OR - dz/dw2]]</f>
        <v>-0.13386343553461477</v>
      </c>
    </row>
    <row r="5" spans="2:34" x14ac:dyDescent="0.25">
      <c r="J5">
        <v>1</v>
      </c>
      <c r="K5">
        <v>-1</v>
      </c>
      <c r="L5">
        <v>-1</v>
      </c>
      <c r="M5">
        <v>1</v>
      </c>
      <c r="N5">
        <f>bias+weight_1.0*Table15[[#This Row],[Input A]]+weight_1.1*Table15[[#This Row],[Input B]]</f>
        <v>-1.3035307595356516</v>
      </c>
      <c r="O5">
        <f>bias_o+weight_o.0*Table15[[#This Row],[Input A]]+weight_o.1*Table15[[#This Row],[Input B]]</f>
        <v>1.3172453641022259</v>
      </c>
      <c r="P5" s="2">
        <f>TANH(Table15[[#This Row],[AND - Sum Z]])</f>
        <v>-0.86262933319403057</v>
      </c>
      <c r="Q5" s="2">
        <f>TANH(Table15[[#This Row],[OR - Sum Z]])</f>
        <v>0.86609725268974824</v>
      </c>
      <c r="R5" s="2" cm="1">
        <f t="array" ref="R5">CostFunction(Table15[[#This Row],[Expected And]],Table15[[#This Row],[AND - Output a]])</f>
        <v>1.8870700098716671E-2</v>
      </c>
      <c r="S5" s="2" cm="1">
        <f t="array" ref="S5">CostFunction(Table15[[#This Row],[Expected Or]],Table15[[#This Row],[OR - Output a]])</f>
        <v>1.7929945737233135E-2</v>
      </c>
      <c r="T5" s="2">
        <f>2*(Table15[[#This Row],[AND - Output a]]-Table15[[#This Row],[Expected And]])</f>
        <v>0.27474133361193886</v>
      </c>
      <c r="U5" s="2">
        <f>2*(Table15[[#This Row],[OR - Output a]]-Table15[[#This Row],[Expected Or]])</f>
        <v>-0.26780549462050351</v>
      </c>
      <c r="V5" s="2">
        <f>_xlfn.SECH(Table15[[#This Row],[AND - Sum Z]])</f>
        <v>0.50583656798735144</v>
      </c>
      <c r="W5" s="2">
        <f>_xlfn.SECH(Table15[[#This Row],[OR - Sum Z]])</f>
        <v>0.49987553339133384</v>
      </c>
      <c r="X5" s="1">
        <f>1</f>
        <v>1</v>
      </c>
      <c r="Y5" s="1">
        <f>Table15[[#This Row],[Input A]]</f>
        <v>1</v>
      </c>
      <c r="Z5" s="1">
        <f>Table15[[#This Row],[Input B]]</f>
        <v>-1</v>
      </c>
      <c r="AA5" s="1">
        <f>Table15[[#This Row],[Input A]]</f>
        <v>1</v>
      </c>
      <c r="AB5" s="1">
        <f>Table15[[#This Row],[Input B]]</f>
        <v>-1</v>
      </c>
      <c r="AC5" s="2">
        <f>Table15[[#This Row],[AND - dC/da]]*Table15[[#This Row],[AND - da/dz]]*Table15[[#This Row],[dz/db]]</f>
        <v>0.13897421327853113</v>
      </c>
      <c r="AD5" s="2">
        <f>Table15[[#This Row],[AND - dC/da]]*Table15[[#This Row],[AND - da/dz]]*Table15[[#This Row],[AND - dz/dw1]]</f>
        <v>0.13897421327853113</v>
      </c>
      <c r="AE5" s="2">
        <f>Table15[[#This Row],[AND - dC/da]]*Table15[[#This Row],[AND - da/dz]]*Table15[[#This Row],[AND - dz/dw2]]</f>
        <v>-0.13897421327853113</v>
      </c>
      <c r="AF5" s="2">
        <f>Table15[[#This Row],[OR - dC/da]]*Table15[[#This Row],[OR - da/dz]]*Table15[[#This Row],[dz/db]]</f>
        <v>-0.13386941446855419</v>
      </c>
      <c r="AG5" s="2">
        <f>Table15[[#This Row],[OR - dC/da]]*Table15[[#This Row],[OR - da/dz]]*Table15[[#This Row],[OR - dz/dw1]]</f>
        <v>-0.13386941446855419</v>
      </c>
      <c r="AH5" s="2">
        <f>Table15[[#This Row],[OR - dC/da]]*Table15[[#This Row],[OR - da/dz]]*Table15[[#This Row],[OR - dz/dw2]]</f>
        <v>0.13386941446855419</v>
      </c>
    </row>
    <row r="6" spans="2:34" x14ac:dyDescent="0.25">
      <c r="J6">
        <v>1</v>
      </c>
      <c r="K6">
        <v>1</v>
      </c>
      <c r="L6">
        <v>1</v>
      </c>
      <c r="M6">
        <v>1</v>
      </c>
      <c r="N6">
        <f>bias+weight_1.0*Table15[[#This Row],[Input A]]+weight_1.1*Table15[[#This Row],[Input B]]</f>
        <v>1.3035511694503423</v>
      </c>
      <c r="O6">
        <f>bias_o+weight_o.0*Table15[[#This Row],[Input A]]+weight_o.1*Table15[[#This Row],[Input B]]</f>
        <v>3.9517288582956698</v>
      </c>
      <c r="P6" s="2">
        <f>TANH(Table15[[#This Row],[AND - Sum Z]])</f>
        <v>0.86263455539988843</v>
      </c>
      <c r="Q6" s="2">
        <f>TANH(Table15[[#This Row],[OR - Sum Z]])</f>
        <v>0.99926134525004273</v>
      </c>
      <c r="R6" s="2" cm="1">
        <f t="array" ref="R6">CostFunction(Table15[[#This Row],[Expected And]],Table15[[#This Row],[AND - Output a]])</f>
        <v>1.8869265370186322E-2</v>
      </c>
      <c r="S6" s="2" cm="1">
        <f t="array" ref="S6">CostFunction(Table15[[#This Row],[Expected Or]],Table15[[#This Row],[OR - Output a]])</f>
        <v>5.456108396344344E-7</v>
      </c>
      <c r="T6" s="2">
        <f>2*(Table15[[#This Row],[AND - Output a]]-Table15[[#This Row],[Expected And]])</f>
        <v>-0.27473088920022315</v>
      </c>
      <c r="U6" s="2">
        <f>2*(Table15[[#This Row],[OR - Output a]]-Table15[[#This Row],[Expected Or]])</f>
        <v>-1.4773094999145364E-3</v>
      </c>
      <c r="V6" s="2">
        <f>_xlfn.SECH(Table15[[#This Row],[AND - Sum Z]])</f>
        <v>0.50582766218351161</v>
      </c>
      <c r="W6" s="2">
        <f>_xlfn.SECH(Table15[[#This Row],[OR - Sum Z]])</f>
        <v>3.8428685757843986E-2</v>
      </c>
      <c r="X6" s="1">
        <f>1</f>
        <v>1</v>
      </c>
      <c r="Y6" s="1">
        <f>Table15[[#This Row],[Input A]]</f>
        <v>1</v>
      </c>
      <c r="Z6" s="1">
        <f>Table15[[#This Row],[Input B]]</f>
        <v>1</v>
      </c>
      <c r="AA6" s="1">
        <f>Table15[[#This Row],[Input A]]</f>
        <v>1</v>
      </c>
      <c r="AB6" s="1">
        <f>Table15[[#This Row],[Input B]]</f>
        <v>1</v>
      </c>
      <c r="AC6" s="2">
        <f>Table15[[#This Row],[AND - dC/da]]*Table15[[#This Row],[AND - da/dz]]*Table15[[#This Row],[dz/db]]</f>
        <v>-0.13896648341374623</v>
      </c>
      <c r="AD6" s="2">
        <f>Table15[[#This Row],[AND - dC/da]]*Table15[[#This Row],[AND - da/dz]]*Table15[[#This Row],[AND - dz/dw1]]</f>
        <v>-0.13896648341374623</v>
      </c>
      <c r="AE6" s="2">
        <f>Table15[[#This Row],[AND - dC/da]]*Table15[[#This Row],[AND - da/dz]]*Table15[[#This Row],[AND - dz/dw2]]</f>
        <v>-0.13896648341374623</v>
      </c>
      <c r="AF6" s="2">
        <f>Table15[[#This Row],[OR - dC/da]]*Table15[[#This Row],[OR - da/dz]]*Table15[[#This Row],[dz/db]]</f>
        <v>-5.6771062539293367E-5</v>
      </c>
      <c r="AG6" s="2">
        <f>Table15[[#This Row],[OR - dC/da]]*Table15[[#This Row],[OR - da/dz]]*Table15[[#This Row],[OR - dz/dw1]]</f>
        <v>-5.6771062539293367E-5</v>
      </c>
      <c r="AH6" s="2">
        <f>Table15[[#This Row],[OR - dC/da]]*Table15[[#This Row],[OR - da/dz]]*Table15[[#This Row],[OR - dz/dw2]]</f>
        <v>-5.6771062539293367E-5</v>
      </c>
    </row>
    <row r="7" spans="2:34" x14ac:dyDescent="0.25">
      <c r="J7" t="s">
        <v>9</v>
      </c>
      <c r="P7" s="3"/>
      <c r="Q7" s="3"/>
      <c r="R7" s="3">
        <f>SUBTOTAL(109,Table15[AND - Cost])</f>
        <v>5.6611438172934472E-2</v>
      </c>
      <c r="S7" s="3">
        <f>SUBTOTAL(101,Table15[OR - Cost])</f>
        <v>1.3447716751883724E-2</v>
      </c>
      <c r="T7" s="3"/>
      <c r="U7" s="3"/>
      <c r="V7" s="3"/>
      <c r="W7" s="3"/>
      <c r="AC7" s="3">
        <f>SUBTOTAL(101,Table15[AND - dC/db])</f>
        <v>3.4761715249167893E-2</v>
      </c>
      <c r="AD7" s="3">
        <f>SUBTOTAL(101,Table15[AND - dC/w1])</f>
        <v>-3.4757850316775453E-2</v>
      </c>
      <c r="AE7" s="3">
        <f>SUBTOTAL(101,Table15[AND - dC/w2])</f>
        <v>-3.4757501479039228E-2</v>
      </c>
      <c r="AF7" s="3">
        <f>SUBTOTAL(101,Table15[OR - dC/db])</f>
        <v>-3.3477895346801061E-2</v>
      </c>
      <c r="AG7" s="3">
        <f>SUBTOTAL(101,Table15[OR - dC/w1])</f>
        <v>-3.3485197418745678E-2</v>
      </c>
      <c r="AH7" s="3">
        <f>SUBTOTAL(101,Table15[OR - dC/w2])</f>
        <v>-3.3482207951775964E-2</v>
      </c>
    </row>
    <row r="8" spans="2:34" x14ac:dyDescent="0.25">
      <c r="B8">
        <f>bias-learning_rate*Table15[[#Totals],[AND - dC/db]]</f>
        <v>-1.3209106961159958</v>
      </c>
      <c r="C8">
        <f>weight_1.0-learning_rate*Table15[[#Totals],[AND - dC/w1]]</f>
        <v>1.320918968607145</v>
      </c>
      <c r="D8">
        <f>weight_1.1-learning_rate*Table15[[#Totals],[AND - dC/w2]]</f>
        <v>1.3209197152325165</v>
      </c>
      <c r="E8">
        <f>bias_o-learning_rate*Table15[[#Totals],[OR - dC/db]]</f>
        <v>1.3339924853088281</v>
      </c>
      <c r="F8">
        <f>weight_o.0-learning_rate*Table15[[#Totals],[OR - dC/w1]]</f>
        <v>1.3339761722728929</v>
      </c>
      <c r="G8">
        <f>weight_o.1-learning_rate*Table15[[#Totals],[OR - dC/w2]]</f>
        <v>1.3339828510726099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0D66-F4B5-4853-B637-67EA65672122}">
  <dimension ref="B2:AN23"/>
  <sheetViews>
    <sheetView tabSelected="1" topLeftCell="I1" workbookViewId="0">
      <selection activeCell="P4" sqref="P4"/>
    </sheetView>
  </sheetViews>
  <sheetFormatPr defaultRowHeight="15" x14ac:dyDescent="0.25"/>
  <cols>
    <col min="1" max="1" width="3" bestFit="1" customWidth="1"/>
    <col min="2" max="2" width="12.7109375" bestFit="1" customWidth="1"/>
    <col min="3" max="3" width="12" bestFit="1" customWidth="1"/>
    <col min="4" max="4" width="12.7109375" bestFit="1" customWidth="1"/>
    <col min="5" max="7" width="12.7109375" customWidth="1"/>
    <col min="8" max="12" width="12" customWidth="1"/>
    <col min="13" max="13" width="6" bestFit="1" customWidth="1"/>
    <col min="15" max="16" width="6.28515625" bestFit="1" customWidth="1"/>
    <col min="17" max="18" width="12.7109375" bestFit="1" customWidth="1"/>
    <col min="19" max="19" width="6.28515625" bestFit="1" customWidth="1"/>
    <col min="20" max="21" width="12.7109375" bestFit="1" customWidth="1"/>
    <col min="22" max="22" width="6.28515625" bestFit="1" customWidth="1"/>
    <col min="23" max="23" width="6.28515625" customWidth="1"/>
    <col min="24" max="24" width="5.5703125" bestFit="1" customWidth="1"/>
    <col min="25" max="25" width="5.5703125" customWidth="1"/>
    <col min="26" max="26" width="6.28515625" bestFit="1" customWidth="1"/>
    <col min="27" max="27" width="6.28515625" customWidth="1"/>
    <col min="28" max="28" width="8.5703125" bestFit="1" customWidth="1"/>
    <col min="29" max="29" width="8.5703125" customWidth="1"/>
    <col min="30" max="30" width="6.28515625" bestFit="1" customWidth="1"/>
    <col min="31" max="31" width="5.5703125" bestFit="1" customWidth="1"/>
    <col min="32" max="35" width="6.28515625" bestFit="1" customWidth="1"/>
    <col min="36" max="36" width="8.28515625" bestFit="1" customWidth="1"/>
    <col min="37" max="37" width="7.5703125" bestFit="1" customWidth="1"/>
  </cols>
  <sheetData>
    <row r="2" spans="2:40" s="4" customFormat="1" ht="75.75" x14ac:dyDescent="0.25">
      <c r="B2" s="4" t="s">
        <v>3</v>
      </c>
      <c r="C2" s="4" t="s">
        <v>4</v>
      </c>
      <c r="D2" s="4" t="s">
        <v>5</v>
      </c>
      <c r="E2" s="4" t="s">
        <v>24</v>
      </c>
      <c r="F2" s="4" t="s">
        <v>23</v>
      </c>
      <c r="G2" s="4" t="s">
        <v>22</v>
      </c>
      <c r="H2" t="s">
        <v>45</v>
      </c>
      <c r="I2" t="s">
        <v>46</v>
      </c>
      <c r="J2" t="s">
        <v>47</v>
      </c>
      <c r="K2" t="s">
        <v>57</v>
      </c>
      <c r="L2" t="s">
        <v>58</v>
      </c>
      <c r="M2" s="4" t="s">
        <v>18</v>
      </c>
      <c r="O2" s="4" t="s">
        <v>1</v>
      </c>
      <c r="P2" s="4" t="s">
        <v>0</v>
      </c>
      <c r="Q2" s="4" t="s">
        <v>2</v>
      </c>
      <c r="R2" s="4" t="s">
        <v>19</v>
      </c>
      <c r="S2" s="4" t="s">
        <v>43</v>
      </c>
      <c r="T2" s="4" t="s">
        <v>20</v>
      </c>
      <c r="U2" s="4" t="s">
        <v>21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31</v>
      </c>
      <c r="AA2" s="4" t="s">
        <v>32</v>
      </c>
      <c r="AB2" s="4" t="s">
        <v>29</v>
      </c>
      <c r="AC2" s="4" t="s">
        <v>30</v>
      </c>
      <c r="AD2" s="4" t="s">
        <v>12</v>
      </c>
      <c r="AE2" s="4" t="s">
        <v>35</v>
      </c>
      <c r="AF2" s="4" t="s">
        <v>36</v>
      </c>
      <c r="AG2" s="4" t="s">
        <v>34</v>
      </c>
      <c r="AH2" s="4" t="s">
        <v>33</v>
      </c>
      <c r="AI2" s="4" t="s">
        <v>37</v>
      </c>
      <c r="AJ2" s="4" t="s">
        <v>38</v>
      </c>
      <c r="AK2" s="4" t="s">
        <v>39</v>
      </c>
      <c r="AL2" s="4" t="s">
        <v>40</v>
      </c>
      <c r="AM2" s="4" t="s">
        <v>41</v>
      </c>
      <c r="AN2" s="4" t="s">
        <v>42</v>
      </c>
    </row>
    <row r="3" spans="2:40" x14ac:dyDescent="0.25">
      <c r="B3">
        <v>-2.3286697267335796</v>
      </c>
      <c r="C3">
        <v>6.3763774119143397</v>
      </c>
      <c r="D3">
        <v>6.3763774119143397</v>
      </c>
      <c r="E3">
        <v>2.4971603895189065</v>
      </c>
      <c r="F3">
        <v>4.4113265177408163</v>
      </c>
      <c r="G3">
        <v>4.4113265178116494</v>
      </c>
      <c r="H3">
        <v>-2.7899653894267793</v>
      </c>
      <c r="I3">
        <v>-9.8837550576032829</v>
      </c>
      <c r="J3">
        <v>7.9103914015156525</v>
      </c>
      <c r="K3">
        <v>-4.8553010689278544</v>
      </c>
      <c r="L3">
        <v>8.0694904317881999</v>
      </c>
      <c r="M3">
        <v>0.99999998999999995</v>
      </c>
      <c r="O3">
        <v>-1</v>
      </c>
      <c r="P3">
        <v>-1</v>
      </c>
      <c r="Q3">
        <f>IF(AND(Table156[[#This Row],[Input A]]&gt;0,Table156[[#This Row],[Input B]]&gt;0),1,-1)</f>
        <v>-1</v>
      </c>
      <c r="R3">
        <f>IF(OR(Table156[[#This Row],[Input A]]&gt;0,Table156[[#This Row],[Input B]]&gt;0),1,-1)</f>
        <v>-1</v>
      </c>
      <c r="S3">
        <f>IF(_xlfn.XOR(Table156[[#This Row],[Input A]]&gt;0,Table156[[#This Row],[Input B]]&gt;0),1,-1)</f>
        <v>-1</v>
      </c>
      <c r="T3">
        <f>bias+weight_1.0*Table156[[#This Row],[Input A]]+weight_1.1*Table156[[#This Row],[Input B]]</f>
        <v>-15.081424550562261</v>
      </c>
      <c r="U3">
        <f>bias_o+weight_o.0*Table156[[#This Row],[Input A]]+weight_o.1*Table156[[#This Row],[Input B]]</f>
        <v>-6.3254926460335597</v>
      </c>
      <c r="V3" s="2">
        <f>TANH(Table156[[#This Row],[AND - Sum Z]])</f>
        <v>-0.99999999999984091</v>
      </c>
      <c r="W3" s="2">
        <f>TANH(Table156[[#This Row],[OR - Sum Z]])</f>
        <v>-0.99999359121796916</v>
      </c>
      <c r="X3" s="2" cm="1">
        <f t="array" ref="X3">CostFunction(Table156[[#This Row],[Expected And]],Table156[[#This Row],[AND - Output a]])</f>
        <v>2.5311206115646724E-26</v>
      </c>
      <c r="Y3" s="2" cm="1">
        <f t="array" ref="Y3">CostFunction(Table156[[#This Row],[Expected Or]],Table156[[#This Row],[OR - Output a]])</f>
        <v>4.1072487118846836E-11</v>
      </c>
      <c r="Z3" s="2">
        <f>2*(Table156[[#This Row],[AND - Output a]]-Table156[[#This Row],[Expected And]])</f>
        <v>3.1818991885756986E-13</v>
      </c>
      <c r="AA3" s="2">
        <f>2*(Table156[[#This Row],[OR - Output a]]-Table156[[#This Row],[Expected Or]])</f>
        <v>1.281756406168455E-5</v>
      </c>
      <c r="AB3" s="2">
        <f>_xlfn.SECH(Table156[[#This Row],[AND - Output a]])</f>
        <v>0.64805427366396384</v>
      </c>
      <c r="AC3" s="2">
        <f>_xlfn.SECH(Table156[[#This Row],[OR - Output a]])</f>
        <v>0.64805743674824934</v>
      </c>
      <c r="AD3" s="1">
        <f>1</f>
        <v>1</v>
      </c>
      <c r="AE3" s="1">
        <f>Table156[[#This Row],[Input A]]</f>
        <v>-1</v>
      </c>
      <c r="AF3" s="1">
        <f>Table156[[#This Row],[Input B]]</f>
        <v>-1</v>
      </c>
      <c r="AG3" s="1">
        <f>Table156[[#This Row],[Input A]]</f>
        <v>-1</v>
      </c>
      <c r="AH3" s="1">
        <f>Table156[[#This Row],[Input B]]</f>
        <v>-1</v>
      </c>
      <c r="AI3" s="2">
        <f>Table156[[#This Row],[AND - dC/da]]*Table156[[#This Row],[AND - da/dz]]*Table156[[#This Row],[dz/db]]</f>
        <v>2.0620433675243802E-13</v>
      </c>
      <c r="AJ3" s="2">
        <f>Table156[[#This Row],[AND - dC/da]]*Table156[[#This Row],[AND - da/dz]]*Table156[[#This Row],[AND - dz/dw1]]</f>
        <v>-2.0620433675243802E-13</v>
      </c>
      <c r="AK3" s="2">
        <f>Table156[[#This Row],[AND - dC/da]]*Table156[[#This Row],[AND - da/dz]]*Table156[[#This Row],[AND - dz/dw2]]</f>
        <v>-2.0620433675243802E-13</v>
      </c>
      <c r="AL3" s="2">
        <f>Table156[[#This Row],[OR - dC/da]]*Table156[[#This Row],[OR - da/dz]]*Table156[[#This Row],[dz/db]]</f>
        <v>8.3065177111717685E-6</v>
      </c>
      <c r="AM3" s="2">
        <f>Table156[[#This Row],[OR - dC/da]]*Table156[[#This Row],[OR - da/dz]]*Table156[[#This Row],[OR - dz/dw1]]</f>
        <v>-8.3065177111717685E-6</v>
      </c>
      <c r="AN3" s="2">
        <f>Table156[[#This Row],[OR - dC/da]]*Table156[[#This Row],[OR - da/dz]]*Table156[[#This Row],[OR - dz/dw2]]</f>
        <v>-8.3065177111717685E-6</v>
      </c>
    </row>
    <row r="4" spans="2:40" x14ac:dyDescent="0.25">
      <c r="O4">
        <v>-1</v>
      </c>
      <c r="P4">
        <v>1</v>
      </c>
      <c r="Q4">
        <f>IF(AND(Table156[[#This Row],[Input A]]&gt;0,Table156[[#This Row],[Input B]]&gt;0),1,-1)</f>
        <v>-1</v>
      </c>
      <c r="R4">
        <f>IF(OR(Table156[[#This Row],[Input A]]&gt;0,Table156[[#This Row],[Input B]]&gt;0),1,-1)</f>
        <v>1</v>
      </c>
      <c r="S4">
        <f>IF(_xlfn.XOR(Table156[[#This Row],[Input A]]&gt;0,Table156[[#This Row],[Input B]]&gt;0),1,-1)</f>
        <v>1</v>
      </c>
      <c r="T4">
        <f>bias+weight_1.0*Table156[[#This Row],[Input A]]+weight_1.1*Table156[[#This Row],[Input B]]</f>
        <v>-2.3286697267335805</v>
      </c>
      <c r="U4">
        <f>bias_o+weight_o.0*Table156[[#This Row],[Input A]]+weight_o.1*Table156[[#This Row],[Input B]]</f>
        <v>2.4971603895897396</v>
      </c>
      <c r="V4" s="2">
        <f>TANH(Table156[[#This Row],[AND - Sum Z]])</f>
        <v>-0.98119512608262449</v>
      </c>
      <c r="W4" s="2">
        <f>TANH(Table156[[#This Row],[OR - Sum Z]])</f>
        <v>0.98653857464424266</v>
      </c>
      <c r="X4" s="2" cm="1">
        <f t="array" ref="X4">CostFunction(Table156[[#This Row],[Expected And]],Table156[[#This Row],[AND - Output a]])</f>
        <v>3.536232830483897E-4</v>
      </c>
      <c r="Y4" s="2" cm="1">
        <f t="array" ref="Y4">CostFunction(Table156[[#This Row],[Expected Or]],Table156[[#This Row],[OR - Output a]])</f>
        <v>1.812099726086266E-4</v>
      </c>
      <c r="Z4" s="2">
        <f>2*(Table156[[#This Row],[AND - Output a]]-Table156[[#This Row],[Expected And]])</f>
        <v>3.7609747834751017E-2</v>
      </c>
      <c r="AA4" s="2">
        <f>2*(Table156[[#This Row],[OR - Output a]]-Table156[[#This Row],[Expected Or]])</f>
        <v>-2.6922850711514679E-2</v>
      </c>
      <c r="AB4" s="2">
        <f>_xlfn.SECH(Table156[[#This Row],[AND - Output a]])</f>
        <v>0.65735299809687187</v>
      </c>
      <c r="AC4" s="2">
        <f>_xlfn.SECH(Table156[[#This Row],[OR - Output a]])</f>
        <v>0.65470730861504867</v>
      </c>
      <c r="AD4" s="1">
        <f>1</f>
        <v>1</v>
      </c>
      <c r="AE4" s="1">
        <f>Table156[[#This Row],[Input A]]</f>
        <v>-1</v>
      </c>
      <c r="AF4" s="1">
        <f>Table156[[#This Row],[Input B]]</f>
        <v>1</v>
      </c>
      <c r="AG4" s="1">
        <f>Table156[[#This Row],[Input A]]</f>
        <v>-1</v>
      </c>
      <c r="AH4" s="1">
        <f>Table156[[#This Row],[Input B]]</f>
        <v>1</v>
      </c>
      <c r="AI4" s="2">
        <f>Table156[[#This Row],[AND - dC/da]]*Table156[[#This Row],[AND - da/dz]]*Table156[[#This Row],[dz/db]]</f>
        <v>2.4722880496840915E-2</v>
      </c>
      <c r="AJ4" s="2">
        <f>Table156[[#This Row],[AND - dC/da]]*Table156[[#This Row],[AND - da/dz]]*Table156[[#This Row],[AND - dz/dw1]]</f>
        <v>-2.4722880496840915E-2</v>
      </c>
      <c r="AK4" s="2">
        <f>Table156[[#This Row],[AND - dC/da]]*Table156[[#This Row],[AND - da/dz]]*Table156[[#This Row],[AND - dz/dw2]]</f>
        <v>2.4722880496840915E-2</v>
      </c>
      <c r="AL4" s="2">
        <f>Table156[[#This Row],[OR - dC/da]]*Table156[[#This Row],[OR - da/dz]]*Table156[[#This Row],[dz/db]]</f>
        <v>-1.7626587129580523E-2</v>
      </c>
      <c r="AM4" s="2">
        <f>Table156[[#This Row],[OR - dC/da]]*Table156[[#This Row],[OR - da/dz]]*Table156[[#This Row],[OR - dz/dw1]]</f>
        <v>1.7626587129580523E-2</v>
      </c>
      <c r="AN4" s="2">
        <f>Table156[[#This Row],[OR - dC/da]]*Table156[[#This Row],[OR - da/dz]]*Table156[[#This Row],[OR - dz/dw2]]</f>
        <v>-1.7626587129580523E-2</v>
      </c>
    </row>
    <row r="5" spans="2:40" x14ac:dyDescent="0.25">
      <c r="O5">
        <v>1</v>
      </c>
      <c r="P5">
        <v>-1</v>
      </c>
      <c r="Q5">
        <f>IF(AND(Table156[[#This Row],[Input A]]&gt;0,Table156[[#This Row],[Input B]]&gt;0),1,-1)</f>
        <v>-1</v>
      </c>
      <c r="R5">
        <f>IF(OR(Table156[[#This Row],[Input A]]&gt;0,Table156[[#This Row],[Input B]]&gt;0),1,-1)</f>
        <v>1</v>
      </c>
      <c r="S5">
        <f>IF(_xlfn.XOR(Table156[[#This Row],[Input A]]&gt;0,Table156[[#This Row],[Input B]]&gt;0),1,-1)</f>
        <v>1</v>
      </c>
      <c r="T5">
        <f>bias+weight_1.0*Table156[[#This Row],[Input A]]+weight_1.1*Table156[[#This Row],[Input B]]</f>
        <v>-2.3286697267335796</v>
      </c>
      <c r="U5">
        <f>bias_o+weight_o.0*Table156[[#This Row],[Input A]]+weight_o.1*Table156[[#This Row],[Input B]]</f>
        <v>2.4971603894480738</v>
      </c>
      <c r="V5" s="2">
        <f>TANH(Table156[[#This Row],[AND - Sum Z]])</f>
        <v>-0.98119512608262438</v>
      </c>
      <c r="W5" s="2">
        <f>TANH(Table156[[#This Row],[OR - Sum Z]])</f>
        <v>0.98653857464045425</v>
      </c>
      <c r="X5" s="2" cm="1">
        <f t="array" ref="X5">CostFunction(Table156[[#This Row],[Expected And]],Table156[[#This Row],[AND - Output a]])</f>
        <v>3.5362328304839387E-4</v>
      </c>
      <c r="Y5" s="2" cm="1">
        <f t="array" ref="Y5">CostFunction(Table156[[#This Row],[Expected Or]],Table156[[#This Row],[OR - Output a]])</f>
        <v>1.8120997271062151E-4</v>
      </c>
      <c r="Z5" s="2">
        <f>2*(Table156[[#This Row],[AND - Output a]]-Table156[[#This Row],[Expected And]])</f>
        <v>3.7609747834751239E-2</v>
      </c>
      <c r="AA5" s="2">
        <f>2*(Table156[[#This Row],[OR - Output a]]-Table156[[#This Row],[Expected Or]])</f>
        <v>-2.6922850719091507E-2</v>
      </c>
      <c r="AB5" s="2">
        <f>_xlfn.SECH(Table156[[#This Row],[AND - Output a]])</f>
        <v>0.65735299809687187</v>
      </c>
      <c r="AC5" s="2">
        <f>_xlfn.SECH(Table156[[#This Row],[OR - Output a]])</f>
        <v>0.6547073086169235</v>
      </c>
      <c r="AD5" s="1">
        <f>1</f>
        <v>1</v>
      </c>
      <c r="AE5" s="1">
        <f>Table156[[#This Row],[Input A]]</f>
        <v>1</v>
      </c>
      <c r="AF5" s="1">
        <f>Table156[[#This Row],[Input B]]</f>
        <v>-1</v>
      </c>
      <c r="AG5" s="1">
        <f>Table156[[#This Row],[Input A]]</f>
        <v>1</v>
      </c>
      <c r="AH5" s="1">
        <f>Table156[[#This Row],[Input B]]</f>
        <v>-1</v>
      </c>
      <c r="AI5" s="2">
        <f>Table156[[#This Row],[AND - dC/da]]*Table156[[#This Row],[AND - da/dz]]*Table156[[#This Row],[dz/db]]</f>
        <v>2.4722880496841061E-2</v>
      </c>
      <c r="AJ5" s="2">
        <f>Table156[[#This Row],[AND - dC/da]]*Table156[[#This Row],[AND - da/dz]]*Table156[[#This Row],[AND - dz/dw1]]</f>
        <v>2.4722880496841061E-2</v>
      </c>
      <c r="AK5" s="2">
        <f>Table156[[#This Row],[AND - dC/da]]*Table156[[#This Row],[AND - da/dz]]*Table156[[#This Row],[AND - dz/dw2]]</f>
        <v>-2.4722880496841061E-2</v>
      </c>
      <c r="AL5" s="2">
        <f>Table156[[#This Row],[OR - dC/da]]*Table156[[#This Row],[OR - da/dz]]*Table156[[#This Row],[dz/db]]</f>
        <v>-1.7626587134591604E-2</v>
      </c>
      <c r="AM5" s="2">
        <f>Table156[[#This Row],[OR - dC/da]]*Table156[[#This Row],[OR - da/dz]]*Table156[[#This Row],[OR - dz/dw1]]</f>
        <v>-1.7626587134591604E-2</v>
      </c>
      <c r="AN5" s="2">
        <f>Table156[[#This Row],[OR - dC/da]]*Table156[[#This Row],[OR - da/dz]]*Table156[[#This Row],[OR - dz/dw2]]</f>
        <v>1.7626587134591604E-2</v>
      </c>
    </row>
    <row r="6" spans="2:40" x14ac:dyDescent="0.25">
      <c r="O6">
        <v>1</v>
      </c>
      <c r="P6">
        <v>1</v>
      </c>
      <c r="Q6">
        <f>IF(AND(Table156[[#This Row],[Input A]]&gt;0,Table156[[#This Row],[Input B]]&gt;0),1,-1)</f>
        <v>1</v>
      </c>
      <c r="R6">
        <f>IF(OR(Table156[[#This Row],[Input A]]&gt;0,Table156[[#This Row],[Input B]]&gt;0),1,-1)</f>
        <v>1</v>
      </c>
      <c r="S6">
        <f>IF(_xlfn.XOR(Table156[[#This Row],[Input A]]&gt;0,Table156[[#This Row],[Input B]]&gt;0),1,-1)</f>
        <v>-1</v>
      </c>
      <c r="T6">
        <f>bias+weight_1.0*Table156[[#This Row],[Input A]]+weight_1.1*Table156[[#This Row],[Input B]]</f>
        <v>10.4240850970951</v>
      </c>
      <c r="U6">
        <f>bias_o+weight_o.0*Table156[[#This Row],[Input A]]+weight_o.1*Table156[[#This Row],[Input B]]</f>
        <v>11.319813425071374</v>
      </c>
      <c r="V6" s="2">
        <f>TANH(Table156[[#This Row],[AND - Sum Z]])</f>
        <v>0.99999999823483721</v>
      </c>
      <c r="W6" s="2">
        <f>TANH(Table156[[#This Row],[OR - Sum Z]])</f>
        <v>0.99999999970571718</v>
      </c>
      <c r="X6" s="2" cm="1">
        <f t="array" ref="X6">CostFunction(Table156[[#This Row],[Expected And]],Table156[[#This Row],[AND - Output a]])</f>
        <v>3.1157996882976062E-18</v>
      </c>
      <c r="Y6" s="2" cm="1">
        <f t="array" ref="Y6">CostFunction(Table156[[#This Row],[Expected Or]],Table156[[#This Row],[OR - Output a]])</f>
        <v>8.6602378344028545E-20</v>
      </c>
      <c r="Z6" s="2">
        <f>2*(Table156[[#This Row],[AND - Output a]]-Table156[[#This Row],[Expected And]])</f>
        <v>-3.5303255874197248E-9</v>
      </c>
      <c r="AA6" s="2">
        <f>2*(Table156[[#This Row],[OR - Output a]]-Table156[[#This Row],[Expected Or]])</f>
        <v>-5.8856564066900319E-10</v>
      </c>
      <c r="AB6" s="2">
        <f>_xlfn.SECH(Table156[[#This Row],[AND - Output a]])</f>
        <v>0.64805427453508913</v>
      </c>
      <c r="AC6" s="2">
        <f>_xlfn.SECH(Table156[[#This Row],[OR - Output a]])</f>
        <v>0.64805427380913005</v>
      </c>
      <c r="AD6" s="1">
        <f>1</f>
        <v>1</v>
      </c>
      <c r="AE6" s="1">
        <f>Table156[[#This Row],[Input A]]</f>
        <v>1</v>
      </c>
      <c r="AF6" s="1">
        <f>Table156[[#This Row],[Input B]]</f>
        <v>1</v>
      </c>
      <c r="AG6" s="1">
        <f>Table156[[#This Row],[Input A]]</f>
        <v>1</v>
      </c>
      <c r="AH6" s="1">
        <f>Table156[[#This Row],[Input B]]</f>
        <v>1</v>
      </c>
      <c r="AI6" s="2">
        <f>Table156[[#This Row],[AND - dC/da]]*Table156[[#This Row],[AND - da/dz]]*Table156[[#This Row],[dz/db]]</f>
        <v>-2.2878425874279522E-9</v>
      </c>
      <c r="AJ6" s="2">
        <f>Table156[[#This Row],[AND - dC/da]]*Table156[[#This Row],[AND - da/dz]]*Table156[[#This Row],[AND - dz/dw1]]</f>
        <v>-2.2878425874279522E-9</v>
      </c>
      <c r="AK6" s="2">
        <f>Table156[[#This Row],[AND - dC/da]]*Table156[[#This Row],[AND - da/dz]]*Table156[[#This Row],[AND - dz/dw2]]</f>
        <v>-2.2878425874279522E-9</v>
      </c>
      <c r="AL6" s="2">
        <f>Table156[[#This Row],[OR - dC/da]]*Table156[[#This Row],[OR - da/dz]]*Table156[[#This Row],[dz/db]]</f>
        <v>-3.8142247885275622E-10</v>
      </c>
      <c r="AM6" s="2">
        <f>Table156[[#This Row],[OR - dC/da]]*Table156[[#This Row],[OR - da/dz]]*Table156[[#This Row],[OR - dz/dw1]]</f>
        <v>-3.8142247885275622E-10</v>
      </c>
      <c r="AN6" s="2">
        <f>Table156[[#This Row],[OR - dC/da]]*Table156[[#This Row],[OR - da/dz]]*Table156[[#This Row],[OR - dz/dw2]]</f>
        <v>-3.8142247885275622E-10</v>
      </c>
    </row>
    <row r="7" spans="2:40" x14ac:dyDescent="0.25">
      <c r="O7">
        <v>-0.5</v>
      </c>
      <c r="P7">
        <v>-0.5</v>
      </c>
      <c r="Q7">
        <f>IF(AND(Table156[[#This Row],[Input A]]&gt;0,Table156[[#This Row],[Input B]]&gt;0),1,-1)</f>
        <v>-1</v>
      </c>
      <c r="R7">
        <f>IF(OR(Table156[[#This Row],[Input A]]&gt;0,Table156[[#This Row],[Input B]]&gt;0),1,-1)</f>
        <v>-1</v>
      </c>
      <c r="S7">
        <f>IF(_xlfn.XOR(Table156[[#This Row],[Input A]]&gt;0,Table156[[#This Row],[Input B]]&gt;0),1,-1)</f>
        <v>-1</v>
      </c>
      <c r="T7">
        <f>bias+weight_1.0*Table156[[#This Row],[Input A]]+weight_1.1*Table156[[#This Row],[Input B]]</f>
        <v>-8.7050471386479202</v>
      </c>
      <c r="U7">
        <f>bias_o+weight_o.0*Table156[[#This Row],[Input A]]+weight_o.1*Table156[[#This Row],[Input B]]</f>
        <v>-1.9141661282573263</v>
      </c>
      <c r="V7" s="2">
        <f>TANH(Table156[[#This Row],[AND - Sum Z]])</f>
        <v>-0.99999994505576772</v>
      </c>
      <c r="W7" s="2">
        <f>TANH(Table156[[#This Row],[OR - Sum Z]])</f>
        <v>-0.9574339316038557</v>
      </c>
      <c r="X7" s="2" cm="1">
        <f t="array" ref="X7">CostFunction(Table156[[#This Row],[Expected And]],Table156[[#This Row],[AND - Output a]])</f>
        <v>3.018868660292861E-15</v>
      </c>
      <c r="Y7" s="2" cm="1">
        <f t="array" ref="Y7">CostFunction(Table156[[#This Row],[Expected Or]],Table156[[#This Row],[OR - Output a]])</f>
        <v>1.8118701787052344E-3</v>
      </c>
      <c r="Z7" s="2">
        <f>2*(Table156[[#This Row],[AND - Output a]]-Table156[[#This Row],[Expected And]])</f>
        <v>1.0988846455006751E-7</v>
      </c>
      <c r="AA7" s="2">
        <f>2*(Table156[[#This Row],[OR - Output a]]-Table156[[#This Row],[Expected Or]])</f>
        <v>8.5132136792288593E-2</v>
      </c>
      <c r="AB7" s="2">
        <f>_xlfn.SECH(Table156[[#This Row],[AND - Output a]])</f>
        <v>0.64805430078185022</v>
      </c>
      <c r="AC7" s="2">
        <f>_xlfn.SECH(Table156[[#This Row],[OR - Output a]])</f>
        <v>0.66914698265112771</v>
      </c>
      <c r="AD7" s="1">
        <f>1</f>
        <v>1</v>
      </c>
      <c r="AE7" s="1">
        <f>Table156[[#This Row],[Input A]]</f>
        <v>-0.5</v>
      </c>
      <c r="AF7" s="1">
        <f>Table156[[#This Row],[Input B]]</f>
        <v>-0.5</v>
      </c>
      <c r="AG7" s="1">
        <f>Table156[[#This Row],[Input A]]</f>
        <v>-0.5</v>
      </c>
      <c r="AH7" s="1">
        <f>Table156[[#This Row],[Input B]]</f>
        <v>-0.5</v>
      </c>
      <c r="AI7" s="2">
        <f>Table156[[#This Row],[AND - dC/da]]*Table156[[#This Row],[AND - da/dz]]*Table156[[#This Row],[dz/db]]</f>
        <v>7.1213692057985135E-8</v>
      </c>
      <c r="AJ7" s="2">
        <f>Table156[[#This Row],[AND - dC/da]]*Table156[[#This Row],[AND - da/dz]]*Table156[[#This Row],[AND - dz/dw1]]</f>
        <v>-3.5606846028992568E-8</v>
      </c>
      <c r="AK7" s="2">
        <f>Table156[[#This Row],[AND - dC/da]]*Table156[[#This Row],[AND - da/dz]]*Table156[[#This Row],[AND - dz/dw2]]</f>
        <v>-3.5606846028992568E-8</v>
      </c>
      <c r="AL7" s="2">
        <f>Table156[[#This Row],[OR - dC/da]]*Table156[[#This Row],[OR - da/dz]]*Table156[[#This Row],[dz/db]]</f>
        <v>5.6965912461202965E-2</v>
      </c>
      <c r="AM7" s="2">
        <f>Table156[[#This Row],[OR - dC/da]]*Table156[[#This Row],[OR - da/dz]]*Table156[[#This Row],[OR - dz/dw1]]</f>
        <v>-2.8482956230601483E-2</v>
      </c>
      <c r="AN7" s="2">
        <f>Table156[[#This Row],[OR - dC/da]]*Table156[[#This Row],[OR - da/dz]]*Table156[[#This Row],[OR - dz/dw2]]</f>
        <v>-2.8482956230601483E-2</v>
      </c>
    </row>
    <row r="8" spans="2:40" x14ac:dyDescent="0.25">
      <c r="B8">
        <f>bias-learning_rate*Table156[[#Totals],[AND - dC/db]]</f>
        <v>-2.3409323528536157</v>
      </c>
      <c r="C8">
        <f>weight_1.0-learning_rate*Table156[[#Totals],[AND - dC/w1]]</f>
        <v>6.3764268279614651</v>
      </c>
      <c r="D8">
        <f>weight_1.1-learning_rate*Table156[[#Totals],[AND - dC/w2]]</f>
        <v>6.3764268279614651</v>
      </c>
      <c r="E8">
        <f>bias_o-learning_rate*Table156[[#Totals],[OR - dC/db]]</f>
        <v>2.4988522292968622</v>
      </c>
      <c r="F8">
        <f>weight_o.0-learning_rate*Table156[[#Totals],[OR - dC/w1]]</f>
        <v>4.4148880873739591</v>
      </c>
      <c r="G8">
        <f>weight_o.1-learning_rate*Table156[[#Totals],[OR - dC/w2]]</f>
        <v>4.4148880874432264</v>
      </c>
      <c r="H8">
        <f>bias_x-learning_rate*Table1568[[#Totals],[XOR - dC/db]]</f>
        <v>-2.7879238145208558</v>
      </c>
      <c r="I8">
        <f>weight_1.0_x-learning_rate*Table1568[[#Totals],[XOR - dC/w1]]</f>
        <v>-9.8946427641979593</v>
      </c>
      <c r="J8">
        <f>weight_1.1x-learning_rate*Table1568[[#Totals],[XOR - dC/w2]]</f>
        <v>7.9176208118823928</v>
      </c>
      <c r="K8">
        <f>K3-learning_rate*Table1568[[#Totals],[XOR - dC/w12]]</f>
        <v>-4.8654315419042131</v>
      </c>
      <c r="L8">
        <f>L3-learning_rate*Table1568[[#Totals],[XOR - dC/w2]]</f>
        <v>8.0767198421549402</v>
      </c>
      <c r="O8">
        <v>-0.5</v>
      </c>
      <c r="P8">
        <v>0.5</v>
      </c>
      <c r="Q8">
        <f>IF(AND(Table156[[#This Row],[Input A]]&gt;0,Table156[[#This Row],[Input B]]&gt;0),1,-1)</f>
        <v>-1</v>
      </c>
      <c r="R8">
        <f>IF(OR(Table156[[#This Row],[Input A]]&gt;0,Table156[[#This Row],[Input B]]&gt;0),1,-1)</f>
        <v>1</v>
      </c>
      <c r="S8">
        <f>IF(_xlfn.XOR(Table156[[#This Row],[Input A]]&gt;0,Table156[[#This Row],[Input B]]&gt;0),1,-1)</f>
        <v>1</v>
      </c>
      <c r="T8">
        <f>bias+weight_1.0*Table156[[#This Row],[Input A]]+weight_1.1*Table156[[#This Row],[Input B]]</f>
        <v>-2.3286697267335801</v>
      </c>
      <c r="U8">
        <f>bias_o+weight_o.0*Table156[[#This Row],[Input A]]+weight_o.1*Table156[[#This Row],[Input B]]</f>
        <v>2.4971603895543231</v>
      </c>
      <c r="V8" s="2">
        <f>TANH(Table156[[#This Row],[AND - Sum Z]])</f>
        <v>-0.98119512608262438</v>
      </c>
      <c r="W8" s="2">
        <f>TANH(Table156[[#This Row],[OR - Sum Z]])</f>
        <v>0.98653857464329564</v>
      </c>
      <c r="X8" s="2" cm="1">
        <f t="array" ref="X8">CostFunction(Table156[[#This Row],[Expected And]],Table156[[#This Row],[AND - Output a]])</f>
        <v>3.5362328304839387E-4</v>
      </c>
      <c r="Y8" s="2" cm="1">
        <f t="array" ref="Y8">CostFunction(Table156[[#This Row],[Expected Or]],Table156[[#This Row],[OR - Output a]])</f>
        <v>1.8120997263412308E-4</v>
      </c>
      <c r="Z8" s="2">
        <f>2*(Table156[[#This Row],[AND - Output a]]-Table156[[#This Row],[Expected And]])</f>
        <v>3.7609747834751239E-2</v>
      </c>
      <c r="AA8" s="2">
        <f>2*(Table156[[#This Row],[OR - Output a]]-Table156[[#This Row],[Expected Or]])</f>
        <v>-2.6922850713408719E-2</v>
      </c>
      <c r="AB8" s="2">
        <f>_xlfn.SECH(Table156[[#This Row],[AND - Output a]])</f>
        <v>0.65735299809687187</v>
      </c>
      <c r="AC8" s="2">
        <f>_xlfn.SECH(Table156[[#This Row],[OR - Output a]])</f>
        <v>0.65470730861551729</v>
      </c>
      <c r="AD8" s="1">
        <f>1</f>
        <v>1</v>
      </c>
      <c r="AE8" s="1">
        <f>Table156[[#This Row],[Input A]]</f>
        <v>-0.5</v>
      </c>
      <c r="AF8" s="1">
        <f>Table156[[#This Row],[Input B]]</f>
        <v>0.5</v>
      </c>
      <c r="AG8" s="1">
        <f>Table156[[#This Row],[Input A]]</f>
        <v>-0.5</v>
      </c>
      <c r="AH8" s="1">
        <f>Table156[[#This Row],[Input B]]</f>
        <v>0.5</v>
      </c>
      <c r="AI8" s="2">
        <f>Table156[[#This Row],[AND - dC/da]]*Table156[[#This Row],[AND - da/dz]]*Table156[[#This Row],[dz/db]]</f>
        <v>2.4722880496841061E-2</v>
      </c>
      <c r="AJ8" s="2">
        <f>Table156[[#This Row],[AND - dC/da]]*Table156[[#This Row],[AND - da/dz]]*Table156[[#This Row],[AND - dz/dw1]]</f>
        <v>-1.236144024842053E-2</v>
      </c>
      <c r="AK8" s="2">
        <f>Table156[[#This Row],[AND - dC/da]]*Table156[[#This Row],[AND - da/dz]]*Table156[[#This Row],[AND - dz/dw2]]</f>
        <v>1.236144024842053E-2</v>
      </c>
      <c r="AL8" s="2">
        <f>Table156[[#This Row],[OR - dC/da]]*Table156[[#This Row],[OR - da/dz]]*Table156[[#This Row],[dz/db]]</f>
        <v>-1.7626587130833184E-2</v>
      </c>
      <c r="AM8" s="2">
        <f>Table156[[#This Row],[OR - dC/da]]*Table156[[#This Row],[OR - da/dz]]*Table156[[#This Row],[OR - dz/dw1]]</f>
        <v>8.8132935654165918E-3</v>
      </c>
      <c r="AN8" s="2">
        <f>Table156[[#This Row],[OR - dC/da]]*Table156[[#This Row],[OR - da/dz]]*Table156[[#This Row],[OR - dz/dw2]]</f>
        <v>-8.8132935654165918E-3</v>
      </c>
    </row>
    <row r="9" spans="2:40" x14ac:dyDescent="0.25">
      <c r="O9">
        <v>0.5</v>
      </c>
      <c r="P9">
        <v>-0.5</v>
      </c>
      <c r="Q9">
        <f>IF(AND(Table156[[#This Row],[Input A]]&gt;0,Table156[[#This Row],[Input B]]&gt;0),1,-1)</f>
        <v>-1</v>
      </c>
      <c r="R9">
        <f>IF(OR(Table156[[#This Row],[Input A]]&gt;0,Table156[[#This Row],[Input B]]&gt;0),1,-1)</f>
        <v>1</v>
      </c>
      <c r="S9">
        <f>IF(_xlfn.XOR(Table156[[#This Row],[Input A]]&gt;0,Table156[[#This Row],[Input B]]&gt;0),1,-1)</f>
        <v>1</v>
      </c>
      <c r="T9">
        <f>bias+weight_1.0*Table156[[#This Row],[Input A]]+weight_1.1*Table156[[#This Row],[Input B]]</f>
        <v>-2.3286697267335796</v>
      </c>
      <c r="U9">
        <f>bias_o+weight_o.0*Table156[[#This Row],[Input A]]+weight_o.1*Table156[[#This Row],[Input B]]</f>
        <v>2.4971603894834895</v>
      </c>
      <c r="V9" s="2">
        <f>TANH(Table156[[#This Row],[AND - Sum Z]])</f>
        <v>-0.98119512608262438</v>
      </c>
      <c r="W9" s="2">
        <f>TANH(Table156[[#This Row],[OR - Sum Z]])</f>
        <v>0.98653857464140127</v>
      </c>
      <c r="X9" s="2" cm="1">
        <f t="array" ref="X9">CostFunction(Table156[[#This Row],[Expected And]],Table156[[#This Row],[AND - Output a]])</f>
        <v>3.5362328304839387E-4</v>
      </c>
      <c r="Y9" s="2" cm="1">
        <f t="array" ref="Y9">CostFunction(Table156[[#This Row],[Expected Or]],Table156[[#This Row],[OR - Output a]])</f>
        <v>1.8120997268512504E-4</v>
      </c>
      <c r="Z9" s="2">
        <f>2*(Table156[[#This Row],[AND - Output a]]-Table156[[#This Row],[Expected And]])</f>
        <v>3.7609747834751239E-2</v>
      </c>
      <c r="AA9" s="2">
        <f>2*(Table156[[#This Row],[OR - Output a]]-Table156[[#This Row],[Expected Or]])</f>
        <v>-2.6922850717197466E-2</v>
      </c>
      <c r="AB9" s="2">
        <f>_xlfn.SECH(Table156[[#This Row],[AND - Output a]])</f>
        <v>0.65735299809687187</v>
      </c>
      <c r="AC9" s="2">
        <f>_xlfn.SECH(Table156[[#This Row],[OR - Output a]])</f>
        <v>0.65470730861645499</v>
      </c>
      <c r="AD9" s="1">
        <f>1</f>
        <v>1</v>
      </c>
      <c r="AE9" s="1">
        <f>Table156[[#This Row],[Input A]]</f>
        <v>0.5</v>
      </c>
      <c r="AF9" s="1">
        <f>Table156[[#This Row],[Input B]]</f>
        <v>-0.5</v>
      </c>
      <c r="AG9" s="1">
        <f>Table156[[#This Row],[Input A]]</f>
        <v>0.5</v>
      </c>
      <c r="AH9" s="1">
        <f>Table156[[#This Row],[Input B]]</f>
        <v>-0.5</v>
      </c>
      <c r="AI9" s="2">
        <f>Table156[[#This Row],[AND - dC/da]]*Table156[[#This Row],[AND - da/dz]]*Table156[[#This Row],[dz/db]]</f>
        <v>2.4722880496841061E-2</v>
      </c>
      <c r="AJ9" s="2">
        <f>Table156[[#This Row],[AND - dC/da]]*Table156[[#This Row],[AND - da/dz]]*Table156[[#This Row],[AND - dz/dw1]]</f>
        <v>1.236144024842053E-2</v>
      </c>
      <c r="AK9" s="2">
        <f>Table156[[#This Row],[AND - dC/da]]*Table156[[#This Row],[AND - da/dz]]*Table156[[#This Row],[AND - dz/dw2]]</f>
        <v>-1.236144024842053E-2</v>
      </c>
      <c r="AL9" s="2">
        <f>Table156[[#This Row],[OR - dC/da]]*Table156[[#This Row],[OR - da/dz]]*Table156[[#This Row],[dz/db]]</f>
        <v>-1.7626587133338947E-2</v>
      </c>
      <c r="AM9" s="2">
        <f>Table156[[#This Row],[OR - dC/da]]*Table156[[#This Row],[OR - da/dz]]*Table156[[#This Row],[OR - dz/dw1]]</f>
        <v>-8.8132935666694733E-3</v>
      </c>
      <c r="AN9" s="2">
        <f>Table156[[#This Row],[OR - dC/da]]*Table156[[#This Row],[OR - da/dz]]*Table156[[#This Row],[OR - dz/dw2]]</f>
        <v>8.8132935666694733E-3</v>
      </c>
    </row>
    <row r="10" spans="2:40" x14ac:dyDescent="0.25">
      <c r="O10">
        <v>0.5</v>
      </c>
      <c r="P10">
        <v>0.5</v>
      </c>
      <c r="Q10">
        <f>IF(AND(Table156[[#This Row],[Input A]]&gt;0,Table156[[#This Row],[Input B]]&gt;0),1,-1)</f>
        <v>1</v>
      </c>
      <c r="R10">
        <f>IF(OR(Table156[[#This Row],[Input A]]&gt;0,Table156[[#This Row],[Input B]]&gt;0),1,-1)</f>
        <v>1</v>
      </c>
      <c r="S10">
        <f>IF(_xlfn.XOR(Table156[[#This Row],[Input A]]&gt;0,Table156[[#This Row],[Input B]]&gt;0),1,-1)</f>
        <v>-1</v>
      </c>
      <c r="T10">
        <f>bias+weight_1.0*Table156[[#This Row],[Input A]]+weight_1.1*Table156[[#This Row],[Input B]]</f>
        <v>4.0477076851807601</v>
      </c>
      <c r="U10">
        <f>bias_o+weight_o.0*Table156[[#This Row],[Input A]]+weight_o.1*Table156[[#This Row],[Input B]]</f>
        <v>6.9084869072951385</v>
      </c>
      <c r="V10" s="2">
        <f>TANH(Table156[[#This Row],[AND - Sum Z]])</f>
        <v>0.99939031801771971</v>
      </c>
      <c r="W10" s="2">
        <f>TANH(Table156[[#This Row],[OR - Sum Z]])</f>
        <v>0.99999800292636731</v>
      </c>
      <c r="X10" s="2" cm="1">
        <f t="array" ref="X10">CostFunction(Table156[[#This Row],[Expected And]],Table156[[#This Row],[AND - Output a]])</f>
        <v>3.7171211951721859E-7</v>
      </c>
      <c r="Y10" s="2" cm="1">
        <f t="array" ref="Y10">CostFunction(Table156[[#This Row],[Expected Or]],Table156[[#This Row],[OR - Output a]])</f>
        <v>3.9883030943731039E-12</v>
      </c>
      <c r="Z10" s="2">
        <f>2*(Table156[[#This Row],[AND - Output a]]-Table156[[#This Row],[Expected And]])</f>
        <v>-1.2193639645605714E-3</v>
      </c>
      <c r="AA10" s="2">
        <f>2*(Table156[[#This Row],[OR - Output a]]-Table156[[#This Row],[Expected Or]])</f>
        <v>-3.9941472653737264E-6</v>
      </c>
      <c r="AB10" s="2">
        <f>_xlfn.SECH(Table156[[#This Row],[AND - Output a]])</f>
        <v>0.64835520410587777</v>
      </c>
      <c r="AC10" s="2">
        <f>_xlfn.SECH(Table156[[#This Row],[OR - Output a]])</f>
        <v>0.64805525932846608</v>
      </c>
      <c r="AD10" s="1">
        <f>1</f>
        <v>1</v>
      </c>
      <c r="AE10" s="1">
        <f>Table156[[#This Row],[Input A]]</f>
        <v>0.5</v>
      </c>
      <c r="AF10" s="1">
        <f>Table156[[#This Row],[Input B]]</f>
        <v>0.5</v>
      </c>
      <c r="AG10" s="1">
        <f>Table156[[#This Row],[Input A]]</f>
        <v>0.5</v>
      </c>
      <c r="AH10" s="1">
        <f>Table156[[#This Row],[Input B]]</f>
        <v>0.5</v>
      </c>
      <c r="AI10" s="2">
        <f>Table156[[#This Row],[AND - dC/da]]*Table156[[#This Row],[AND - da/dz]]*Table156[[#This Row],[dz/db]]</f>
        <v>-7.9058097212202159E-4</v>
      </c>
      <c r="AJ10" s="2">
        <f>Table156[[#This Row],[AND - dC/da]]*Table156[[#This Row],[AND - da/dz]]*Table156[[#This Row],[AND - dz/dw1]]</f>
        <v>-3.9529048606101079E-4</v>
      </c>
      <c r="AK10" s="2">
        <f>Table156[[#This Row],[AND - dC/da]]*Table156[[#This Row],[AND - da/dz]]*Table156[[#This Row],[AND - dz/dw2]]</f>
        <v>-3.9529048606101079E-4</v>
      </c>
      <c r="AL10" s="2">
        <f>Table156[[#This Row],[OR - dC/da]]*Table156[[#This Row],[OR - da/dz]]*Table156[[#This Row],[dz/db]]</f>
        <v>-2.5884281418578538E-6</v>
      </c>
      <c r="AM10" s="2">
        <f>Table156[[#This Row],[OR - dC/da]]*Table156[[#This Row],[OR - da/dz]]*Table156[[#This Row],[OR - dz/dw1]]</f>
        <v>-1.2942140709289269E-6</v>
      </c>
      <c r="AN10" s="2">
        <f>Table156[[#This Row],[OR - dC/da]]*Table156[[#This Row],[OR - da/dz]]*Table156[[#This Row],[OR - dz/dw2]]</f>
        <v>-1.2942140709289269E-6</v>
      </c>
    </row>
    <row r="11" spans="2:40" x14ac:dyDescent="0.25">
      <c r="O11" t="s">
        <v>9</v>
      </c>
      <c r="V11" s="3"/>
      <c r="W11" s="3"/>
      <c r="X11" s="3">
        <f>SUBTOTAL(109,Table156[AND - Cost])</f>
        <v>1.4148648443161106E-3</v>
      </c>
      <c r="Y11" s="3">
        <f>SUBTOTAL(101,Table156[OR - Cost])</f>
        <v>3.1708876430056515E-4</v>
      </c>
      <c r="Z11" s="3"/>
      <c r="AA11" s="3"/>
      <c r="AB11" s="3"/>
      <c r="AC11" s="3"/>
      <c r="AI11" s="3">
        <f>SUBTOTAL(101,Table156[AND - dC/db])</f>
        <v>1.2262626242662219E-2</v>
      </c>
      <c r="AJ11" s="3">
        <f>SUBTOTAL(101,Table156[AND - dC/w1])</f>
        <v>-4.9416047619460549E-5</v>
      </c>
      <c r="AK11" s="3">
        <f>SUBTOTAL(101,Table156[AND - dC/w2])</f>
        <v>-4.9416047619496978E-5</v>
      </c>
      <c r="AL11" s="3">
        <f>SUBTOTAL(101,Table156[OR - dC/db])</f>
        <v>-1.6918397948743069E-3</v>
      </c>
      <c r="AM11" s="3">
        <f>SUBTOTAL(101,Table156[OR - dC/w1])</f>
        <v>-3.5615696687587533E-3</v>
      </c>
      <c r="AN11" s="3">
        <f>SUBTOTAL(101,Table156[OR - dC/w2])</f>
        <v>-3.5615696671927621E-3</v>
      </c>
    </row>
    <row r="14" spans="2:40" ht="75.75" x14ac:dyDescent="0.25">
      <c r="O14" s="4" t="s">
        <v>1</v>
      </c>
      <c r="P14" s="4" t="s">
        <v>0</v>
      </c>
      <c r="Q14" s="4" t="s">
        <v>25</v>
      </c>
      <c r="R14" s="4" t="s">
        <v>26</v>
      </c>
      <c r="S14" s="4" t="s">
        <v>43</v>
      </c>
      <c r="T14" s="4" t="s">
        <v>56</v>
      </c>
      <c r="U14" s="4" t="s">
        <v>44</v>
      </c>
      <c r="V14" s="4" t="s">
        <v>53</v>
      </c>
      <c r="W14" s="4" t="s">
        <v>54</v>
      </c>
      <c r="X14" s="4" t="s">
        <v>55</v>
      </c>
      <c r="Y14" s="4" t="s">
        <v>12</v>
      </c>
      <c r="Z14" s="4" t="s">
        <v>48</v>
      </c>
      <c r="AA14" s="4" t="s">
        <v>49</v>
      </c>
      <c r="AB14" s="4" t="s">
        <v>59</v>
      </c>
      <c r="AC14" s="4" t="s">
        <v>60</v>
      </c>
      <c r="AD14" s="4" t="s">
        <v>50</v>
      </c>
      <c r="AE14" s="4" t="s">
        <v>51</v>
      </c>
      <c r="AF14" s="4" t="s">
        <v>52</v>
      </c>
      <c r="AG14" s="4" t="s">
        <v>61</v>
      </c>
      <c r="AH14" s="4" t="s">
        <v>62</v>
      </c>
    </row>
    <row r="15" spans="2:40" x14ac:dyDescent="0.25">
      <c r="O15">
        <f>O3</f>
        <v>-1</v>
      </c>
      <c r="P15">
        <f>P3</f>
        <v>-1</v>
      </c>
      <c r="Q15">
        <f t="shared" ref="Q15:Q18" si="0">V3</f>
        <v>-0.99999999999984091</v>
      </c>
      <c r="R15">
        <f t="shared" ref="R15:R18" si="1">W3</f>
        <v>-0.99999359121796916</v>
      </c>
      <c r="S15">
        <f>S3</f>
        <v>-1</v>
      </c>
      <c r="T15">
        <f>bias_x+weight_1.0_x*Table1568[[#This Row],[AND - Output a]]+weight_1.1x*Table1568[[#This Row],[OR - Output a]]+Table1568[[#This Row],[Input A]]*weight_1.2_x+Table1568[[#This Row],[Input B]]*weight_1.2x</f>
        <v>-4.0307404002267955</v>
      </c>
      <c r="U15" s="6">
        <f>TANH(Table1568[[#This Row],[XOR - Sum Z]])</f>
        <v>-0.99936928031250516</v>
      </c>
      <c r="V15" s="5" cm="1">
        <f t="array" ref="V15">CostFunction(Table1568[[#This Row],[Expected XOR]],Table1568[[#This Row],[XOR - Output a]])</f>
        <v>3.9780732419358945E-7</v>
      </c>
      <c r="W15" s="5">
        <f>2*(Table1568[[#This Row],[XOR - Output a]]-Table1568[[#This Row],[Expected XOR]])</f>
        <v>1.2614393749896813E-3</v>
      </c>
      <c r="X15" s="5">
        <f>_xlfn.SECH(Table1568[[#This Row],[XOR - Output a]])</f>
        <v>0.64836558870703476</v>
      </c>
      <c r="Y15" s="6">
        <f>1</f>
        <v>1</v>
      </c>
      <c r="Z15" s="6">
        <f>Table1568[[#This Row],[AND - Output a]]</f>
        <v>-0.99999999999984091</v>
      </c>
      <c r="AA15" s="6">
        <f>Table1568[[#This Row],[OR - Output a]]</f>
        <v>-0.99999359121796916</v>
      </c>
      <c r="AB15" s="6">
        <f>Table1568[[#This Row],[Input A]]</f>
        <v>-1</v>
      </c>
      <c r="AC15" s="6">
        <f>Table1568[[#This Row],[Input A]]</f>
        <v>-1</v>
      </c>
      <c r="AD15" s="5">
        <f>Table1568[[#This Row],[XOR - dC/da]]*Table1568[[#This Row],[XOR - da/dz]]*Table1568[[#This Row],[dz/db]]</f>
        <v>8.1787388298341869E-4</v>
      </c>
      <c r="AE15" s="5">
        <f>Table1568[[#This Row],[XOR - dC/da]]*Table1568[[#This Row],[XOR - da/dz]]*Table1568[[#This Row],[XOR - dz/dw1]]</f>
        <v>-8.1787388298328859E-4</v>
      </c>
      <c r="AF15" s="5">
        <f>Table1568[[#This Row],[XOR - dC/da]]*Table1568[[#This Row],[XOR - da/dz]]*Table1568[[#This Row],[XOR - dz/dw2]]</f>
        <v>-8.1786864140797396E-4</v>
      </c>
      <c r="AG15" s="5">
        <f>Table1568[[#This Row],[XOR - dC/da]]*Table1568[[#This Row],[XOR - da/dz]]*Table1568[[#This Row],[XOR - dz/dw3]]</f>
        <v>-8.1787388298341869E-4</v>
      </c>
      <c r="AH15" s="5">
        <f>Table1568[[#This Row],[XOR - dC/da]]*Table1568[[#This Row],[XOR - da/dz]]*Table1568[[#This Row],[XOR - dz/dw4]]</f>
        <v>-8.1787388298341869E-4</v>
      </c>
    </row>
    <row r="16" spans="2:40" x14ac:dyDescent="0.25">
      <c r="O16">
        <f t="shared" ref="O16:P16" si="2">O4</f>
        <v>-1</v>
      </c>
      <c r="P16">
        <f t="shared" si="2"/>
        <v>1</v>
      </c>
      <c r="Q16">
        <f t="shared" si="0"/>
        <v>-0.98119512608262449</v>
      </c>
      <c r="R16">
        <f t="shared" si="1"/>
        <v>0.98653857464424266</v>
      </c>
      <c r="S16">
        <f t="shared" ref="S16:S22" si="3">S4</f>
        <v>1</v>
      </c>
      <c r="T16">
        <f>bias_x+weight_1.0_x*Table1568[[#This Row],[AND - Output a]]+weight_1.1x*Table1568[[#This Row],[OR - Output a]]+Table1568[[#This Row],[Input A]]*weight_1.2_x+Table1568[[#This Row],[Input B]]*weight_1.2x</f>
        <v>27.636624659333432</v>
      </c>
      <c r="U16" s="6">
        <f>TANH(Table1568[[#This Row],[XOR - Sum Z]])</f>
        <v>1</v>
      </c>
      <c r="V16" s="5" cm="1">
        <f t="array" ref="V16">CostFunction(Table1568[[#This Row],[Expected XOR]],Table1568[[#This Row],[XOR - Output a]])</f>
        <v>0</v>
      </c>
      <c r="W16" s="5">
        <f>2*(Table1568[[#This Row],[XOR - Output a]]-Table1568[[#This Row],[Expected XOR]])</f>
        <v>0</v>
      </c>
      <c r="X16" s="5">
        <f>_xlfn.SECH(Table1568[[#This Row],[XOR - Output a]])</f>
        <v>0.64805427366388546</v>
      </c>
      <c r="Y16" s="6">
        <f>1</f>
        <v>1</v>
      </c>
      <c r="Z16" s="6">
        <f>Table1568[[#This Row],[AND - Output a]]</f>
        <v>-0.98119512608262449</v>
      </c>
      <c r="AA16" s="6">
        <f>Table1568[[#This Row],[OR - Output a]]</f>
        <v>0.98653857464424266</v>
      </c>
      <c r="AB16" s="6">
        <f>Table1568[[#This Row],[Input A]]</f>
        <v>-1</v>
      </c>
      <c r="AC16" s="6">
        <f>Table1568[[#This Row],[Input A]]</f>
        <v>-1</v>
      </c>
      <c r="AD16" s="5">
        <f>Table1568[[#This Row],[XOR - dC/da]]*Table1568[[#This Row],[XOR - da/dz]]*Table1568[[#This Row],[dz/db]]</f>
        <v>0</v>
      </c>
      <c r="AE16" s="5">
        <f>Table1568[[#This Row],[XOR - dC/da]]*Table1568[[#This Row],[XOR - da/dz]]*Table1568[[#This Row],[XOR - dz/dw1]]</f>
        <v>0</v>
      </c>
      <c r="AF16" s="5">
        <f>Table1568[[#This Row],[XOR - dC/da]]*Table1568[[#This Row],[XOR - da/dz]]*Table1568[[#This Row],[XOR - dz/dw2]]</f>
        <v>0</v>
      </c>
      <c r="AG16" s="5">
        <f>Table1568[[#This Row],[XOR - dC/da]]*Table1568[[#This Row],[XOR - da/dz]]*Table1568[[#This Row],[XOR - dz/dw3]]</f>
        <v>0</v>
      </c>
      <c r="AH16" s="5">
        <f>Table1568[[#This Row],[XOR - dC/da]]*Table1568[[#This Row],[XOR - da/dz]]*Table1568[[#This Row],[XOR - dz/dw4]]</f>
        <v>0</v>
      </c>
    </row>
    <row r="17" spans="15:34" x14ac:dyDescent="0.25">
      <c r="O17">
        <f t="shared" ref="O17:P17" si="4">O5</f>
        <v>1</v>
      </c>
      <c r="P17">
        <f t="shared" si="4"/>
        <v>-1</v>
      </c>
      <c r="Q17">
        <f t="shared" si="0"/>
        <v>-0.98119512608262438</v>
      </c>
      <c r="R17">
        <f t="shared" si="1"/>
        <v>0.98653857464045425</v>
      </c>
      <c r="S17">
        <f t="shared" si="3"/>
        <v>1</v>
      </c>
      <c r="T17">
        <f>bias_x+weight_1.0_x*Table1568[[#This Row],[AND - Output a]]+weight_1.1x*Table1568[[#This Row],[OR - Output a]]+Table1568[[#This Row],[Input A]]*weight_1.2_x+Table1568[[#This Row],[Input B]]*weight_1.2x</f>
        <v>1.7870416578713524</v>
      </c>
      <c r="U17" s="6">
        <f>TANH(Table1568[[#This Row],[XOR - Sum Z]])</f>
        <v>0.94544747610908653</v>
      </c>
      <c r="V17" s="5" cm="1">
        <f t="array" ref="V17">CostFunction(Table1568[[#This Row],[Expected XOR]],Table1568[[#This Row],[XOR - Output a]])</f>
        <v>2.9759778628686852E-3</v>
      </c>
      <c r="W17" s="5">
        <f>2*(Table1568[[#This Row],[XOR - Output a]]-Table1568[[#This Row],[Expected XOR]])</f>
        <v>-0.10910504778182695</v>
      </c>
      <c r="X17" s="5">
        <f>_xlfn.SECH(Table1568[[#This Row],[XOR - Output a]])</f>
        <v>0.67511218651122284</v>
      </c>
      <c r="Y17" s="6">
        <f>1</f>
        <v>1</v>
      </c>
      <c r="Z17" s="6">
        <f>Table1568[[#This Row],[AND - Output a]]</f>
        <v>-0.98119512608262438</v>
      </c>
      <c r="AA17" s="6">
        <f>Table1568[[#This Row],[OR - Output a]]</f>
        <v>0.98653857464045425</v>
      </c>
      <c r="AB17" s="6">
        <f>Table1568[[#This Row],[Input A]]</f>
        <v>1</v>
      </c>
      <c r="AC17" s="6">
        <f>Table1568[[#This Row],[Input A]]</f>
        <v>1</v>
      </c>
      <c r="AD17" s="5">
        <f>Table1568[[#This Row],[XOR - dC/da]]*Table1568[[#This Row],[XOR - da/dz]]*Table1568[[#This Row],[dz/db]]</f>
        <v>-7.3658147367400631E-2</v>
      </c>
      <c r="AE17" s="5">
        <f>Table1568[[#This Row],[XOR - dC/da]]*Table1568[[#This Row],[XOR - da/dz]]*Table1568[[#This Row],[XOR - dz/dw1]]</f>
        <v>7.2273015193169185E-2</v>
      </c>
      <c r="AF17" s="5">
        <f>Table1568[[#This Row],[XOR - dC/da]]*Table1568[[#This Row],[XOR - da/dz]]*Table1568[[#This Row],[XOR - dz/dw2]]</f>
        <v>-7.2666603714491948E-2</v>
      </c>
      <c r="AG17" s="5">
        <f>Table1568[[#This Row],[XOR - dC/da]]*Table1568[[#This Row],[XOR - da/dz]]*Table1568[[#This Row],[XOR - dz/dw3]]</f>
        <v>-7.3658147367400631E-2</v>
      </c>
      <c r="AH17" s="5">
        <f>Table1568[[#This Row],[XOR - dC/da]]*Table1568[[#This Row],[XOR - da/dz]]*Table1568[[#This Row],[XOR - dz/dw4]]</f>
        <v>-7.3658147367400631E-2</v>
      </c>
    </row>
    <row r="18" spans="15:34" x14ac:dyDescent="0.25">
      <c r="O18">
        <f t="shared" ref="O18:P18" si="5">O6</f>
        <v>1</v>
      </c>
      <c r="P18">
        <f t="shared" si="5"/>
        <v>1</v>
      </c>
      <c r="Q18">
        <f t="shared" si="0"/>
        <v>0.99999999823483721</v>
      </c>
      <c r="R18">
        <f t="shared" si="1"/>
        <v>0.99999999970571718</v>
      </c>
      <c r="S18">
        <f t="shared" si="3"/>
        <v>-1</v>
      </c>
      <c r="T18">
        <f>bias_x+weight_1.0_x*Table1568[[#This Row],[AND - Output a]]+weight_1.1x*Table1568[[#This Row],[OR - Output a]]+Table1568[[#This Row],[Input A]]*weight_1.2_x+Table1568[[#This Row],[Input B]]*weight_1.2x</f>
        <v>-1.5491396675355205</v>
      </c>
      <c r="U18" s="6">
        <f>TANH(Table1568[[#This Row],[XOR - Sum Z]])</f>
        <v>-0.91364342698616452</v>
      </c>
      <c r="V18" s="5" cm="1">
        <f t="array" ref="V18">CostFunction(Table1568[[#This Row],[Expected XOR]],Table1568[[#This Row],[XOR - Output a]])</f>
        <v>7.4574577026938985E-3</v>
      </c>
      <c r="W18" s="5">
        <f>2*(Table1568[[#This Row],[XOR - Output a]]-Table1568[[#This Row],[Expected XOR]])</f>
        <v>0.17271314602767096</v>
      </c>
      <c r="X18" s="5">
        <f>_xlfn.SECH(Table1568[[#This Row],[XOR - Output a]])</f>
        <v>0.69097736590202941</v>
      </c>
      <c r="Y18" s="6">
        <f>1</f>
        <v>1</v>
      </c>
      <c r="Z18" s="6">
        <f>Table1568[[#This Row],[AND - Output a]]</f>
        <v>0.99999999823483721</v>
      </c>
      <c r="AA18" s="6">
        <f>Table1568[[#This Row],[OR - Output a]]</f>
        <v>0.99999999970571718</v>
      </c>
      <c r="AB18" s="6">
        <f>Table1568[[#This Row],[Input A]]</f>
        <v>1</v>
      </c>
      <c r="AC18" s="6">
        <f>Table1568[[#This Row],[Input A]]</f>
        <v>1</v>
      </c>
      <c r="AD18" s="5">
        <f>Table1568[[#This Row],[XOR - dC/da]]*Table1568[[#This Row],[XOR - da/dz]]*Table1568[[#This Row],[dz/db]]</f>
        <v>0.11934087469885263</v>
      </c>
      <c r="AE18" s="5">
        <f>Table1568[[#This Row],[XOR - dC/da]]*Table1568[[#This Row],[XOR - da/dz]]*Table1568[[#This Row],[XOR - dz/dw1]]</f>
        <v>0.11934087448819655</v>
      </c>
      <c r="AF18" s="5">
        <f>Table1568[[#This Row],[XOR - dC/da]]*Table1568[[#This Row],[XOR - da/dz]]*Table1568[[#This Row],[XOR - dz/dw2]]</f>
        <v>0.11934087466373267</v>
      </c>
      <c r="AG18" s="5">
        <f>Table1568[[#This Row],[XOR - dC/da]]*Table1568[[#This Row],[XOR - da/dz]]*Table1568[[#This Row],[XOR - dz/dw3]]</f>
        <v>0.11934087469885263</v>
      </c>
      <c r="AH18" s="5">
        <f>Table1568[[#This Row],[XOR - dC/da]]*Table1568[[#This Row],[XOR - da/dz]]*Table1568[[#This Row],[XOR - dz/dw4]]</f>
        <v>0.11934087469885263</v>
      </c>
    </row>
    <row r="19" spans="15:34" x14ac:dyDescent="0.25">
      <c r="O19">
        <f t="shared" ref="O19:P19" si="6">O7</f>
        <v>-0.5</v>
      </c>
      <c r="P19">
        <f t="shared" si="6"/>
        <v>-0.5</v>
      </c>
      <c r="Q19" s="3">
        <f>V3</f>
        <v>-0.99999999999984091</v>
      </c>
      <c r="R19" s="3">
        <f>W3</f>
        <v>-0.99999359121796916</v>
      </c>
      <c r="S19">
        <f t="shared" si="3"/>
        <v>-1</v>
      </c>
      <c r="T19">
        <f>bias_x+weight_1.0_x*Table1568[[#This Row],[AND - Output a]]+weight_1.1x*Table1568[[#This Row],[OR - Output a]]+Table1568[[#This Row],[Input A]]*weight_1.2_x+Table1568[[#This Row],[Input B]]*weight_1.2x</f>
        <v>-2.4236457187966227</v>
      </c>
      <c r="U19" s="6">
        <f>TANH(Table1568[[#This Row],[XOR - Sum Z]])</f>
        <v>-0.98442305307738165</v>
      </c>
      <c r="V19" s="5" cm="1">
        <f t="array" ref="V19">CostFunction(Table1568[[#This Row],[Expected XOR]],Table1568[[#This Row],[XOR - Output a]])</f>
        <v>2.4264127543006931E-4</v>
      </c>
      <c r="W19" s="5">
        <f>2*(Table1568[[#This Row],[XOR - Output a]]-Table1568[[#This Row],[Expected XOR]])</f>
        <v>3.1153893845236702E-2</v>
      </c>
      <c r="X19" s="5">
        <f>_xlfn.SECH(Table1568[[#This Row],[XOR - Output a]])</f>
        <v>0.65575444957517648</v>
      </c>
      <c r="Y19" s="6">
        <f>1</f>
        <v>1</v>
      </c>
      <c r="Z19" s="6">
        <f>Table1568[[#This Row],[AND - Output a]]</f>
        <v>-0.99999999999984091</v>
      </c>
      <c r="AA19" s="6">
        <f>Table1568[[#This Row],[OR - Output a]]</f>
        <v>-0.99999359121796916</v>
      </c>
      <c r="AB19" s="6">
        <f>Table1568[[#This Row],[Input A]]</f>
        <v>-0.5</v>
      </c>
      <c r="AC19" s="6">
        <f>Table1568[[#This Row],[Input A]]</f>
        <v>-0.5</v>
      </c>
      <c r="AD19" s="5">
        <f>Table1568[[#This Row],[XOR - dC/da]]*Table1568[[#This Row],[XOR - da/dz]]*Table1568[[#This Row],[dz/db]]</f>
        <v>2.042930451060667E-2</v>
      </c>
      <c r="AE19" s="5">
        <f>Table1568[[#This Row],[XOR - dC/da]]*Table1568[[#This Row],[XOR - da/dz]]*Table1568[[#This Row],[XOR - dz/dw1]]</f>
        <v>-2.0429304510603419E-2</v>
      </c>
      <c r="AF19" s="5">
        <f>Table1568[[#This Row],[XOR - dC/da]]*Table1568[[#This Row],[XOR - da/dz]]*Table1568[[#This Row],[XOR - dz/dw2]]</f>
        <v>-2.0429173583647021E-2</v>
      </c>
      <c r="AG19" s="5">
        <f>Table1568[[#This Row],[XOR - dC/da]]*Table1568[[#This Row],[XOR - da/dz]]*Table1568[[#This Row],[XOR - dz/dw3]]</f>
        <v>-1.0214652255303335E-2</v>
      </c>
      <c r="AH19" s="5">
        <f>Table1568[[#This Row],[XOR - dC/da]]*Table1568[[#This Row],[XOR - da/dz]]*Table1568[[#This Row],[XOR - dz/dw4]]</f>
        <v>-1.0214652255303335E-2</v>
      </c>
    </row>
    <row r="20" spans="15:34" x14ac:dyDescent="0.25">
      <c r="O20">
        <f t="shared" ref="O20:P20" si="7">O8</f>
        <v>-0.5</v>
      </c>
      <c r="P20">
        <f t="shared" si="7"/>
        <v>0.5</v>
      </c>
      <c r="Q20" s="3">
        <f>V6</f>
        <v>0.99999999823483721</v>
      </c>
      <c r="R20" s="3">
        <f>W6</f>
        <v>0.99999999970571718</v>
      </c>
      <c r="S20">
        <f t="shared" si="3"/>
        <v>1</v>
      </c>
      <c r="T20">
        <f>bias_x+weight_1.0_x*Table1568[[#This Row],[AND - Output a]]+weight_1.1x*Table1568[[#This Row],[OR - Output a]]+Table1568[[#This Row],[Input A]]*weight_1.2_x+Table1568[[#This Row],[Input B]]*weight_1.2x</f>
        <v>1.6990667199621621</v>
      </c>
      <c r="U20" s="6">
        <f>TANH(Table1568[[#This Row],[XOR - Sum Z]])</f>
        <v>0.9352922994791778</v>
      </c>
      <c r="V20" s="5" cm="1">
        <f t="array" ref="V20">CostFunction(Table1568[[#This Row],[Expected XOR]],Table1568[[#This Row],[XOR - Output a]])</f>
        <v>4.1870865066924133E-3</v>
      </c>
      <c r="W20" s="5">
        <f>2*(Table1568[[#This Row],[XOR - Output a]]-Table1568[[#This Row],[Expected XOR]])</f>
        <v>-0.1294154010416444</v>
      </c>
      <c r="X20" s="5">
        <f>_xlfn.SECH(Table1568[[#This Row],[XOR - Output a]])</f>
        <v>0.68017280236758049</v>
      </c>
      <c r="Y20" s="6">
        <f>1</f>
        <v>1</v>
      </c>
      <c r="Z20" s="6">
        <f>Table1568[[#This Row],[AND - Output a]]</f>
        <v>0.99999999823483721</v>
      </c>
      <c r="AA20" s="6">
        <f>Table1568[[#This Row],[OR - Output a]]</f>
        <v>0.99999999970571718</v>
      </c>
      <c r="AB20" s="6">
        <f>Table1568[[#This Row],[Input A]]</f>
        <v>-0.5</v>
      </c>
      <c r="AC20" s="6">
        <f>Table1568[[#This Row],[Input A]]</f>
        <v>-0.5</v>
      </c>
      <c r="AD20" s="5">
        <f>Table1568[[#This Row],[XOR - dC/da]]*Table1568[[#This Row],[XOR - da/dz]]*Table1568[[#This Row],[dz/db]]</f>
        <v>-8.8024835996019568E-2</v>
      </c>
      <c r="AE20" s="5">
        <f>Table1568[[#This Row],[XOR - dC/da]]*Table1568[[#This Row],[XOR - da/dz]]*Table1568[[#This Row],[XOR - dz/dw1]]</f>
        <v>-8.8024835840641399E-2</v>
      </c>
      <c r="AF20" s="5">
        <f>Table1568[[#This Row],[XOR - dC/da]]*Table1568[[#This Row],[XOR - da/dz]]*Table1568[[#This Row],[XOR - dz/dw2]]</f>
        <v>-8.8024835970115373E-2</v>
      </c>
      <c r="AG20" s="5">
        <f>Table1568[[#This Row],[XOR - dC/da]]*Table1568[[#This Row],[XOR - da/dz]]*Table1568[[#This Row],[XOR - dz/dw3]]</f>
        <v>4.4012417998009784E-2</v>
      </c>
      <c r="AH20" s="5">
        <f>Table1568[[#This Row],[XOR - dC/da]]*Table1568[[#This Row],[XOR - da/dz]]*Table1568[[#This Row],[XOR - dz/dw4]]</f>
        <v>4.4012417998009784E-2</v>
      </c>
    </row>
    <row r="21" spans="15:34" x14ac:dyDescent="0.25">
      <c r="O21">
        <f t="shared" ref="O21:P21" si="8">O9</f>
        <v>0.5</v>
      </c>
      <c r="P21">
        <f t="shared" si="8"/>
        <v>-0.5</v>
      </c>
      <c r="Q21" s="3">
        <f>V9</f>
        <v>-0.98119512608262438</v>
      </c>
      <c r="R21" s="3">
        <f>W9</f>
        <v>0.98653857464140127</v>
      </c>
      <c r="S21">
        <f t="shared" si="3"/>
        <v>1</v>
      </c>
      <c r="T21">
        <f>bias_x+weight_1.0_x*Table1568[[#This Row],[AND - Output a]]+weight_1.1x*Table1568[[#This Row],[OR - Output a]]+Table1568[[#This Row],[Input A]]*weight_1.2_x+Table1568[[#This Row],[Input B]]*weight_1.2x</f>
        <v>8.2494374082368722</v>
      </c>
      <c r="U21" s="6">
        <f>TANH(Table1568[[#This Row],[XOR - Sum Z]])</f>
        <v>0.99999986333425417</v>
      </c>
      <c r="V21" s="5" cm="1">
        <f t="array" ref="V21">CostFunction(Table1568[[#This Row],[Expected XOR]],Table1568[[#This Row],[XOR - Output a]])</f>
        <v>1.8677526083616173E-14</v>
      </c>
      <c r="W21" s="5">
        <f>2*(Table1568[[#This Row],[XOR - Output a]]-Table1568[[#This Row],[Expected XOR]])</f>
        <v>-2.7333149166253179E-7</v>
      </c>
      <c r="X21" s="5">
        <f>_xlfn.SECH(Table1568[[#This Row],[XOR - Output a]])</f>
        <v>0.64805434111585936</v>
      </c>
      <c r="Y21" s="6">
        <f>1</f>
        <v>1</v>
      </c>
      <c r="Z21" s="6">
        <f>Table1568[[#This Row],[AND - Output a]]</f>
        <v>-0.98119512608262438</v>
      </c>
      <c r="AA21" s="6">
        <f>Table1568[[#This Row],[OR - Output a]]</f>
        <v>0.98653857464140127</v>
      </c>
      <c r="AB21" s="6">
        <f>Table1568[[#This Row],[Input A]]</f>
        <v>0.5</v>
      </c>
      <c r="AC21" s="6">
        <f>Table1568[[#This Row],[Input A]]</f>
        <v>0.5</v>
      </c>
      <c r="AD21" s="5">
        <f>Table1568[[#This Row],[XOR - dC/da]]*Table1568[[#This Row],[XOR - da/dz]]*Table1568[[#This Row],[dz/db]]</f>
        <v>-1.7713365973557705E-7</v>
      </c>
      <c r="AE21" s="5">
        <f>Table1568[[#This Row],[XOR - dC/da]]*Table1568[[#This Row],[XOR - da/dz]]*Table1568[[#This Row],[XOR - dz/dw1]]</f>
        <v>1.7380268359772622E-7</v>
      </c>
      <c r="AF21" s="5">
        <f>Table1568[[#This Row],[XOR - dC/da]]*Table1568[[#This Row],[XOR - da/dz]]*Table1568[[#This Row],[XOR - dz/dw2]]</f>
        <v>-1.7474918819655116E-7</v>
      </c>
      <c r="AG21" s="5">
        <f>Table1568[[#This Row],[XOR - dC/da]]*Table1568[[#This Row],[XOR - da/dz]]*Table1568[[#This Row],[XOR - dz/dw3]]</f>
        <v>-8.8566829867788527E-8</v>
      </c>
      <c r="AH21" s="5">
        <f>Table1568[[#This Row],[XOR - dC/da]]*Table1568[[#This Row],[XOR - da/dz]]*Table1568[[#This Row],[XOR - dz/dw4]]</f>
        <v>-8.8566829867788527E-8</v>
      </c>
    </row>
    <row r="22" spans="15:34" x14ac:dyDescent="0.25">
      <c r="O22">
        <f t="shared" ref="O22:P22" si="9">O10</f>
        <v>0.5</v>
      </c>
      <c r="P22">
        <f t="shared" si="9"/>
        <v>0.5</v>
      </c>
      <c r="Q22" s="3">
        <f>V10</f>
        <v>0.99939031801771971</v>
      </c>
      <c r="R22" s="3">
        <f>W10</f>
        <v>0.99999800292636731</v>
      </c>
      <c r="S22">
        <f t="shared" si="3"/>
        <v>-1</v>
      </c>
      <c r="T22">
        <f>bias_x+weight_1.0_x*Table1568[[#This Row],[AND - Output a]]+weight_1.1x*Table1568[[#This Row],[OR - Output a]]+Table1568[[#This Row],[Input A]]*weight_1.2_x+Table1568[[#This Row],[Input B]]*weight_1.2x</f>
        <v>-3.1502242143424368</v>
      </c>
      <c r="U22" s="6">
        <f>TANH(Table1568[[#This Row],[XOR - Sum Z]])</f>
        <v>-0.99633576262016899</v>
      </c>
      <c r="V22" s="5" cm="1">
        <f t="array" ref="V22">CostFunction(Table1568[[#This Row],[Expected XOR]],Table1568[[#This Row],[XOR - Output a]])</f>
        <v>1.3426635575750859E-5</v>
      </c>
      <c r="W22" s="5">
        <f>2*(Table1568[[#This Row],[XOR - Output a]]-Table1568[[#This Row],[Expected XOR]])</f>
        <v>7.3284747596620292E-3</v>
      </c>
      <c r="X22" s="5">
        <f>_xlfn.SECH(Table1568[[#This Row],[XOR - Output a]])</f>
        <v>0.64986346410529583</v>
      </c>
      <c r="Y22" s="6">
        <f>1</f>
        <v>1</v>
      </c>
      <c r="Z22" s="6">
        <f>Table1568[[#This Row],[AND - Output a]]</f>
        <v>0.99939031801771971</v>
      </c>
      <c r="AA22" s="6">
        <f>Table1568[[#This Row],[OR - Output a]]</f>
        <v>0.99999800292636731</v>
      </c>
      <c r="AB22" s="6">
        <f>Table1568[[#This Row],[Input A]]</f>
        <v>0.5</v>
      </c>
      <c r="AC22" s="6">
        <f>Table1568[[#This Row],[Input A]]</f>
        <v>0.5</v>
      </c>
      <c r="AD22" s="5">
        <f>Table1568[[#This Row],[XOR - dC/da]]*Table1568[[#This Row],[XOR - da/dz]]*Table1568[[#This Row],[dz/db]]</f>
        <v>4.762507993922192E-3</v>
      </c>
      <c r="AE22" s="5">
        <f>Table1568[[#This Row],[XOR - dC/da]]*Table1568[[#This Row],[XOR - da/dz]]*Table1568[[#This Row],[XOR - dz/dw1]]</f>
        <v>4.7596043786078315E-3</v>
      </c>
      <c r="AF22" s="5">
        <f>Table1568[[#This Row],[XOR - dC/da]]*Table1568[[#This Row],[XOR - da/dz]]*Table1568[[#This Row],[XOR - dz/dw2]]</f>
        <v>4.7624984828430516E-3</v>
      </c>
      <c r="AG22" s="5">
        <f>Table1568[[#This Row],[XOR - dC/da]]*Table1568[[#This Row],[XOR - da/dz]]*Table1568[[#This Row],[XOR - dz/dw3]]</f>
        <v>2.381253996961096E-3</v>
      </c>
      <c r="AH22" s="5">
        <f>Table1568[[#This Row],[XOR - dC/da]]*Table1568[[#This Row],[XOR - da/dz]]*Table1568[[#This Row],[XOR - dz/dw4]]</f>
        <v>2.381253996961096E-3</v>
      </c>
    </row>
    <row r="23" spans="15:34" x14ac:dyDescent="0.25">
      <c r="Q23" t="s">
        <v>9</v>
      </c>
      <c r="U23" s="3"/>
      <c r="V23" s="3">
        <f>SUBTOTAL(109,Table1568[XOR - Cost])</f>
        <v>1.4876987790603688E-2</v>
      </c>
      <c r="W23" s="3"/>
      <c r="X23" s="3"/>
      <c r="AD23" s="3">
        <f>SUBTOTAL(101,Table1568[XOR - dC/db])</f>
        <v>-2.0415749263393776E-3</v>
      </c>
      <c r="AE23" s="3">
        <f>SUBTOTAL(101,Table1568[XOR - dC/w1])</f>
        <v>1.0887706703553631E-2</v>
      </c>
      <c r="AF23" s="3">
        <f>SUBTOTAL(101,Table1568[XOR - dC/w2])</f>
        <v>-7.2294104390343483E-3</v>
      </c>
      <c r="AG23" s="3">
        <f>SUBTOTAL(101,Table1568[XOR - dC/w12])</f>
        <v>1.0130473077663281E-2</v>
      </c>
      <c r="AH23" s="3">
        <f>SUBTOTAL(101,Table1568[XOR - dC/w23])</f>
        <v>1.0130473077663281E-2</v>
      </c>
    </row>
  </sheetData>
  <phoneticPr fontId="2" type="noConversion"/>
  <conditionalFormatting sqref="S15:S22 Q3:S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5:U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W1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35F7-2FED-47D2-BD9C-87EEF73B8E8B}">
  <dimension ref="B2:B3"/>
  <sheetViews>
    <sheetView workbookViewId="0">
      <selection activeCell="C2" sqref="C2"/>
    </sheetView>
  </sheetViews>
  <sheetFormatPr defaultRowHeight="15" x14ac:dyDescent="0.25"/>
  <sheetData>
    <row r="2" spans="2:2" x14ac:dyDescent="0.25">
      <c r="B2" t="s">
        <v>1</v>
      </c>
    </row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23</vt:i4>
      </vt:variant>
    </vt:vector>
  </HeadingPairs>
  <TitlesOfParts>
    <vt:vector size="27" baseType="lpstr">
      <vt:lpstr>SNN</vt:lpstr>
      <vt:lpstr>SNN (tanh)</vt:lpstr>
      <vt:lpstr>ANN (tanh)</vt:lpstr>
      <vt:lpstr>Sheet5</vt:lpstr>
      <vt:lpstr>'ANN (tanh)'!bias</vt:lpstr>
      <vt:lpstr>'SNN (tanh)'!bias</vt:lpstr>
      <vt:lpstr>bias</vt:lpstr>
      <vt:lpstr>'ANN (tanh)'!bias_o</vt:lpstr>
      <vt:lpstr>bias_o</vt:lpstr>
      <vt:lpstr>bias_x</vt:lpstr>
      <vt:lpstr>'ANN (tanh)'!learning_rate</vt:lpstr>
      <vt:lpstr>'SNN (tanh)'!learning_rate</vt:lpstr>
      <vt:lpstr>learning_rate</vt:lpstr>
      <vt:lpstr>'ANN (tanh)'!weight_1.0</vt:lpstr>
      <vt:lpstr>'SNN (tanh)'!weight_1.0</vt:lpstr>
      <vt:lpstr>weight_1.0</vt:lpstr>
      <vt:lpstr>weight_1.0_x</vt:lpstr>
      <vt:lpstr>'ANN (tanh)'!weight_1.1</vt:lpstr>
      <vt:lpstr>'SNN (tanh)'!weight_1.1</vt:lpstr>
      <vt:lpstr>weight_1.1</vt:lpstr>
      <vt:lpstr>weight_1.1x</vt:lpstr>
      <vt:lpstr>weight_1.2_x</vt:lpstr>
      <vt:lpstr>weight_1.2x</vt:lpstr>
      <vt:lpstr>'ANN (tanh)'!weight_o.0</vt:lpstr>
      <vt:lpstr>weight_o.0</vt:lpstr>
      <vt:lpstr>'ANN (tanh)'!weight_o.1</vt:lpstr>
      <vt:lpstr>weight_o.1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Whited</dc:creator>
  <cp:lastModifiedBy>Matt Whited</cp:lastModifiedBy>
  <dcterms:created xsi:type="dcterms:W3CDTF">2023-09-19T17:25:16Z</dcterms:created>
  <dcterms:modified xsi:type="dcterms:W3CDTF">2023-10-24T16:06:07Z</dcterms:modified>
</cp:coreProperties>
</file>