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o\github-mwyatt9214\myrepo\"/>
    </mc:Choice>
  </mc:AlternateContent>
  <bookViews>
    <workbookView xWindow="0" yWindow="0" windowWidth="16380" windowHeight="8190" tabRatio="993"/>
  </bookViews>
  <sheets>
    <sheet name="Analysis" sheetId="1" r:id="rId1"/>
    <sheet name="Features" sheetId="2" r:id="rId2"/>
    <sheet name="Insurance" sheetId="5" r:id="rId3"/>
    <sheet name="Sheet4" sheetId="4" r:id="rId4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2" i="1" l="1"/>
  <c r="E11" i="1"/>
  <c r="E13" i="1"/>
  <c r="E2" i="1"/>
  <c r="E8" i="1"/>
  <c r="E7" i="1"/>
  <c r="E1" i="1"/>
  <c r="C15" i="5"/>
  <c r="C16" i="5" s="1"/>
  <c r="D15" i="5"/>
  <c r="D16" i="5"/>
  <c r="B20" i="1"/>
  <c r="B17" i="1"/>
  <c r="B19" i="1"/>
  <c r="E14" i="1" s="1"/>
  <c r="E15" i="1" s="1"/>
  <c r="I35" i="2"/>
  <c r="F35" i="2"/>
  <c r="H35" i="2" s="1"/>
  <c r="H49" i="2"/>
  <c r="I49" i="2"/>
  <c r="D52" i="2"/>
  <c r="F49" i="2"/>
  <c r="H52" i="2" l="1"/>
  <c r="I52" i="2"/>
  <c r="F52" i="2"/>
  <c r="H51" i="2"/>
  <c r="I51" i="2"/>
  <c r="F51" i="2"/>
  <c r="H50" i="2" l="1"/>
  <c r="I50" i="2"/>
  <c r="F50" i="2"/>
  <c r="H48" i="2" l="1"/>
  <c r="I48" i="2"/>
  <c r="F48" i="2"/>
  <c r="I45" i="2"/>
  <c r="H45" i="2"/>
  <c r="F45" i="2"/>
  <c r="I46" i="2"/>
  <c r="H46" i="2"/>
  <c r="F46" i="2"/>
  <c r="I47" i="2"/>
  <c r="H47" i="2"/>
  <c r="F47" i="2"/>
  <c r="F62" i="2"/>
  <c r="D3" i="5"/>
  <c r="B7" i="1" s="1"/>
  <c r="D2" i="5"/>
  <c r="D8" i="5"/>
  <c r="H44" i="2"/>
  <c r="I44" i="2"/>
  <c r="F44" i="2"/>
  <c r="H24" i="2"/>
  <c r="I24" i="2"/>
  <c r="F24" i="2"/>
  <c r="G49" i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5" i="2"/>
  <c r="I26" i="2"/>
  <c r="I27" i="2"/>
  <c r="I28" i="2"/>
  <c r="I29" i="2"/>
  <c r="I30" i="2"/>
  <c r="I31" i="2"/>
  <c r="I32" i="2"/>
  <c r="I33" i="2"/>
  <c r="I34" i="2"/>
  <c r="I36" i="2"/>
  <c r="I37" i="2"/>
  <c r="I38" i="2"/>
  <c r="I39" i="2"/>
  <c r="I40" i="2"/>
  <c r="I41" i="2"/>
  <c r="I42" i="2"/>
  <c r="I43" i="2"/>
  <c r="I9" i="2"/>
  <c r="I53" i="2" l="1"/>
  <c r="H43" i="2"/>
  <c r="H42" i="2"/>
  <c r="F43" i="2"/>
  <c r="H41" i="2" l="1"/>
  <c r="F42" i="2"/>
  <c r="M12" i="2" s="1"/>
  <c r="F41" i="2"/>
  <c r="H40" i="2"/>
  <c r="F40" i="2"/>
  <c r="F39" i="2"/>
  <c r="H39" i="2" s="1"/>
  <c r="F28" i="2"/>
  <c r="H37" i="2" l="1"/>
  <c r="F37" i="2"/>
  <c r="F27" i="2" l="1"/>
  <c r="E9" i="1"/>
  <c r="H38" i="2"/>
  <c r="H36" i="2"/>
  <c r="H33" i="2"/>
  <c r="H32" i="2"/>
  <c r="H31" i="2"/>
  <c r="H30" i="2"/>
  <c r="H29" i="2"/>
  <c r="H28" i="2"/>
  <c r="H27" i="2"/>
  <c r="H26" i="2"/>
  <c r="H25" i="2"/>
  <c r="H22" i="2"/>
  <c r="H20" i="2"/>
  <c r="H19" i="2"/>
  <c r="H18" i="2"/>
  <c r="H17" i="2"/>
  <c r="H16" i="2"/>
  <c r="H15" i="2"/>
  <c r="H14" i="2"/>
  <c r="H13" i="2"/>
  <c r="H12" i="2"/>
  <c r="H11" i="2"/>
  <c r="H10" i="2"/>
  <c r="H9" i="2"/>
  <c r="F38" i="2"/>
  <c r="F36" i="2"/>
  <c r="F34" i="2"/>
  <c r="H34" i="2" s="1"/>
  <c r="F33" i="2"/>
  <c r="F32" i="2"/>
  <c r="F31" i="2"/>
  <c r="B35" i="1" l="1"/>
  <c r="E4" i="1" s="1"/>
  <c r="E3" i="1"/>
  <c r="F30" i="2"/>
  <c r="F26" i="2"/>
  <c r="F29" i="2"/>
  <c r="F25" i="2"/>
  <c r="F23" i="2"/>
  <c r="F21" i="2"/>
  <c r="H21" i="2" s="1"/>
  <c r="F20" i="2"/>
  <c r="F19" i="2"/>
  <c r="F18" i="2"/>
  <c r="F17" i="2"/>
  <c r="F16" i="2"/>
  <c r="F15" i="2"/>
  <c r="F14" i="2"/>
  <c r="F13" i="2"/>
  <c r="F12" i="2"/>
  <c r="F11" i="2"/>
  <c r="F10" i="2"/>
  <c r="F9" i="2"/>
  <c r="F53" i="2" l="1"/>
  <c r="B16" i="1" s="1"/>
  <c r="H23" i="2"/>
  <c r="H53" i="2" s="1"/>
  <c r="M9" i="2"/>
  <c r="M8" i="2"/>
  <c r="M10" i="2"/>
  <c r="M11" i="2"/>
  <c r="E5" i="1"/>
  <c r="E6" i="1" s="1"/>
  <c r="M7" i="1"/>
  <c r="B27" i="1" l="1"/>
  <c r="I5" i="2"/>
  <c r="H5" i="2"/>
  <c r="G5" i="2"/>
  <c r="F5" i="2"/>
  <c r="E5" i="2"/>
  <c r="D5" i="2"/>
  <c r="C5" i="2"/>
  <c r="B5" i="2"/>
  <c r="A5" i="2"/>
  <c r="M6" i="1"/>
  <c r="M8" i="1" s="1"/>
  <c r="H3" i="1"/>
  <c r="B3" i="1"/>
  <c r="O2" i="1"/>
  <c r="P2" i="1" s="1"/>
  <c r="Q2" i="1" s="1"/>
  <c r="B42" i="1" s="1"/>
  <c r="B44" i="1" s="1"/>
  <c r="K24" i="1" s="1"/>
  <c r="H2" i="1"/>
  <c r="K5" i="2" l="1"/>
  <c r="H7" i="1"/>
  <c r="H8" i="1" s="1"/>
  <c r="H9" i="1" s="1"/>
  <c r="J22" i="1"/>
  <c r="J24" i="1" s="1"/>
  <c r="H10" i="1" l="1"/>
  <c r="B36" i="1" l="1"/>
  <c r="B21" i="1" l="1"/>
</calcChain>
</file>

<file path=xl/comments1.xml><?xml version="1.0" encoding="utf-8"?>
<comments xmlns="http://schemas.openxmlformats.org/spreadsheetml/2006/main">
  <authors>
    <author/>
    <author>Matt Wyatt</author>
    <author>Matthew Wyatt</author>
  </authors>
  <commentList>
    <comment ref="Q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Matt Wyatt:
</t>
        </r>
        <r>
          <rPr>
            <sz val="9"/>
            <color rgb="FF000000"/>
            <rFont val="Tahoma"/>
            <family val="2"/>
            <charset val="1"/>
          </rPr>
          <t>https://www.mountainpassperformance.com/product/mpp-page-mill-365mm-big-brake-kit/</t>
        </r>
      </text>
    </comment>
    <comment ref="D9" authorId="0" shapeId="0">
      <text>
        <r>
          <rPr>
            <sz val="11"/>
            <color rgb="FF000000"/>
            <rFont val="Calibri"/>
            <family val="2"/>
            <charset val="1"/>
          </rPr>
          <t>250 for install,1900 for just wheels+tpc sensors</t>
        </r>
      </text>
    </comment>
    <comment ref="T9" authorId="1" shapeId="0">
      <text>
        <r>
          <rPr>
            <b/>
            <sz val="9"/>
            <color indexed="81"/>
            <rFont val="Tahoma"/>
            <family val="2"/>
          </rPr>
          <t>Matt Wyatt:</t>
        </r>
        <r>
          <rPr>
            <sz val="9"/>
            <color indexed="81"/>
            <rFont val="Tahoma"/>
            <family val="2"/>
          </rPr>
          <t xml:space="preserve">
all but windshield</t>
        </r>
      </text>
    </comment>
    <comment ref="D10" authorId="0" shapeId="0">
      <text>
        <r>
          <rPr>
            <sz val="11"/>
            <color rgb="FF000000"/>
            <rFont val="Calibri"/>
            <family val="2"/>
            <charset val="1"/>
          </rPr>
          <t>700 for install</t>
        </r>
      </text>
    </comment>
    <comment ref="O10" authorId="0" shapeId="0">
      <text>
        <r>
          <rPr>
            <sz val="11"/>
            <color rgb="FF000000"/>
            <rFont val="Calibri"/>
            <family val="2"/>
            <charset val="1"/>
          </rPr>
          <t>https://www.tirerack.com/tires/TireSearchResults.jsp?autoMake=Tesla&amp;autoYear=2018&amp;autoModel=Model+3&amp;autoModClar=Dual+Motor+All-Wheel+Drive&amp;frontWidth=235/&amp;frontRatio=35&amp;frontDiameter=20&amp;frontSortCode=59853&amp;rearWidth=275/&amp;rearRatio=30&amp;rearDiameter=20&amp;minSpeedRating=V&amp;rearSortCode=59999</t>
        </r>
      </text>
    </comment>
    <comment ref="P10" authorId="0" shapeId="0">
      <text>
        <r>
          <rPr>
            <sz val="11"/>
            <color rgb="FF000000"/>
            <rFont val="Calibri"/>
            <family val="2"/>
            <charset val="1"/>
          </rPr>
          <t>300 for install</t>
        </r>
      </text>
    </comment>
    <comment ref="D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Matt Wyatt:
</t>
        </r>
        <r>
          <rPr>
            <sz val="9"/>
            <color rgb="FF000000"/>
            <rFont val="Tahoma"/>
            <family val="2"/>
            <charset val="1"/>
          </rPr>
          <t>+100 for anything other than red</t>
        </r>
      </text>
    </comment>
    <comment ref="D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Matt Wyatt:
</t>
        </r>
        <r>
          <rPr>
            <sz val="9"/>
            <color rgb="FF000000"/>
            <rFont val="Tahoma"/>
            <family val="2"/>
            <charset val="1"/>
          </rPr>
          <t>For everything, 800 for lower quality tint)</t>
        </r>
      </text>
    </comment>
    <comment ref="C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Matt Wyatt:
</t>
        </r>
        <r>
          <rPr>
            <sz val="9"/>
            <color rgb="FF000000"/>
            <rFont val="Tahoma"/>
            <family val="2"/>
            <charset val="1"/>
          </rPr>
          <t>T logos are 200 each</t>
        </r>
      </text>
    </comment>
    <comment ref="D21" authorId="0" shapeId="0">
      <text>
        <r>
          <rPr>
            <sz val="11"/>
            <color rgb="FF000000"/>
            <rFont val="Calibri"/>
            <family val="2"/>
            <charset val="1"/>
          </rPr>
          <t>Front are 20x8.5, rear are 20 x 10</t>
        </r>
      </text>
    </comment>
    <comment ref="C22" authorId="2" shapeId="0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www.tirerack.com/tires/tires.jsp?tireMake=Michelin&amp;tireModel=Pilot+Sport+4S&amp;frontTire=335YR0PS4SXL&amp;rearTire=73YR0PS4SXL&amp;vehicleSearch=true&amp;fromCompare1=yes&amp;autoMake=Tesla&amp;autoYear=2018&amp;autoModel=Model%203%20With%20Staggered%20Tires&amp;autoModClar=</t>
        </r>
      </text>
    </comment>
    <comment ref="D22" authorId="0" shapeId="0">
      <text>
        <r>
          <rPr>
            <sz val="11"/>
            <color rgb="FF000000"/>
            <rFont val="Calibri"/>
            <family val="2"/>
            <charset val="1"/>
          </rPr>
          <t>https://www.tirerack.com/tires/TireSearchResults.jsp?autoMake=Tesla&amp;autoYear=2018&amp;autoModel=Model+3&amp;autoModClar=Dual+Motor+All-Wheel+Drive&amp;frontWidth=235/&amp;frontRatio=35&amp;frontDiameter=20&amp;frontSortCode=59853&amp;rearWidth=275/&amp;rearRatio=30&amp;rearDiameter=20&amp;minSpeedRating=V&amp;rearSortCode=59999</t>
        </r>
      </text>
    </comment>
    <comment ref="D23" authorId="0" shapeId="0">
      <text>
        <r>
          <rPr>
            <sz val="11"/>
            <color rgb="FF000000"/>
            <rFont val="Calibri"/>
            <family val="2"/>
            <charset val="1"/>
          </rPr>
          <t>300 for install</t>
        </r>
      </text>
    </comment>
    <comment ref="B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Matt Wyatt:
</t>
        </r>
        <r>
          <rPr>
            <sz val="9"/>
            <color rgb="FF000000"/>
            <rFont val="Tahoma"/>
            <family val="2"/>
            <charset val="1"/>
          </rPr>
          <t>https://www.mountainpassperformance.com/product/mpp-page-mill-365mm-big-brake-kit/</t>
        </r>
      </text>
    </comment>
    <comment ref="C29" authorId="1" shapeId="0">
      <text>
        <r>
          <rPr>
            <b/>
            <sz val="9"/>
            <color indexed="81"/>
            <rFont val="Tahoma"/>
            <family val="2"/>
          </rPr>
          <t>Matt Wyatt:</t>
        </r>
        <r>
          <rPr>
            <sz val="9"/>
            <color indexed="81"/>
            <rFont val="Tahoma"/>
            <family val="2"/>
          </rPr>
          <t xml:space="preserve">
all but windshield</t>
        </r>
      </text>
    </comment>
    <comment ref="C30" authorId="2" shapeId="0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https://www.amazon.com/Kenriko-Tesla-Model-Matte-Console/dp/B07CZL8ZR5</t>
        </r>
      </text>
    </comment>
    <comment ref="C36" authorId="2" shapeId="0">
      <text>
        <r>
          <rPr>
            <b/>
            <sz val="9"/>
            <color indexed="81"/>
            <rFont val="Tahoma"/>
            <charset val="1"/>
          </rPr>
          <t>https://www.amazon.com/Non-Slip-Performance-Accelerator-Aluminum-MECHCOS/dp/B079CZSS7V/ref=asc_df_B079CZSS7V/?tag=hyprod-20&amp;linkCode=df0&amp;hvadid=241869812613&amp;hvpos=1o1&amp;hvnetw=g&amp;hvrand=286769354747043308&amp;hvpone=&amp;hvptwo=&amp;hvqmt=&amp;hvdev=c&amp;hvdvcmdl=&amp;hvlocint=&amp;hvlocphy=9031926&amp;hvtargid=pla-490529111476&amp;psc=1</t>
        </r>
      </text>
    </comment>
    <comment ref="C37" authorId="2" shapeId="0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https://www.amazon.com/Gorilla-Automotive-78641N-Acorn-Thread/dp/B000CMH52W/ref=as_sl_pc_tf_til?tag=model3ownersc-20&amp;linkCode=w00&amp;linkId=&amp;creativeASIN=B000CMH52W</t>
        </r>
      </text>
    </comment>
    <comment ref="C38" authorId="2" shapeId="0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https://www.rpmtesla.com/collections/model-3-exterior-parts/products/model-3-windshield-wind-noise-reduction-kit</t>
        </r>
      </text>
    </comment>
    <comment ref="C39" authorId="2" shapeId="0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https://getjeda.com/product/jeda-wireless-pad/</t>
        </r>
      </text>
    </comment>
    <comment ref="C40" authorId="2" shapeId="0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https://evannex.com/products/cardrailstm-integrated-key-card-holder-for-tesla-model-3</t>
        </r>
      </text>
    </comment>
    <comment ref="C42" authorId="2" shapeId="0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https://insideevs.com/seasucker-bike-rack-tested-tesla-model-3/</t>
        </r>
      </text>
    </comment>
    <comment ref="C44" authorId="2" shapeId="0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https://www.reverselogic.us/tesla</t>
        </r>
      </text>
    </comment>
    <comment ref="C51" authorId="2" shapeId="0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https://www.amazon.com/dp/B07F27XFB7/ref=as_li_ss_tl?coliid=I1KAMM11G4F458&amp;colid=2AILEG0AAFICG&amp;psc=0&amp;ref_=lv_ov_lig_dp_it&amp;linkCode=sl1&amp;tag=electrek-20&amp;linkId=8e22251f1beb1f6c2c256f7dcb12894e&amp;language=en_US</t>
        </r>
      </text>
    </comment>
    <comment ref="C52" authorId="2" shapeId="0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https://www.autoanything.com/floor-mats/3d-maxpider-kagu-floor-mats   
https://www.amazon.com/gp/product/B07D61H81B/ref=s9_dcacsd_dcoop_bw_c_x_3_w</t>
        </r>
      </text>
    </comment>
  </commentList>
</comments>
</file>

<file path=xl/sharedStrings.xml><?xml version="1.0" encoding="utf-8"?>
<sst xmlns="http://schemas.openxmlformats.org/spreadsheetml/2006/main" count="270" uniqueCount="194">
  <si>
    <t>Total OutOfPocket</t>
  </si>
  <si>
    <t>Current Cash</t>
  </si>
  <si>
    <t>Pros</t>
  </si>
  <si>
    <t>Cons</t>
  </si>
  <si>
    <t>Carbon Offset</t>
  </si>
  <si>
    <t>Potential miles/year</t>
  </si>
  <si>
    <t>km/year</t>
  </si>
  <si>
    <t>g/year</t>
  </si>
  <si>
    <t>kg/month</t>
  </si>
  <si>
    <t>APR</t>
  </si>
  <si>
    <t>Total Financed</t>
  </si>
  <si>
    <t>BOA</t>
  </si>
  <si>
    <t>Long TermSavings</t>
  </si>
  <si>
    <t>no outside investment</t>
  </si>
  <si>
    <t>g/km</t>
  </si>
  <si>
    <t>Gas and Fuel (last 12 months)</t>
  </si>
  <si>
    <t>Total Interest</t>
  </si>
  <si>
    <t>Schwab</t>
  </si>
  <si>
    <t>self driving</t>
  </si>
  <si>
    <t>trip</t>
  </si>
  <si>
    <t>commute</t>
  </si>
  <si>
    <t>work days</t>
  </si>
  <si>
    <t>external miles/week</t>
  </si>
  <si>
    <t>weeks/year</t>
  </si>
  <si>
    <t>Car Maintenance (last 12 months)</t>
  </si>
  <si>
    <t>Total Repaid</t>
  </si>
  <si>
    <t>etrade</t>
  </si>
  <si>
    <t>fast</t>
  </si>
  <si>
    <t>wedding</t>
  </si>
  <si>
    <t>Down Payment</t>
  </si>
  <si>
    <t>Total Current Car Fixed Costs</t>
  </si>
  <si>
    <t>bonus</t>
  </si>
  <si>
    <t>tax credit</t>
  </si>
  <si>
    <t>house</t>
  </si>
  <si>
    <t>Car Cost</t>
  </si>
  <si>
    <t>Total Car Differential Savings</t>
  </si>
  <si>
    <t>gains now to delivery</t>
  </si>
  <si>
    <t>supercharging</t>
  </si>
  <si>
    <t>bike</t>
  </si>
  <si>
    <t>Actual Commute Miles</t>
  </si>
  <si>
    <t>Loan Term</t>
  </si>
  <si>
    <t>Tax</t>
  </si>
  <si>
    <t>gross total</t>
  </si>
  <si>
    <t>ActualExternal Miles</t>
  </si>
  <si>
    <t>California EV Incentive</t>
  </si>
  <si>
    <t>Raw Total</t>
  </si>
  <si>
    <t>minus Out of Pocket</t>
  </si>
  <si>
    <t>Federal EV Incentive</t>
  </si>
  <si>
    <t>minus Proterra Costs</t>
  </si>
  <si>
    <t>PGE Credit</t>
  </si>
  <si>
    <t>Net total Cash Remaining</t>
  </si>
  <si>
    <t>Current Car Trade-in value</t>
  </si>
  <si>
    <t xml:space="preserve">Honda Motorcycle </t>
  </si>
  <si>
    <t>KTM Motorcycle</t>
  </si>
  <si>
    <t>Net Cost/Month</t>
  </si>
  <si>
    <t>Post 72/month</t>
  </si>
  <si>
    <t>5 Year Savings</t>
  </si>
  <si>
    <t>5 Year Carbon Offset Contribution</t>
  </si>
  <si>
    <t>Monthly  Interest</t>
  </si>
  <si>
    <t>Interest Rate</t>
  </si>
  <si>
    <t>Carbon Offset(kg/month)</t>
  </si>
  <si>
    <t>Carbon Offset Price/1000 lbs</t>
  </si>
  <si>
    <t>Carbon Offset Equivalent Personally/Month</t>
  </si>
  <si>
    <t>Stock Options</t>
  </si>
  <si>
    <t>Base</t>
  </si>
  <si>
    <t>Dual Motor</t>
  </si>
  <si>
    <t>Premium Interior</t>
  </si>
  <si>
    <t>performance base</t>
  </si>
  <si>
    <t>Performance+</t>
  </si>
  <si>
    <t>Paint</t>
  </si>
  <si>
    <t>Long Range Battery</t>
  </si>
  <si>
    <t>Auto Pilot</t>
  </si>
  <si>
    <t>Full Self Driving</t>
  </si>
  <si>
    <t>Totals</t>
  </si>
  <si>
    <t>0,-5000</t>
  </si>
  <si>
    <t>0,-10000</t>
  </si>
  <si>
    <t>0,-1000</t>
  </si>
  <si>
    <t>0,-9000</t>
  </si>
  <si>
    <t>0,-3000</t>
  </si>
  <si>
    <t>After Market Options</t>
  </si>
  <si>
    <t>Supplier</t>
  </si>
  <si>
    <t>Tsportline</t>
  </si>
  <si>
    <t>OCD</t>
  </si>
  <si>
    <t>Wheel Direct</t>
  </si>
  <si>
    <t>Tire Rack</t>
  </si>
  <si>
    <t>Unplugged Performance</t>
  </si>
  <si>
    <t>Mountain Pass</t>
  </si>
  <si>
    <t>Gsdetailing</t>
  </si>
  <si>
    <t>wheels/tires</t>
  </si>
  <si>
    <t>lowering springs</t>
  </si>
  <si>
    <t>brake caliper change</t>
  </si>
  <si>
    <t>tinting</t>
  </si>
  <si>
    <t>protection film</t>
  </si>
  <si>
    <t>chrome delete</t>
  </si>
  <si>
    <t>tinting(sides)</t>
  </si>
  <si>
    <t>Tinting windshield front</t>
  </si>
  <si>
    <t>Tinting windshield rear</t>
  </si>
  <si>
    <t>protection film 3m(front)</t>
  </si>
  <si>
    <t>Protection Film, ceramic(full body)</t>
  </si>
  <si>
    <t>turbine wheels</t>
  </si>
  <si>
    <t>Springs</t>
  </si>
  <si>
    <t>BBK</t>
  </si>
  <si>
    <t>Ceramic coating</t>
  </si>
  <si>
    <t>https://github.com/mwyatt9214/myrepo.git</t>
  </si>
  <si>
    <t>personal</t>
  </si>
  <si>
    <t>https://github.gatech.edu/gt-omscs-se-2018fall/6300Fall18Team95.git</t>
  </si>
  <si>
    <t>team</t>
  </si>
  <si>
    <t>https://github.gatech.edu/gt-omscs-se-2018fall/6300Fall18mwyatt30.git</t>
  </si>
  <si>
    <t>indv school</t>
  </si>
  <si>
    <t>Auto Pro Films</t>
  </si>
  <si>
    <t>front façade film</t>
  </si>
  <si>
    <t>tint</t>
  </si>
  <si>
    <t>Net Total Cost</t>
  </si>
  <si>
    <t>Provider</t>
  </si>
  <si>
    <t>Geico</t>
  </si>
  <si>
    <t>15/30 bodily injury</t>
  </si>
  <si>
    <t>15 prop damage</t>
  </si>
  <si>
    <t>15/30 uninsured motorist</t>
  </si>
  <si>
    <t>AAA</t>
  </si>
  <si>
    <t>25 prop damage</t>
  </si>
  <si>
    <t>100 ded Comp</t>
  </si>
  <si>
    <t>1000 ded Collision</t>
  </si>
  <si>
    <t>Insurance Differential/Year</t>
  </si>
  <si>
    <t>Rear Camber Arms</t>
  </si>
  <si>
    <t>console wrap</t>
  </si>
  <si>
    <t>amazon</t>
  </si>
  <si>
    <t>Abstract Ocean</t>
  </si>
  <si>
    <t>Dash Wrap carbon fiber</t>
  </si>
  <si>
    <t>logo decals carbon fiber</t>
  </si>
  <si>
    <t>door handle vinyls carbon</t>
  </si>
  <si>
    <t>screen protector</t>
  </si>
  <si>
    <t>performance pedals</t>
  </si>
  <si>
    <t>Bought</t>
  </si>
  <si>
    <t>Cost</t>
  </si>
  <si>
    <t>Fees</t>
  </si>
  <si>
    <t>Existing Deposits</t>
  </si>
  <si>
    <t>windnoise reduction kit</t>
  </si>
  <si>
    <t>RPM</t>
  </si>
  <si>
    <t>wheel locks</t>
  </si>
  <si>
    <t>Monthly Payment Principal</t>
  </si>
  <si>
    <t>Monthly Interest</t>
  </si>
  <si>
    <t>Monthly Payment Ammortized</t>
  </si>
  <si>
    <t>wireless charging pad</t>
  </si>
  <si>
    <t>card rail for key</t>
  </si>
  <si>
    <t>evvanex</t>
  </si>
  <si>
    <t>chargeport skins</t>
  </si>
  <si>
    <t>evannex</t>
  </si>
  <si>
    <t>bike rack suction cup</t>
  </si>
  <si>
    <t>seasucker</t>
  </si>
  <si>
    <t>J1772 adapter</t>
  </si>
  <si>
    <t>Tesla</t>
  </si>
  <si>
    <t>Category</t>
  </si>
  <si>
    <t>Performance</t>
  </si>
  <si>
    <t>Category 2</t>
  </si>
  <si>
    <t>Aesthetic</t>
  </si>
  <si>
    <t>Comfort</t>
  </si>
  <si>
    <t>Maintenance</t>
  </si>
  <si>
    <t>Efficiency</t>
  </si>
  <si>
    <t>Functionality</t>
  </si>
  <si>
    <t>Credit</t>
  </si>
  <si>
    <t>Cash</t>
  </si>
  <si>
    <t>Brake Pads</t>
  </si>
  <si>
    <t>code:undecided</t>
  </si>
  <si>
    <t>reverse logic</t>
  </si>
  <si>
    <t>jack pads</t>
  </si>
  <si>
    <t>Delta/year</t>
  </si>
  <si>
    <t>just model 3</t>
  </si>
  <si>
    <t>model +mazda</t>
  </si>
  <si>
    <t>132/month</t>
  </si>
  <si>
    <t>165/month</t>
  </si>
  <si>
    <t>Michelin pilot sport 4s</t>
  </si>
  <si>
    <t>handwash stuff</t>
  </si>
  <si>
    <t>elite finish</t>
  </si>
  <si>
    <t>wheels and tires</t>
  </si>
  <si>
    <t>alignment and camber adjustment</t>
  </si>
  <si>
    <t>normal alignment</t>
  </si>
  <si>
    <t>custom alignment</t>
  </si>
  <si>
    <t>alignment</t>
  </si>
  <si>
    <t>Funtionality</t>
  </si>
  <si>
    <t>Speed Element Tuning</t>
  </si>
  <si>
    <t>Wheel Mount and Balance</t>
  </si>
  <si>
    <t>nomad</t>
  </si>
  <si>
    <t>Door sill clear vinyl</t>
  </si>
  <si>
    <t>floor mats</t>
  </si>
  <si>
    <t>autoanything.com</t>
  </si>
  <si>
    <t>Springs install</t>
  </si>
  <si>
    <t>P3D logo</t>
  </si>
  <si>
    <t>After Market Parts(Want)</t>
  </si>
  <si>
    <t>After Market Parts(Spent)</t>
  </si>
  <si>
    <t>Date of Purchase</t>
  </si>
  <si>
    <t>Current Date</t>
  </si>
  <si>
    <t>Actual Raw Total</t>
  </si>
  <si>
    <t>Current Payed Total Towards Loan</t>
  </si>
  <si>
    <t>Remaining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</si>
</sst>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\$#,##0.00_);[Red]&quot;($&quot;#,##0.00\)"/>
    <numFmt numFmtId="168" formatCode="#,##0.0000000000;[Red]#,##0.0000000000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0" fontId="0" fillId="0" borderId="0" xfId="0" applyNumberFormat="1"/>
    <xf numFmtId="0" fontId="1" fillId="0" borderId="3" xfId="0" applyFont="1" applyBorder="1"/>
    <xf numFmtId="164" fontId="1" fillId="0" borderId="3" xfId="0" applyNumberFormat="1" applyFont="1" applyBorder="1"/>
    <xf numFmtId="0" fontId="0" fillId="0" borderId="0" xfId="0" applyFont="1" applyAlignment="1">
      <alignment wrapText="1"/>
    </xf>
    <xf numFmtId="164" fontId="0" fillId="0" borderId="0" xfId="0" applyNumberFormat="1"/>
    <xf numFmtId="0" fontId="1" fillId="0" borderId="4" xfId="0" applyFont="1" applyBorder="1"/>
    <xf numFmtId="164" fontId="1" fillId="0" borderId="4" xfId="0" applyNumberFormat="1" applyFont="1" applyBorder="1"/>
    <xf numFmtId="164" fontId="0" fillId="0" borderId="4" xfId="0" applyNumberFormat="1" applyBorder="1"/>
    <xf numFmtId="0" fontId="0" fillId="0" borderId="0" xfId="0" applyFont="1" applyBorder="1"/>
    <xf numFmtId="164" fontId="0" fillId="0" borderId="0" xfId="0" applyNumberFormat="1" applyBorder="1"/>
    <xf numFmtId="0" fontId="1" fillId="0" borderId="6" xfId="0" applyFont="1" applyBorder="1"/>
    <xf numFmtId="164" fontId="1" fillId="0" borderId="6" xfId="0" applyNumberFormat="1" applyFont="1" applyBorder="1"/>
    <xf numFmtId="0" fontId="0" fillId="0" borderId="6" xfId="0" applyFont="1" applyBorder="1"/>
    <xf numFmtId="0" fontId="0" fillId="0" borderId="3" xfId="0" applyBorder="1"/>
    <xf numFmtId="0" fontId="0" fillId="0" borderId="2" xfId="0" applyBorder="1"/>
    <xf numFmtId="164" fontId="0" fillId="0" borderId="1" xfId="0" applyNumberFormat="1" applyBorder="1"/>
    <xf numFmtId="164" fontId="1" fillId="0" borderId="7" xfId="0" applyNumberFormat="1" applyFont="1" applyBorder="1"/>
    <xf numFmtId="0" fontId="0" fillId="0" borderId="7" xfId="0" applyBorder="1"/>
    <xf numFmtId="10" fontId="0" fillId="0" borderId="3" xfId="0" applyNumberFormat="1" applyBorder="1"/>
    <xf numFmtId="164" fontId="0" fillId="0" borderId="3" xfId="0" applyNumberFormat="1" applyBorder="1"/>
    <xf numFmtId="10" fontId="0" fillId="0" borderId="4" xfId="0" applyNumberFormat="1" applyBorder="1"/>
    <xf numFmtId="0" fontId="8" fillId="0" borderId="4" xfId="0" applyFont="1" applyFill="1" applyBorder="1"/>
    <xf numFmtId="0" fontId="1" fillId="0" borderId="2" xfId="0" applyFont="1" applyFill="1" applyBorder="1"/>
    <xf numFmtId="14" fontId="0" fillId="0" borderId="0" xfId="0" applyNumberFormat="1" applyFill="1"/>
    <xf numFmtId="0" fontId="2" fillId="0" borderId="0" xfId="0" applyFont="1" applyFill="1"/>
    <xf numFmtId="0" fontId="3" fillId="0" borderId="4" xfId="0" applyFont="1" applyFill="1" applyBorder="1"/>
    <xf numFmtId="0" fontId="2" fillId="0" borderId="5" xfId="0" applyFont="1" applyFill="1" applyBorder="1"/>
    <xf numFmtId="3" fontId="3" fillId="0" borderId="4" xfId="0" applyNumberFormat="1" applyFont="1" applyFill="1" applyBorder="1"/>
    <xf numFmtId="0" fontId="2" fillId="0" borderId="4" xfId="0" applyFont="1" applyFill="1" applyBorder="1"/>
    <xf numFmtId="0" fontId="1" fillId="0" borderId="5" xfId="0" applyFont="1" applyFill="1" applyBorder="1"/>
    <xf numFmtId="0" fontId="0" fillId="0" borderId="4" xfId="0" applyFill="1" applyBorder="1"/>
    <xf numFmtId="164" fontId="0" fillId="0" borderId="4" xfId="0" applyNumberFormat="1" applyFill="1" applyBorder="1"/>
    <xf numFmtId="164" fontId="0" fillId="0" borderId="4" xfId="0" applyNumberFormat="1" applyFont="1" applyFill="1" applyBorder="1"/>
    <xf numFmtId="0" fontId="1" fillId="0" borderId="4" xfId="0" applyFont="1" applyFill="1" applyBorder="1"/>
    <xf numFmtId="164" fontId="1" fillId="0" borderId="4" xfId="0" applyNumberFormat="1" applyFont="1" applyFill="1" applyBorder="1"/>
    <xf numFmtId="0" fontId="1" fillId="0" borderId="8" xfId="0" applyFont="1" applyFill="1" applyBorder="1"/>
    <xf numFmtId="164" fontId="0" fillId="0" borderId="0" xfId="0" applyNumberFormat="1" applyFill="1" applyBorder="1"/>
    <xf numFmtId="0" fontId="0" fillId="0" borderId="0" xfId="0" applyFont="1" applyFill="1" applyBorder="1"/>
    <xf numFmtId="0" fontId="8" fillId="0" borderId="4" xfId="0" applyFont="1" applyBorder="1"/>
    <xf numFmtId="8" fontId="0" fillId="0" borderId="0" xfId="0" applyNumberFormat="1"/>
    <xf numFmtId="14" fontId="0" fillId="0" borderId="0" xfId="0" applyNumberFormat="1" applyBorder="1"/>
    <xf numFmtId="168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AfterMarket</a:t>
            </a:r>
            <a:r>
              <a:rPr lang="en-US" baseline="0"/>
              <a:t> by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Features!$L$8:$L$12</c:f>
              <c:strCache>
                <c:ptCount val="5"/>
                <c:pt idx="0">
                  <c:v>Performance</c:v>
                </c:pt>
                <c:pt idx="1">
                  <c:v>Aesthetic</c:v>
                </c:pt>
                <c:pt idx="2">
                  <c:v>Comfort</c:v>
                </c:pt>
                <c:pt idx="3">
                  <c:v>Maintenance</c:v>
                </c:pt>
                <c:pt idx="4">
                  <c:v>Functionality</c:v>
                </c:pt>
              </c:strCache>
            </c:strRef>
          </c:cat>
          <c:val>
            <c:numRef>
              <c:f>Features!$M$8:$M$12</c:f>
              <c:numCache>
                <c:formatCode>\$#,##0.00_);[Red]"($"#,##0.00\)</c:formatCode>
                <c:ptCount val="5"/>
                <c:pt idx="0">
                  <c:v>-3348.2200000000003</c:v>
                </c:pt>
                <c:pt idx="1">
                  <c:v>0</c:v>
                </c:pt>
                <c:pt idx="2">
                  <c:v>-150</c:v>
                </c:pt>
                <c:pt idx="3">
                  <c:v>-1276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71-4A64-8329-11A20DD679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2012832"/>
        <c:axId val="432013224"/>
        <c:axId val="0"/>
      </c:bar3DChart>
      <c:catAx>
        <c:axId val="4320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13224"/>
        <c:crosses val="autoZero"/>
        <c:auto val="1"/>
        <c:lblAlgn val="ctr"/>
        <c:lblOffset val="100"/>
        <c:noMultiLvlLbl val="0"/>
      </c:catAx>
      <c:valAx>
        <c:axId val="43201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\$#,##0.00_);[Red]&quot;(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1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726356</xdr:colOff>
      <xdr:row>50</xdr:row>
      <xdr:rowOff>1961</xdr:rowOff>
    </xdr:to>
    <xdr:sp macro="" textlink="">
      <xdr:nvSpPr>
        <xdr:cNvPr id="2" name="CustomShape 1" hidden="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726356</xdr:colOff>
      <xdr:row>50</xdr:row>
      <xdr:rowOff>1961</xdr:rowOff>
    </xdr:to>
    <xdr:sp macro="" textlink="">
      <xdr:nvSpPr>
        <xdr:cNvPr id="3" name="CustomShape 1" hidden="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726356</xdr:colOff>
      <xdr:row>50</xdr:row>
      <xdr:rowOff>1961</xdr:rowOff>
    </xdr:to>
    <xdr:sp macro="" textlink="">
      <xdr:nvSpPr>
        <xdr:cNvPr id="4" name="CustomShape 1" hidden="1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726356</xdr:colOff>
      <xdr:row>50</xdr:row>
      <xdr:rowOff>1961</xdr:rowOff>
    </xdr:to>
    <xdr:sp macro="" textlink="">
      <xdr:nvSpPr>
        <xdr:cNvPr id="5" name="CustomShape 1" hidden="1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726356</xdr:colOff>
      <xdr:row>50</xdr:row>
      <xdr:rowOff>1961</xdr:rowOff>
    </xdr:to>
    <xdr:sp macro="" textlink="">
      <xdr:nvSpPr>
        <xdr:cNvPr id="6" name="CustomShape 1" hidden="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726356</xdr:colOff>
      <xdr:row>50</xdr:row>
      <xdr:rowOff>1961</xdr:rowOff>
    </xdr:to>
    <xdr:sp macro="" textlink="">
      <xdr:nvSpPr>
        <xdr:cNvPr id="7" name="CustomShape 1" hidden="1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726356</xdr:colOff>
      <xdr:row>50</xdr:row>
      <xdr:rowOff>1961</xdr:rowOff>
    </xdr:to>
    <xdr:sp macro="" textlink="">
      <xdr:nvSpPr>
        <xdr:cNvPr id="8" name="CustomShape 1" hidden="1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726356</xdr:colOff>
      <xdr:row>50</xdr:row>
      <xdr:rowOff>1961</xdr:rowOff>
    </xdr:to>
    <xdr:sp macro="" textlink="">
      <xdr:nvSpPr>
        <xdr:cNvPr id="9" name="CustomShape 1" hidden="1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75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=""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75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=""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75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=""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75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=""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75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=""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75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=""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75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=""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75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=""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75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=""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5950</xdr:colOff>
      <xdr:row>14</xdr:row>
      <xdr:rowOff>72033</xdr:rowOff>
    </xdr:from>
    <xdr:to>
      <xdr:col>13</xdr:col>
      <xdr:colOff>506013</xdr:colOff>
      <xdr:row>30</xdr:row>
      <xdr:rowOff>136327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D52A36F2-0B21-44D2-92A4-2994C2403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zoomScale="80" zoomScaleNormal="80" workbookViewId="0">
      <selection activeCell="D17" sqref="D17"/>
    </sheetView>
  </sheetViews>
  <sheetFormatPr defaultRowHeight="15" x14ac:dyDescent="0.25"/>
  <cols>
    <col min="1" max="1" width="44.42578125" bestFit="1" customWidth="1"/>
    <col min="2" max="2" width="12.5703125"/>
    <col min="3" max="3" width="11.5703125"/>
    <col min="4" max="4" width="32.140625" bestFit="1" customWidth="1"/>
    <col min="5" max="5" width="18.7109375" bestFit="1" customWidth="1"/>
    <col min="6" max="6" width="11.28515625"/>
    <col min="7" max="7" width="25.42578125"/>
    <col min="8" max="8" width="12.140625"/>
    <col min="9" max="9" width="8.5703125"/>
    <col min="10" max="10" width="17.140625"/>
    <col min="11" max="11" width="28"/>
    <col min="12" max="12" width="23.7109375"/>
    <col min="13" max="13" width="9.7109375"/>
    <col min="14" max="14" width="21.85546875"/>
    <col min="15" max="15" width="12.5703125"/>
    <col min="16" max="1025" width="8.5703125"/>
  </cols>
  <sheetData>
    <row r="1" spans="1:17" ht="15.75" thickBot="1" x14ac:dyDescent="0.3">
      <c r="D1" s="1" t="s">
        <v>0</v>
      </c>
      <c r="E1" s="2">
        <f>B5+SUM(B13:B16)</f>
        <v>-30762.22</v>
      </c>
      <c r="G1" s="25" t="s">
        <v>1</v>
      </c>
      <c r="H1" s="26">
        <v>43359</v>
      </c>
      <c r="J1" t="s">
        <v>2</v>
      </c>
      <c r="K1" t="s">
        <v>3</v>
      </c>
      <c r="L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 x14ac:dyDescent="0.25">
      <c r="A2" t="s">
        <v>9</v>
      </c>
      <c r="B2" s="3">
        <v>0.02</v>
      </c>
      <c r="D2" s="4" t="s">
        <v>10</v>
      </c>
      <c r="E2" s="5">
        <f>B6-B5+E9+B12+E10</f>
        <v>-45226.75</v>
      </c>
      <c r="G2" s="27" t="s">
        <v>11</v>
      </c>
      <c r="H2" s="28">
        <f>16925.18+2502.38</f>
        <v>19427.560000000001</v>
      </c>
      <c r="J2" t="s">
        <v>12</v>
      </c>
      <c r="K2" t="s">
        <v>13</v>
      </c>
      <c r="L2" s="6">
        <v>224</v>
      </c>
      <c r="M2" t="s">
        <v>14</v>
      </c>
      <c r="N2">
        <v>20000</v>
      </c>
      <c r="O2">
        <f>1.60934*N2</f>
        <v>32186.799999999999</v>
      </c>
      <c r="P2">
        <f>O2*L2</f>
        <v>7209843.2000000002</v>
      </c>
      <c r="Q2">
        <f>(P2/12)/1000</f>
        <v>600.82026666666673</v>
      </c>
    </row>
    <row r="3" spans="1:17" x14ac:dyDescent="0.25">
      <c r="A3" t="s">
        <v>15</v>
      </c>
      <c r="B3" s="7">
        <f>-2397.43+B1-B1</f>
        <v>-2397.4299999999998</v>
      </c>
      <c r="D3" s="41" t="s">
        <v>139</v>
      </c>
      <c r="E3" s="9">
        <f>E2/B8</f>
        <v>-628.14930555555554</v>
      </c>
      <c r="G3" s="29" t="s">
        <v>17</v>
      </c>
      <c r="H3" s="28">
        <f>10276.33+783.19</f>
        <v>11059.52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</row>
    <row r="4" spans="1:17" x14ac:dyDescent="0.25">
      <c r="A4" t="s">
        <v>24</v>
      </c>
      <c r="B4" s="7">
        <v>-1122</v>
      </c>
      <c r="D4" s="41" t="s">
        <v>140</v>
      </c>
      <c r="E4" s="9">
        <f>B35-E3</f>
        <v>-38.9652421246426</v>
      </c>
      <c r="G4" s="29" t="s">
        <v>26</v>
      </c>
      <c r="H4" s="28">
        <v>13720</v>
      </c>
      <c r="J4" t="s">
        <v>27</v>
      </c>
      <c r="K4" t="s">
        <v>28</v>
      </c>
      <c r="L4">
        <v>50</v>
      </c>
      <c r="M4">
        <v>275</v>
      </c>
      <c r="N4">
        <v>50</v>
      </c>
      <c r="O4">
        <v>52</v>
      </c>
    </row>
    <row r="5" spans="1:17" x14ac:dyDescent="0.25">
      <c r="A5" t="s">
        <v>29</v>
      </c>
      <c r="B5" s="7">
        <v>-30000</v>
      </c>
      <c r="D5" s="8" t="s">
        <v>16</v>
      </c>
      <c r="E5" s="9">
        <f>E4*72</f>
        <v>-2805.4974329742672</v>
      </c>
      <c r="G5" s="29" t="s">
        <v>31</v>
      </c>
      <c r="H5" s="30">
        <v>15000</v>
      </c>
      <c r="J5" t="s">
        <v>32</v>
      </c>
      <c r="K5" t="s">
        <v>33</v>
      </c>
    </row>
    <row r="6" spans="1:17" x14ac:dyDescent="0.25">
      <c r="A6" t="s">
        <v>34</v>
      </c>
      <c r="B6" s="7">
        <v>-71700</v>
      </c>
      <c r="D6" s="8" t="s">
        <v>25</v>
      </c>
      <c r="E6" s="9">
        <f>E2+E5</f>
        <v>-48032.247432974269</v>
      </c>
      <c r="G6" s="31" t="s">
        <v>36</v>
      </c>
      <c r="H6" s="28">
        <v>6800</v>
      </c>
      <c r="J6" t="s">
        <v>37</v>
      </c>
      <c r="K6" t="s">
        <v>38</v>
      </c>
      <c r="L6" t="s">
        <v>39</v>
      </c>
      <c r="M6">
        <f>L4*M4</f>
        <v>13750</v>
      </c>
    </row>
    <row r="7" spans="1:17" x14ac:dyDescent="0.25">
      <c r="A7" t="s">
        <v>122</v>
      </c>
      <c r="B7" s="7">
        <f>Insurance!D3</f>
        <v>-337.79999999999995</v>
      </c>
      <c r="D7" s="8" t="s">
        <v>30</v>
      </c>
      <c r="E7" s="9">
        <f>(ABS(B3+B4)+B7)/12*B8</f>
        <v>19089.78</v>
      </c>
      <c r="G7" s="32" t="s">
        <v>42</v>
      </c>
      <c r="H7" s="33">
        <f>SUM(H2:H6)</f>
        <v>66007.08</v>
      </c>
      <c r="L7" t="s">
        <v>43</v>
      </c>
      <c r="M7">
        <f>N4*O4</f>
        <v>2600</v>
      </c>
    </row>
    <row r="8" spans="1:17" x14ac:dyDescent="0.25">
      <c r="A8" t="s">
        <v>40</v>
      </c>
      <c r="B8">
        <v>72</v>
      </c>
      <c r="D8" s="8" t="s">
        <v>35</v>
      </c>
      <c r="E8" s="9">
        <f>E7+B9+B10+B11</f>
        <v>29589.78</v>
      </c>
      <c r="G8" s="32" t="s">
        <v>46</v>
      </c>
      <c r="H8" s="34">
        <f>H7+E1</f>
        <v>35244.86</v>
      </c>
      <c r="M8">
        <f>SUM(M6:M7)</f>
        <v>16350</v>
      </c>
    </row>
    <row r="9" spans="1:17" x14ac:dyDescent="0.25">
      <c r="A9" t="s">
        <v>44</v>
      </c>
      <c r="B9" s="7">
        <v>2500</v>
      </c>
      <c r="D9" s="8" t="s">
        <v>41</v>
      </c>
      <c r="E9" s="9">
        <f>0.0875*B6</f>
        <v>-6273.75</v>
      </c>
      <c r="G9" s="32" t="s">
        <v>48</v>
      </c>
      <c r="H9" s="35">
        <f>H8-15000</f>
        <v>20244.86</v>
      </c>
    </row>
    <row r="10" spans="1:17" x14ac:dyDescent="0.25">
      <c r="A10" t="s">
        <v>47</v>
      </c>
      <c r="B10" s="7">
        <v>7500</v>
      </c>
      <c r="D10" s="38" t="s">
        <v>134</v>
      </c>
      <c r="E10" s="9">
        <v>-753</v>
      </c>
      <c r="G10" s="36" t="s">
        <v>50</v>
      </c>
      <c r="H10" s="37">
        <f>H9</f>
        <v>20244.86</v>
      </c>
    </row>
    <row r="11" spans="1:17" x14ac:dyDescent="0.25">
      <c r="A11" t="s">
        <v>49</v>
      </c>
      <c r="B11" s="7">
        <v>500</v>
      </c>
      <c r="D11" s="8" t="s">
        <v>45</v>
      </c>
      <c r="E11" s="9">
        <f>B6+E9+E5+B16+E10</f>
        <v>-86731.46743297427</v>
      </c>
    </row>
    <row r="12" spans="1:17" x14ac:dyDescent="0.25">
      <c r="A12" t="s">
        <v>135</v>
      </c>
      <c r="B12" s="7">
        <v>3500</v>
      </c>
      <c r="D12" s="38" t="s">
        <v>191</v>
      </c>
      <c r="E12" s="9">
        <f>-75226.75-B12+B16</f>
        <v>-83925.97</v>
      </c>
      <c r="G12" s="42"/>
    </row>
    <row r="13" spans="1:17" x14ac:dyDescent="0.25">
      <c r="A13" t="s">
        <v>51</v>
      </c>
      <c r="B13" s="7">
        <v>3437</v>
      </c>
      <c r="D13" s="24" t="s">
        <v>112</v>
      </c>
      <c r="E13" s="9">
        <f>E11+E8</f>
        <v>-57141.687432974271</v>
      </c>
    </row>
    <row r="14" spans="1:17" x14ac:dyDescent="0.25">
      <c r="A14" t="s">
        <v>52</v>
      </c>
      <c r="B14" s="7">
        <v>1000</v>
      </c>
      <c r="D14" s="24" t="s">
        <v>192</v>
      </c>
      <c r="E14" s="9">
        <f ca="1">((MONTH(B19-B18)-1)*(B35))</f>
        <v>-667.11454768019814</v>
      </c>
    </row>
    <row r="15" spans="1:17" x14ac:dyDescent="0.25">
      <c r="A15" t="s">
        <v>53</v>
      </c>
      <c r="B15" s="7">
        <v>0</v>
      </c>
      <c r="D15" s="9" t="s">
        <v>193</v>
      </c>
      <c r="E15" s="9">
        <f ca="1">E2-E14</f>
        <v>-44559.635452319802</v>
      </c>
    </row>
    <row r="16" spans="1:17" s="11" customFormat="1" x14ac:dyDescent="0.25">
      <c r="A16" s="11" t="s">
        <v>187</v>
      </c>
      <c r="B16" s="12">
        <f>Features!F53</f>
        <v>-5199.22</v>
      </c>
      <c r="E16" s="44"/>
    </row>
    <row r="17" spans="1:11" s="11" customFormat="1" x14ac:dyDescent="0.25">
      <c r="A17" s="40" t="s">
        <v>188</v>
      </c>
      <c r="B17" s="12">
        <f>Features!H53</f>
        <v>-4599.22</v>
      </c>
    </row>
    <row r="18" spans="1:11" s="11" customFormat="1" x14ac:dyDescent="0.25">
      <c r="A18" s="40" t="s">
        <v>189</v>
      </c>
      <c r="B18" s="43">
        <v>43374</v>
      </c>
    </row>
    <row r="19" spans="1:11" s="11" customFormat="1" ht="15.75" thickBot="1" x14ac:dyDescent="0.3">
      <c r="A19" s="40" t="s">
        <v>190</v>
      </c>
      <c r="B19" s="43">
        <f ca="1">TODAY()</f>
        <v>43423</v>
      </c>
    </row>
    <row r="20" spans="1:11" s="15" customFormat="1" ht="15.75" thickBot="1" x14ac:dyDescent="0.3">
      <c r="A20" s="13" t="s">
        <v>54</v>
      </c>
      <c r="B20" s="14">
        <f>(E6+E8)/B8</f>
        <v>-256.14538101353151</v>
      </c>
      <c r="C20" s="15" t="s">
        <v>40</v>
      </c>
    </row>
    <row r="21" spans="1:11" x14ac:dyDescent="0.25">
      <c r="B21" s="5">
        <f>B20</f>
        <v>-256.14538101353151</v>
      </c>
      <c r="C21" s="16">
        <v>12</v>
      </c>
      <c r="D21" s="16">
        <v>24</v>
      </c>
      <c r="E21" s="16">
        <v>36</v>
      </c>
      <c r="F21" s="16">
        <v>48</v>
      </c>
      <c r="G21" s="16">
        <v>60</v>
      </c>
      <c r="H21" s="16">
        <v>72</v>
      </c>
      <c r="J21" t="s">
        <v>55</v>
      </c>
    </row>
    <row r="22" spans="1:11" x14ac:dyDescent="0.25">
      <c r="A22" t="s">
        <v>34</v>
      </c>
      <c r="B22" s="10">
        <v>-40000</v>
      </c>
      <c r="C22" s="10">
        <v>52.560833333333299</v>
      </c>
      <c r="D22" s="10">
        <v>156.72749999999999</v>
      </c>
      <c r="E22" s="10">
        <v>191.44972222222199</v>
      </c>
      <c r="F22" s="10">
        <v>208.81083333333299</v>
      </c>
      <c r="G22" s="10">
        <v>219.22749999999999</v>
      </c>
      <c r="H22" s="10">
        <v>226.17194444444399</v>
      </c>
      <c r="J22" s="7">
        <f>ABS((B3+B4)/12)</f>
        <v>293.2858333333333</v>
      </c>
    </row>
    <row r="23" spans="1:11" x14ac:dyDescent="0.25">
      <c r="B23" s="10">
        <v>-50000</v>
      </c>
      <c r="C23" s="10">
        <v>-870.05791666666698</v>
      </c>
      <c r="D23" s="10">
        <v>-317.97458333333299</v>
      </c>
      <c r="E23" s="10">
        <v>-133.94680555555601</v>
      </c>
      <c r="F23" s="10">
        <v>-41.932916666666699</v>
      </c>
      <c r="G23" s="10">
        <v>13.275416666666599</v>
      </c>
      <c r="H23" s="10">
        <v>50.080972222222201</v>
      </c>
      <c r="J23" t="s">
        <v>56</v>
      </c>
      <c r="K23" t="s">
        <v>57</v>
      </c>
    </row>
    <row r="24" spans="1:11" x14ac:dyDescent="0.25">
      <c r="B24" s="10">
        <v>-60000</v>
      </c>
      <c r="C24" s="10">
        <v>-1792.6766666666699</v>
      </c>
      <c r="D24" s="10">
        <v>-792.67666666666696</v>
      </c>
      <c r="E24" s="10">
        <v>-459.34333333333302</v>
      </c>
      <c r="F24" s="10">
        <v>-292.67666666666702</v>
      </c>
      <c r="G24" s="10">
        <v>-192.67666666666699</v>
      </c>
      <c r="H24" s="10">
        <v>-126.01</v>
      </c>
      <c r="J24" s="7">
        <f>J22*120</f>
        <v>35194.299999999996</v>
      </c>
      <c r="K24">
        <f>60*B44</f>
        <v>472.87614243637466</v>
      </c>
    </row>
    <row r="25" spans="1:11" x14ac:dyDescent="0.25">
      <c r="B25" s="10">
        <v>-70000</v>
      </c>
      <c r="C25" s="10">
        <v>-2715.29541666667</v>
      </c>
      <c r="D25" s="10">
        <v>-1267.3787500000001</v>
      </c>
      <c r="E25" s="10">
        <v>-784.73986111111105</v>
      </c>
      <c r="F25" s="10">
        <v>-543.42041666666705</v>
      </c>
      <c r="G25" s="10">
        <v>-398.62875000000003</v>
      </c>
      <c r="H25" s="10">
        <v>-302.10097222222203</v>
      </c>
    </row>
    <row r="26" spans="1:11" s="17" customFormat="1" x14ac:dyDescent="0.25">
      <c r="B26" s="18">
        <v>-80000</v>
      </c>
      <c r="C26" s="18">
        <v>-3637.9141666666701</v>
      </c>
      <c r="D26" s="18">
        <v>-1742.08083333333</v>
      </c>
      <c r="E26" s="18">
        <v>-1110.13638888889</v>
      </c>
      <c r="F26" s="18">
        <v>-794.16416666666703</v>
      </c>
      <c r="G26" s="18">
        <v>-604.58083333333298</v>
      </c>
      <c r="H26" s="18">
        <v>-478.191944444444</v>
      </c>
    </row>
    <row r="27" spans="1:11" s="15" customFormat="1" x14ac:dyDescent="0.25">
      <c r="A27" s="13" t="s">
        <v>58</v>
      </c>
      <c r="B27" s="19">
        <f>E4</f>
        <v>-38.9652421246426</v>
      </c>
      <c r="C27" s="20">
        <v>12</v>
      </c>
      <c r="D27" s="20">
        <v>24</v>
      </c>
      <c r="E27" s="20">
        <v>36</v>
      </c>
      <c r="F27" s="20">
        <v>48</v>
      </c>
      <c r="G27" s="20">
        <v>60</v>
      </c>
      <c r="H27" s="20">
        <v>72</v>
      </c>
    </row>
    <row r="28" spans="1:11" x14ac:dyDescent="0.25">
      <c r="A28" t="s">
        <v>59</v>
      </c>
      <c r="B28" s="21">
        <v>0.03</v>
      </c>
      <c r="C28" s="22">
        <v>-114.46875</v>
      </c>
      <c r="D28" s="22">
        <v>-114.46875</v>
      </c>
      <c r="E28" s="22">
        <v>-114.46875</v>
      </c>
      <c r="F28" s="22">
        <v>-114.46875</v>
      </c>
      <c r="G28" s="22">
        <v>-114.46875</v>
      </c>
      <c r="H28" s="22">
        <v>-114.46875</v>
      </c>
    </row>
    <row r="29" spans="1:11" x14ac:dyDescent="0.25">
      <c r="B29" s="23">
        <v>3.5000000000000003E-2</v>
      </c>
      <c r="C29" s="10">
        <v>-133.546875</v>
      </c>
      <c r="D29" s="10">
        <v>-133.546875</v>
      </c>
      <c r="E29" s="10">
        <v>-133.546875</v>
      </c>
      <c r="F29" s="10">
        <v>-133.546875</v>
      </c>
      <c r="G29" s="10">
        <v>-133.546875</v>
      </c>
      <c r="H29" s="10">
        <v>-133.546875</v>
      </c>
    </row>
    <row r="30" spans="1:11" x14ac:dyDescent="0.25">
      <c r="B30" s="23">
        <v>0.04</v>
      </c>
      <c r="C30" s="10">
        <v>-152.625</v>
      </c>
      <c r="D30" s="10">
        <v>-152.625</v>
      </c>
      <c r="E30" s="10">
        <v>-152.625</v>
      </c>
      <c r="F30" s="10">
        <v>-152.625</v>
      </c>
      <c r="G30" s="10">
        <v>-152.625</v>
      </c>
      <c r="H30" s="10">
        <v>-152.625</v>
      </c>
    </row>
    <row r="31" spans="1:11" x14ac:dyDescent="0.25">
      <c r="B31" s="23">
        <v>4.4999999999999998E-2</v>
      </c>
      <c r="C31" s="10">
        <v>-171.703125</v>
      </c>
      <c r="D31" s="10">
        <v>-171.703125</v>
      </c>
      <c r="E31" s="10">
        <v>-171.703125</v>
      </c>
      <c r="F31" s="10">
        <v>-171.703125</v>
      </c>
      <c r="G31" s="10">
        <v>-171.703125</v>
      </c>
      <c r="H31" s="10">
        <v>-171.703125</v>
      </c>
    </row>
    <row r="32" spans="1:11" x14ac:dyDescent="0.25">
      <c r="B32" s="23">
        <v>0.05</v>
      </c>
      <c r="C32" s="10">
        <v>-190.78125</v>
      </c>
      <c r="D32" s="10">
        <v>-190.78125</v>
      </c>
      <c r="E32" s="10">
        <v>-190.78125</v>
      </c>
      <c r="F32" s="10">
        <v>-190.78125</v>
      </c>
      <c r="G32" s="10">
        <v>-190.78125</v>
      </c>
      <c r="H32" s="10">
        <v>-190.78125</v>
      </c>
    </row>
    <row r="33" spans="1:8" x14ac:dyDescent="0.25">
      <c r="B33" s="23">
        <v>5.5E-2</v>
      </c>
      <c r="C33" s="10">
        <v>-209.859375</v>
      </c>
      <c r="D33" s="10">
        <v>-209.859375</v>
      </c>
      <c r="E33" s="10">
        <v>-209.859375</v>
      </c>
      <c r="F33" s="10">
        <v>-209.859375</v>
      </c>
      <c r="G33" s="10">
        <v>-209.859375</v>
      </c>
      <c r="H33" s="10">
        <v>-209.859375</v>
      </c>
    </row>
    <row r="34" spans="1:8" ht="15.75" thickBot="1" x14ac:dyDescent="0.3">
      <c r="B34" s="23">
        <v>0.06</v>
      </c>
      <c r="C34" s="10">
        <v>-228.9375</v>
      </c>
      <c r="D34" s="10">
        <v>-228.9375</v>
      </c>
      <c r="E34" s="10">
        <v>-228.9375</v>
      </c>
      <c r="F34" s="10">
        <v>-228.9375</v>
      </c>
      <c r="G34" s="10">
        <v>-228.9375</v>
      </c>
      <c r="H34" s="10">
        <v>-228.9375</v>
      </c>
    </row>
    <row r="35" spans="1:8" s="15" customFormat="1" ht="15.75" thickBot="1" x14ac:dyDescent="0.3">
      <c r="A35" s="13" t="s">
        <v>141</v>
      </c>
      <c r="B35" s="14">
        <f>-1*PMT(B2/12,B8,E2)</f>
        <v>-667.11454768019814</v>
      </c>
      <c r="C35" s="15" t="s">
        <v>40</v>
      </c>
    </row>
    <row r="36" spans="1:8" x14ac:dyDescent="0.25">
      <c r="B36" s="5">
        <f>B35</f>
        <v>-667.11454768019814</v>
      </c>
      <c r="C36" s="16">
        <v>12</v>
      </c>
      <c r="D36" s="16">
        <v>24</v>
      </c>
      <c r="E36" s="16">
        <v>36</v>
      </c>
      <c r="F36" s="16">
        <v>48</v>
      </c>
      <c r="G36" s="16">
        <v>60</v>
      </c>
      <c r="H36" s="16">
        <v>72</v>
      </c>
    </row>
    <row r="37" spans="1:8" x14ac:dyDescent="0.25">
      <c r="A37" t="s">
        <v>34</v>
      </c>
      <c r="B37" s="10">
        <v>-40000</v>
      </c>
      <c r="C37" s="10">
        <v>-1115.7249999999999</v>
      </c>
      <c r="D37" s="10">
        <v>-574.05833333333305</v>
      </c>
      <c r="E37" s="10">
        <v>-393.50277777777802</v>
      </c>
      <c r="F37" s="10">
        <v>-303.22500000000002</v>
      </c>
      <c r="G37" s="10">
        <v>-249.058333333333</v>
      </c>
      <c r="H37" s="10">
        <v>-212.947222222222</v>
      </c>
    </row>
    <row r="38" spans="1:8" x14ac:dyDescent="0.25">
      <c r="B38" s="10">
        <v>-50000</v>
      </c>
      <c r="C38" s="10">
        <v>-2038.34375</v>
      </c>
      <c r="D38" s="10">
        <v>-1048.7604166666699</v>
      </c>
      <c r="E38" s="10">
        <v>-718.899305555556</v>
      </c>
      <c r="F38" s="10">
        <v>-553.96875</v>
      </c>
      <c r="G38" s="10">
        <v>-455.01041666666703</v>
      </c>
      <c r="H38" s="10">
        <v>-389.038194444444</v>
      </c>
    </row>
    <row r="39" spans="1:8" x14ac:dyDescent="0.25">
      <c r="B39" s="10">
        <v>-60000</v>
      </c>
      <c r="C39" s="10">
        <v>-2960.9625000000001</v>
      </c>
      <c r="D39" s="10">
        <v>-1523.4625000000001</v>
      </c>
      <c r="E39" s="10">
        <v>-1044.2958333333299</v>
      </c>
      <c r="F39" s="10">
        <v>-804.71249999999998</v>
      </c>
      <c r="G39" s="10">
        <v>-660.96249999999998</v>
      </c>
      <c r="H39" s="10">
        <v>-565.12916666666695</v>
      </c>
    </row>
    <row r="40" spans="1:8" x14ac:dyDescent="0.25">
      <c r="B40" s="10">
        <v>-70000</v>
      </c>
      <c r="C40" s="10">
        <v>-3883.5812500000002</v>
      </c>
      <c r="D40" s="10">
        <v>-1998.16458333333</v>
      </c>
      <c r="E40" s="10">
        <v>-1369.6923611111099</v>
      </c>
      <c r="F40" s="10">
        <v>-1055.45625</v>
      </c>
      <c r="G40" s="10">
        <v>-866.91458333333298</v>
      </c>
      <c r="H40" s="10">
        <v>-741.22013888888898</v>
      </c>
    </row>
    <row r="41" spans="1:8" s="17" customFormat="1" x14ac:dyDescent="0.25">
      <c r="B41" s="18">
        <v>-80000</v>
      </c>
      <c r="C41" s="10">
        <v>-4806.2</v>
      </c>
      <c r="D41" s="18">
        <v>-2472.86666666667</v>
      </c>
      <c r="E41" s="18">
        <v>-1695.0888888888901</v>
      </c>
      <c r="F41" s="18">
        <v>-1306.2</v>
      </c>
      <c r="G41" s="18">
        <v>-1072.86666666667</v>
      </c>
      <c r="H41" s="18">
        <v>-917.31111111111102</v>
      </c>
    </row>
    <row r="42" spans="1:8" x14ac:dyDescent="0.25">
      <c r="A42" t="s">
        <v>60</v>
      </c>
      <c r="B42">
        <f>Q2</f>
        <v>600.82026666666673</v>
      </c>
    </row>
    <row r="43" spans="1:8" x14ac:dyDescent="0.25">
      <c r="A43" t="s">
        <v>61</v>
      </c>
      <c r="B43">
        <v>5.95</v>
      </c>
    </row>
    <row r="44" spans="1:8" x14ac:dyDescent="0.25">
      <c r="A44" t="s">
        <v>62</v>
      </c>
      <c r="B44">
        <f>(B43/1000)*(1000/453.592)*B42</f>
        <v>7.8812690406062442</v>
      </c>
    </row>
    <row r="47" spans="1:8" x14ac:dyDescent="0.25">
      <c r="F47">
        <v>53000</v>
      </c>
      <c r="G47">
        <v>67000</v>
      </c>
    </row>
    <row r="48" spans="1:8" x14ac:dyDescent="0.25">
      <c r="F48">
        <v>32000</v>
      </c>
      <c r="G48">
        <v>100000</v>
      </c>
    </row>
    <row r="49" spans="7:7" x14ac:dyDescent="0.25">
      <c r="G49">
        <f>(G47*F47)+(G48*F48)</f>
        <v>6751000000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2"/>
  <sheetViews>
    <sheetView topLeftCell="A7" zoomScale="80" zoomScaleNormal="80" workbookViewId="0">
      <selection activeCell="F29" sqref="F29"/>
    </sheetView>
  </sheetViews>
  <sheetFormatPr defaultRowHeight="15" x14ac:dyDescent="0.25"/>
  <cols>
    <col min="1" max="1" width="25.28515625" bestFit="1" customWidth="1"/>
    <col min="2" max="2" width="35.7109375" bestFit="1" customWidth="1"/>
    <col min="3" max="3" width="35.28515625" bestFit="1" customWidth="1"/>
    <col min="4" max="4" width="19.7109375"/>
    <col min="5" max="5" width="16.42578125"/>
    <col min="6" max="6" width="17.5703125"/>
    <col min="7" max="7" width="18.140625"/>
    <col min="8" max="8" width="13"/>
    <col min="9" max="9" width="23"/>
    <col min="10" max="10" width="22.140625"/>
    <col min="11" max="11" width="24.140625"/>
    <col min="12" max="12" width="32.85546875"/>
    <col min="13" max="13" width="13.140625"/>
    <col min="14" max="14" width="16.42578125"/>
    <col min="15" max="15" width="15.140625"/>
    <col min="16" max="16" width="25.140625"/>
    <col min="17" max="17" width="16"/>
    <col min="18" max="18" width="14.85546875"/>
    <col min="19" max="19" width="15.28515625" bestFit="1" customWidth="1"/>
    <col min="20" max="20" width="9.5703125" bestFit="1" customWidth="1"/>
    <col min="21" max="21" width="11.28515625" bestFit="1" customWidth="1"/>
    <col min="22" max="1025" width="8.5703125"/>
  </cols>
  <sheetData>
    <row r="1" spans="1:21" x14ac:dyDescent="0.25">
      <c r="A1" t="s">
        <v>63</v>
      </c>
    </row>
    <row r="2" spans="1:21" x14ac:dyDescent="0.25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K2" t="s">
        <v>73</v>
      </c>
    </row>
    <row r="3" spans="1:21" x14ac:dyDescent="0.25">
      <c r="A3">
        <v>-35000</v>
      </c>
      <c r="B3" t="s">
        <v>74</v>
      </c>
      <c r="C3" t="s">
        <v>74</v>
      </c>
      <c r="D3">
        <v>-9000</v>
      </c>
      <c r="E3" t="s">
        <v>75</v>
      </c>
      <c r="F3" t="s">
        <v>76</v>
      </c>
      <c r="G3" t="s">
        <v>77</v>
      </c>
      <c r="H3" t="s">
        <v>74</v>
      </c>
      <c r="I3" t="s">
        <v>78</v>
      </c>
    </row>
    <row r="4" spans="1:21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</row>
    <row r="5" spans="1:21" x14ac:dyDescent="0.25">
      <c r="A5">
        <f t="shared" ref="A5:I5" si="0">IF(A4=1,A3,0)</f>
        <v>-35000</v>
      </c>
      <c r="B5" t="str">
        <f t="shared" si="0"/>
        <v>0,-5000</v>
      </c>
      <c r="C5" t="str">
        <f t="shared" si="0"/>
        <v>0,-5000</v>
      </c>
      <c r="D5">
        <f t="shared" si="0"/>
        <v>-9000</v>
      </c>
      <c r="E5" t="str">
        <f t="shared" si="0"/>
        <v>0,-10000</v>
      </c>
      <c r="F5" t="str">
        <f t="shared" si="0"/>
        <v>0,-1000</v>
      </c>
      <c r="G5" t="str">
        <f t="shared" si="0"/>
        <v>0,-9000</v>
      </c>
      <c r="H5" t="str">
        <f t="shared" si="0"/>
        <v>0,-5000</v>
      </c>
      <c r="I5">
        <f t="shared" si="0"/>
        <v>0</v>
      </c>
      <c r="K5">
        <f>SUM(A5:I5)</f>
        <v>-44000</v>
      </c>
    </row>
    <row r="8" spans="1:21" x14ac:dyDescent="0.25">
      <c r="A8" t="s">
        <v>79</v>
      </c>
      <c r="B8" t="s">
        <v>80</v>
      </c>
      <c r="D8" s="12"/>
      <c r="E8" s="12"/>
      <c r="F8" s="12" t="s">
        <v>133</v>
      </c>
      <c r="G8" t="s">
        <v>132</v>
      </c>
      <c r="H8" t="s">
        <v>159</v>
      </c>
      <c r="I8" s="39" t="s">
        <v>160</v>
      </c>
      <c r="J8" s="39" t="s">
        <v>151</v>
      </c>
      <c r="K8" s="39" t="s">
        <v>153</v>
      </c>
      <c r="L8" t="s">
        <v>152</v>
      </c>
      <c r="M8" s="12">
        <f>SUMIF(J:J,"Performance",F:F)</f>
        <v>-3348.2200000000003</v>
      </c>
    </row>
    <row r="9" spans="1:21" x14ac:dyDescent="0.25">
      <c r="B9" t="s">
        <v>81</v>
      </c>
      <c r="C9" t="s">
        <v>88</v>
      </c>
      <c r="D9" s="12">
        <v>-3100</v>
      </c>
      <c r="E9" s="11">
        <v>0</v>
      </c>
      <c r="F9" s="12">
        <f t="shared" ref="F9:H44" si="1">IF(E9=1,D9,0)</f>
        <v>0</v>
      </c>
      <c r="G9">
        <v>0</v>
      </c>
      <c r="H9" s="12">
        <f t="shared" si="1"/>
        <v>0</v>
      </c>
      <c r="I9" s="12">
        <f>IF(G9=2,F9,0)</f>
        <v>0</v>
      </c>
      <c r="J9" t="s">
        <v>152</v>
      </c>
      <c r="K9" t="s">
        <v>154</v>
      </c>
      <c r="L9" t="s">
        <v>154</v>
      </c>
      <c r="M9" s="12">
        <f>SUMIF(J:J,"Aesthetic",F:F)</f>
        <v>0</v>
      </c>
    </row>
    <row r="10" spans="1:21" s="12" customFormat="1" x14ac:dyDescent="0.25">
      <c r="A10"/>
      <c r="B10"/>
      <c r="C10" t="s">
        <v>89</v>
      </c>
      <c r="D10" s="12">
        <v>-300</v>
      </c>
      <c r="E10" s="11">
        <v>0</v>
      </c>
      <c r="F10" s="12">
        <f t="shared" si="1"/>
        <v>0</v>
      </c>
      <c r="G10">
        <v>0</v>
      </c>
      <c r="H10" s="12">
        <f t="shared" si="1"/>
        <v>0</v>
      </c>
      <c r="I10" s="12">
        <f t="shared" ref="I10:I44" si="2">IF(G10=2,F10,0)</f>
        <v>0</v>
      </c>
      <c r="J10" s="12" t="s">
        <v>152</v>
      </c>
      <c r="K10" t="s">
        <v>154</v>
      </c>
      <c r="L10" t="s">
        <v>155</v>
      </c>
      <c r="M10" s="12">
        <f>SUMIF(J:J,"Comfort",F:F)</f>
        <v>-150</v>
      </c>
    </row>
    <row r="11" spans="1:21" x14ac:dyDescent="0.25">
      <c r="C11" t="s">
        <v>90</v>
      </c>
      <c r="D11" s="12">
        <v>-1200</v>
      </c>
      <c r="E11" s="11">
        <v>0</v>
      </c>
      <c r="F11" s="12">
        <f t="shared" si="1"/>
        <v>0</v>
      </c>
      <c r="G11">
        <v>0</v>
      </c>
      <c r="H11" s="12">
        <f t="shared" si="1"/>
        <v>0</v>
      </c>
      <c r="I11" s="12">
        <f t="shared" si="2"/>
        <v>0</v>
      </c>
      <c r="J11" s="11" t="s">
        <v>152</v>
      </c>
      <c r="K11" s="11"/>
      <c r="L11" t="s">
        <v>156</v>
      </c>
      <c r="M11" s="12">
        <f>SUMIF(J:J,"Maintenance",F:F)</f>
        <v>-1276</v>
      </c>
    </row>
    <row r="12" spans="1:21" x14ac:dyDescent="0.25">
      <c r="C12" t="s">
        <v>91</v>
      </c>
      <c r="D12" s="12">
        <v>-1500</v>
      </c>
      <c r="E12" s="11">
        <v>0</v>
      </c>
      <c r="F12" s="12">
        <f t="shared" si="1"/>
        <v>0</v>
      </c>
      <c r="G12">
        <v>0</v>
      </c>
      <c r="H12" s="12">
        <f t="shared" si="1"/>
        <v>0</v>
      </c>
      <c r="I12" s="12">
        <f t="shared" si="2"/>
        <v>0</v>
      </c>
      <c r="J12" s="12" t="s">
        <v>155</v>
      </c>
      <c r="K12" t="s">
        <v>154</v>
      </c>
      <c r="L12" t="s">
        <v>158</v>
      </c>
      <c r="M12" s="12">
        <f>SUMIF(J:J,"Functionality",F:F)</f>
        <v>0</v>
      </c>
      <c r="N12" s="12"/>
      <c r="O12" s="12"/>
      <c r="P12" s="12"/>
      <c r="Q12" s="12"/>
      <c r="R12" s="12"/>
      <c r="S12" s="12"/>
      <c r="T12" s="12"/>
      <c r="U12" s="12"/>
    </row>
    <row r="13" spans="1:21" x14ac:dyDescent="0.25">
      <c r="C13" t="s">
        <v>92</v>
      </c>
      <c r="D13" s="12">
        <v>-2500</v>
      </c>
      <c r="E13" s="11">
        <v>0</v>
      </c>
      <c r="F13" s="12">
        <f t="shared" si="1"/>
        <v>0</v>
      </c>
      <c r="G13">
        <v>0</v>
      </c>
      <c r="H13" s="12">
        <f t="shared" si="1"/>
        <v>0</v>
      </c>
      <c r="I13" s="12">
        <f t="shared" si="2"/>
        <v>0</v>
      </c>
      <c r="J13" s="40" t="s">
        <v>156</v>
      </c>
      <c r="K13" t="s">
        <v>154</v>
      </c>
    </row>
    <row r="14" spans="1:21" x14ac:dyDescent="0.25">
      <c r="C14" t="s">
        <v>93</v>
      </c>
      <c r="D14" s="12">
        <v>-1200</v>
      </c>
      <c r="E14" s="11">
        <v>0</v>
      </c>
      <c r="F14" s="12">
        <f t="shared" si="1"/>
        <v>0</v>
      </c>
      <c r="G14">
        <v>0</v>
      </c>
      <c r="H14" s="12">
        <f t="shared" si="1"/>
        <v>0</v>
      </c>
      <c r="I14" s="12">
        <f t="shared" si="2"/>
        <v>0</v>
      </c>
      <c r="J14" t="s">
        <v>154</v>
      </c>
    </row>
    <row r="15" spans="1:21" x14ac:dyDescent="0.25">
      <c r="B15" t="s">
        <v>82</v>
      </c>
      <c r="C15" t="s">
        <v>94</v>
      </c>
      <c r="D15" s="12">
        <v>-500</v>
      </c>
      <c r="E15" s="11">
        <v>0</v>
      </c>
      <c r="F15" s="12">
        <f t="shared" si="1"/>
        <v>0</v>
      </c>
      <c r="G15">
        <v>0</v>
      </c>
      <c r="H15" s="12">
        <f t="shared" si="1"/>
        <v>0</v>
      </c>
      <c r="I15" s="12">
        <f t="shared" si="2"/>
        <v>0</v>
      </c>
      <c r="J15" s="12" t="s">
        <v>155</v>
      </c>
      <c r="K15" t="s">
        <v>154</v>
      </c>
    </row>
    <row r="16" spans="1:21" x14ac:dyDescent="0.25">
      <c r="C16" t="s">
        <v>95</v>
      </c>
      <c r="D16" s="12">
        <v>-500</v>
      </c>
      <c r="E16" s="11">
        <v>0</v>
      </c>
      <c r="F16" s="12">
        <f t="shared" si="1"/>
        <v>0</v>
      </c>
      <c r="G16">
        <v>0</v>
      </c>
      <c r="H16" s="12">
        <f t="shared" si="1"/>
        <v>0</v>
      </c>
      <c r="I16" s="12">
        <f t="shared" si="2"/>
        <v>0</v>
      </c>
      <c r="J16" s="12" t="s">
        <v>155</v>
      </c>
      <c r="K16" t="s">
        <v>154</v>
      </c>
    </row>
    <row r="17" spans="1:11" x14ac:dyDescent="0.25">
      <c r="C17" t="s">
        <v>96</v>
      </c>
      <c r="D17" s="12">
        <v>-800</v>
      </c>
      <c r="E17" s="11">
        <v>0</v>
      </c>
      <c r="F17" s="12">
        <f t="shared" si="1"/>
        <v>0</v>
      </c>
      <c r="G17">
        <v>0</v>
      </c>
      <c r="H17" s="12">
        <f t="shared" si="1"/>
        <v>0</v>
      </c>
      <c r="I17" s="12">
        <f t="shared" si="2"/>
        <v>0</v>
      </c>
      <c r="J17" s="12" t="s">
        <v>155</v>
      </c>
      <c r="K17" t="s">
        <v>154</v>
      </c>
    </row>
    <row r="18" spans="1:11" x14ac:dyDescent="0.25">
      <c r="C18" t="s">
        <v>97</v>
      </c>
      <c r="D18" s="12">
        <v>-2250</v>
      </c>
      <c r="E18" s="11">
        <v>0</v>
      </c>
      <c r="F18" s="12">
        <f t="shared" si="1"/>
        <v>0</v>
      </c>
      <c r="G18">
        <v>0</v>
      </c>
      <c r="H18" s="12">
        <f t="shared" si="1"/>
        <v>0</v>
      </c>
      <c r="I18" s="12">
        <f t="shared" si="2"/>
        <v>0</v>
      </c>
      <c r="J18" s="39" t="s">
        <v>156</v>
      </c>
      <c r="K18" t="s">
        <v>154</v>
      </c>
    </row>
    <row r="19" spans="1:11" x14ac:dyDescent="0.25">
      <c r="C19" t="s">
        <v>98</v>
      </c>
      <c r="D19" s="12">
        <v>-2500</v>
      </c>
      <c r="E19" s="11">
        <v>0</v>
      </c>
      <c r="F19" s="12">
        <f t="shared" si="1"/>
        <v>0</v>
      </c>
      <c r="G19">
        <v>0</v>
      </c>
      <c r="H19" s="12">
        <f t="shared" si="1"/>
        <v>0</v>
      </c>
      <c r="I19" s="12">
        <f t="shared" si="2"/>
        <v>0</v>
      </c>
      <c r="J19" s="39" t="s">
        <v>156</v>
      </c>
      <c r="K19" t="s">
        <v>154</v>
      </c>
    </row>
    <row r="20" spans="1:11" x14ac:dyDescent="0.25">
      <c r="C20" t="s">
        <v>93</v>
      </c>
      <c r="D20" s="12">
        <v>-1000</v>
      </c>
      <c r="E20" s="40">
        <v>0</v>
      </c>
      <c r="F20" s="12">
        <f t="shared" si="1"/>
        <v>0</v>
      </c>
      <c r="G20">
        <v>0</v>
      </c>
      <c r="H20" s="12">
        <f t="shared" si="1"/>
        <v>0</v>
      </c>
      <c r="I20" s="12">
        <f t="shared" si="2"/>
        <v>0</v>
      </c>
      <c r="J20" t="s">
        <v>154</v>
      </c>
    </row>
    <row r="21" spans="1:11" x14ac:dyDescent="0.25">
      <c r="B21" t="s">
        <v>83</v>
      </c>
      <c r="C21" t="s">
        <v>99</v>
      </c>
      <c r="D21" s="12">
        <v>-1750.26</v>
      </c>
      <c r="E21" s="11">
        <v>1</v>
      </c>
      <c r="F21" s="12">
        <f t="shared" si="1"/>
        <v>-1750.26</v>
      </c>
      <c r="G21">
        <v>1</v>
      </c>
      <c r="H21" s="12">
        <f t="shared" si="1"/>
        <v>-1750.26</v>
      </c>
      <c r="I21" s="12">
        <f t="shared" si="2"/>
        <v>0</v>
      </c>
      <c r="J21" t="s">
        <v>152</v>
      </c>
      <c r="K21" t="s">
        <v>154</v>
      </c>
    </row>
    <row r="22" spans="1:11" x14ac:dyDescent="0.25">
      <c r="B22" t="s">
        <v>84</v>
      </c>
      <c r="C22" t="s">
        <v>170</v>
      </c>
      <c r="D22" s="12">
        <v>-1233.06</v>
      </c>
      <c r="E22" s="11">
        <v>1</v>
      </c>
      <c r="F22" s="12">
        <v>-1297.96</v>
      </c>
      <c r="G22">
        <v>1</v>
      </c>
      <c r="H22" s="12">
        <f t="shared" si="1"/>
        <v>-1297.96</v>
      </c>
      <c r="I22" s="12">
        <f t="shared" si="2"/>
        <v>0</v>
      </c>
      <c r="J22" t="s">
        <v>152</v>
      </c>
      <c r="K22" t="s">
        <v>154</v>
      </c>
    </row>
    <row r="23" spans="1:11" x14ac:dyDescent="0.25">
      <c r="B23" t="s">
        <v>85</v>
      </c>
      <c r="C23" t="s">
        <v>100</v>
      </c>
      <c r="D23" s="12">
        <v>-300</v>
      </c>
      <c r="E23" s="11">
        <v>1</v>
      </c>
      <c r="F23" s="12">
        <f t="shared" si="1"/>
        <v>-300</v>
      </c>
      <c r="G23">
        <v>1</v>
      </c>
      <c r="H23" s="12">
        <f t="shared" si="1"/>
        <v>-300</v>
      </c>
      <c r="I23" s="12">
        <f t="shared" si="2"/>
        <v>0</v>
      </c>
      <c r="J23" t="s">
        <v>152</v>
      </c>
      <c r="K23" t="s">
        <v>154</v>
      </c>
    </row>
    <row r="24" spans="1:11" x14ac:dyDescent="0.25">
      <c r="C24" t="s">
        <v>161</v>
      </c>
      <c r="D24" s="12">
        <v>-350</v>
      </c>
      <c r="E24" s="40">
        <v>0</v>
      </c>
      <c r="F24" s="12">
        <f t="shared" si="1"/>
        <v>0</v>
      </c>
      <c r="G24">
        <v>0</v>
      </c>
      <c r="H24" s="12">
        <f t="shared" si="1"/>
        <v>0</v>
      </c>
      <c r="I24" s="12">
        <f t="shared" si="2"/>
        <v>0</v>
      </c>
      <c r="J24" t="s">
        <v>152</v>
      </c>
    </row>
    <row r="25" spans="1:11" x14ac:dyDescent="0.25">
      <c r="B25" t="s">
        <v>86</v>
      </c>
      <c r="C25" t="s">
        <v>101</v>
      </c>
      <c r="D25" s="12">
        <v>-1380</v>
      </c>
      <c r="E25" s="11">
        <v>0</v>
      </c>
      <c r="F25" s="12">
        <f t="shared" si="1"/>
        <v>0</v>
      </c>
      <c r="G25">
        <v>0</v>
      </c>
      <c r="H25" s="12">
        <f t="shared" si="1"/>
        <v>0</v>
      </c>
      <c r="I25" s="12">
        <f t="shared" si="2"/>
        <v>0</v>
      </c>
      <c r="J25" t="s">
        <v>152</v>
      </c>
      <c r="K25" t="s">
        <v>154</v>
      </c>
    </row>
    <row r="26" spans="1:11" x14ac:dyDescent="0.25">
      <c r="C26" t="s">
        <v>123</v>
      </c>
      <c r="D26" s="12">
        <v>-427.66</v>
      </c>
      <c r="E26" s="11">
        <v>0</v>
      </c>
      <c r="F26" s="12">
        <f t="shared" si="1"/>
        <v>0</v>
      </c>
      <c r="G26">
        <v>0</v>
      </c>
      <c r="H26" s="12">
        <f t="shared" si="1"/>
        <v>0</v>
      </c>
      <c r="I26" s="12">
        <f t="shared" si="2"/>
        <v>0</v>
      </c>
      <c r="J26" t="s">
        <v>157</v>
      </c>
    </row>
    <row r="27" spans="1:11" x14ac:dyDescent="0.25">
      <c r="B27" t="s">
        <v>87</v>
      </c>
      <c r="C27" t="s">
        <v>102</v>
      </c>
      <c r="D27" s="12">
        <v>-900</v>
      </c>
      <c r="E27" s="11">
        <v>1</v>
      </c>
      <c r="F27" s="12">
        <f t="shared" si="1"/>
        <v>-900</v>
      </c>
      <c r="G27">
        <v>1</v>
      </c>
      <c r="H27" s="12">
        <f t="shared" si="1"/>
        <v>-900</v>
      </c>
      <c r="I27" s="12">
        <f t="shared" si="2"/>
        <v>0</v>
      </c>
      <c r="J27" s="39" t="s">
        <v>156</v>
      </c>
      <c r="K27" t="s">
        <v>154</v>
      </c>
    </row>
    <row r="28" spans="1:11" x14ac:dyDescent="0.25">
      <c r="B28" t="s">
        <v>109</v>
      </c>
      <c r="C28" t="s">
        <v>110</v>
      </c>
      <c r="D28" s="12">
        <v>-1700</v>
      </c>
      <c r="E28" s="11">
        <v>0</v>
      </c>
      <c r="F28" s="12">
        <f t="shared" si="1"/>
        <v>0</v>
      </c>
      <c r="G28">
        <v>0</v>
      </c>
      <c r="H28" s="12">
        <f t="shared" si="1"/>
        <v>0</v>
      </c>
      <c r="I28" s="12">
        <f t="shared" si="2"/>
        <v>0</v>
      </c>
      <c r="J28" s="39" t="s">
        <v>156</v>
      </c>
      <c r="K28" t="s">
        <v>154</v>
      </c>
    </row>
    <row r="29" spans="1:11" x14ac:dyDescent="0.25">
      <c r="C29" t="s">
        <v>111</v>
      </c>
      <c r="D29" s="12">
        <v>-550</v>
      </c>
      <c r="E29" s="11">
        <v>0</v>
      </c>
      <c r="F29" s="12">
        <f t="shared" si="1"/>
        <v>0</v>
      </c>
      <c r="G29">
        <v>0</v>
      </c>
      <c r="H29" s="12">
        <f t="shared" si="1"/>
        <v>0</v>
      </c>
      <c r="I29" s="12">
        <f t="shared" si="2"/>
        <v>0</v>
      </c>
      <c r="J29" s="12" t="s">
        <v>155</v>
      </c>
      <c r="K29" t="s">
        <v>154</v>
      </c>
    </row>
    <row r="30" spans="1:11" x14ac:dyDescent="0.25">
      <c r="B30" t="s">
        <v>125</v>
      </c>
      <c r="C30" t="s">
        <v>124</v>
      </c>
      <c r="D30" s="12">
        <v>-30</v>
      </c>
      <c r="E30" s="11">
        <v>1</v>
      </c>
      <c r="F30" s="12">
        <f t="shared" si="1"/>
        <v>-30</v>
      </c>
      <c r="G30">
        <v>1</v>
      </c>
      <c r="H30" s="12">
        <f t="shared" si="1"/>
        <v>-30</v>
      </c>
      <c r="I30" s="12">
        <f t="shared" si="2"/>
        <v>0</v>
      </c>
      <c r="J30" s="39" t="s">
        <v>156</v>
      </c>
      <c r="K30" t="s">
        <v>154</v>
      </c>
    </row>
    <row r="31" spans="1:11" x14ac:dyDescent="0.25">
      <c r="A31" t="s">
        <v>162</v>
      </c>
      <c r="B31" t="s">
        <v>126</v>
      </c>
      <c r="C31" t="s">
        <v>127</v>
      </c>
      <c r="D31" s="12">
        <v>-100</v>
      </c>
      <c r="E31" s="11">
        <v>0</v>
      </c>
      <c r="F31" s="12">
        <f t="shared" si="1"/>
        <v>0</v>
      </c>
      <c r="G31">
        <v>0</v>
      </c>
      <c r="H31" s="12">
        <f t="shared" si="1"/>
        <v>0</v>
      </c>
      <c r="I31" s="12">
        <f t="shared" si="2"/>
        <v>0</v>
      </c>
      <c r="J31" t="s">
        <v>154</v>
      </c>
    </row>
    <row r="32" spans="1:11" x14ac:dyDescent="0.25">
      <c r="C32" t="s">
        <v>129</v>
      </c>
      <c r="D32" s="12">
        <v>-16</v>
      </c>
      <c r="E32" s="11">
        <v>0</v>
      </c>
      <c r="F32" s="12">
        <f t="shared" si="1"/>
        <v>0</v>
      </c>
      <c r="G32">
        <v>0</v>
      </c>
      <c r="H32" s="12">
        <f t="shared" si="1"/>
        <v>0</v>
      </c>
      <c r="I32" s="12">
        <f t="shared" si="2"/>
        <v>0</v>
      </c>
      <c r="J32" t="s">
        <v>154</v>
      </c>
    </row>
    <row r="33" spans="2:11" x14ac:dyDescent="0.25">
      <c r="C33" t="s">
        <v>128</v>
      </c>
      <c r="D33" s="12">
        <v>-12</v>
      </c>
      <c r="E33" s="11">
        <v>0</v>
      </c>
      <c r="F33" s="12">
        <f t="shared" si="1"/>
        <v>0</v>
      </c>
      <c r="G33">
        <v>0</v>
      </c>
      <c r="H33" s="12">
        <f t="shared" si="1"/>
        <v>0</v>
      </c>
      <c r="I33" s="12">
        <f t="shared" si="2"/>
        <v>0</v>
      </c>
      <c r="J33" t="s">
        <v>154</v>
      </c>
    </row>
    <row r="34" spans="2:11" x14ac:dyDescent="0.25">
      <c r="C34" t="s">
        <v>130</v>
      </c>
      <c r="D34" s="12">
        <v>-46</v>
      </c>
      <c r="E34" s="11">
        <v>1</v>
      </c>
      <c r="F34" s="12">
        <f t="shared" si="1"/>
        <v>-46</v>
      </c>
      <c r="G34">
        <v>1</v>
      </c>
      <c r="H34" s="12">
        <f t="shared" si="1"/>
        <v>-46</v>
      </c>
      <c r="I34" s="12">
        <f t="shared" si="2"/>
        <v>0</v>
      </c>
      <c r="J34" s="39" t="s">
        <v>156</v>
      </c>
    </row>
    <row r="35" spans="2:11" x14ac:dyDescent="0.25">
      <c r="C35" t="s">
        <v>186</v>
      </c>
      <c r="D35" s="12">
        <v>-18</v>
      </c>
      <c r="E35" s="11">
        <v>0</v>
      </c>
      <c r="F35" s="12">
        <f t="shared" ref="F35" si="3">IF(E35=1,D35,0)</f>
        <v>0</v>
      </c>
      <c r="G35">
        <v>0</v>
      </c>
      <c r="H35" s="12">
        <f t="shared" ref="H35" si="4">IF(G35=1,F35,0)</f>
        <v>0</v>
      </c>
      <c r="I35" s="12">
        <f t="shared" ref="I35" si="5">IF(G35=2,F35,0)</f>
        <v>0</v>
      </c>
      <c r="J35" s="39" t="s">
        <v>154</v>
      </c>
    </row>
    <row r="36" spans="2:11" x14ac:dyDescent="0.25">
      <c r="B36" t="s">
        <v>125</v>
      </c>
      <c r="C36" t="s">
        <v>131</v>
      </c>
      <c r="D36" s="12">
        <v>-30</v>
      </c>
      <c r="E36" s="11">
        <v>0</v>
      </c>
      <c r="F36" s="12">
        <f t="shared" si="1"/>
        <v>0</v>
      </c>
      <c r="G36">
        <v>0</v>
      </c>
      <c r="H36" s="12">
        <f t="shared" si="1"/>
        <v>0</v>
      </c>
      <c r="I36" s="12">
        <f t="shared" si="2"/>
        <v>0</v>
      </c>
      <c r="J36" t="s">
        <v>154</v>
      </c>
      <c r="K36" t="s">
        <v>152</v>
      </c>
    </row>
    <row r="37" spans="2:11" x14ac:dyDescent="0.25">
      <c r="C37" t="s">
        <v>138</v>
      </c>
      <c r="D37" s="12">
        <v>-18</v>
      </c>
      <c r="E37" s="40">
        <v>0</v>
      </c>
      <c r="F37" s="12">
        <f t="shared" si="1"/>
        <v>0</v>
      </c>
      <c r="G37">
        <v>0</v>
      </c>
      <c r="H37" s="12">
        <f t="shared" si="1"/>
        <v>0</v>
      </c>
      <c r="I37" s="12">
        <f t="shared" si="2"/>
        <v>0</v>
      </c>
      <c r="J37" s="39" t="s">
        <v>156</v>
      </c>
    </row>
    <row r="38" spans="2:11" x14ac:dyDescent="0.25">
      <c r="B38" t="s">
        <v>137</v>
      </c>
      <c r="C38" t="s">
        <v>136</v>
      </c>
      <c r="D38" s="39">
        <v>-29</v>
      </c>
      <c r="E38">
        <v>0</v>
      </c>
      <c r="F38" s="12">
        <f t="shared" si="1"/>
        <v>0</v>
      </c>
      <c r="G38">
        <v>0</v>
      </c>
      <c r="H38" s="12">
        <f t="shared" si="1"/>
        <v>0</v>
      </c>
      <c r="I38" s="12">
        <f t="shared" si="2"/>
        <v>0</v>
      </c>
      <c r="J38" s="12" t="s">
        <v>155</v>
      </c>
    </row>
    <row r="39" spans="2:11" x14ac:dyDescent="0.25">
      <c r="B39" t="s">
        <v>181</v>
      </c>
      <c r="C39" t="s">
        <v>142</v>
      </c>
      <c r="D39" s="39">
        <v>-150</v>
      </c>
      <c r="E39">
        <v>1</v>
      </c>
      <c r="F39" s="12">
        <f t="shared" si="1"/>
        <v>-150</v>
      </c>
      <c r="G39">
        <v>1</v>
      </c>
      <c r="H39" s="12">
        <f t="shared" si="1"/>
        <v>-150</v>
      </c>
      <c r="I39" s="12">
        <f t="shared" si="2"/>
        <v>0</v>
      </c>
      <c r="J39" s="12" t="s">
        <v>155</v>
      </c>
    </row>
    <row r="40" spans="2:11" x14ac:dyDescent="0.25">
      <c r="B40" t="s">
        <v>144</v>
      </c>
      <c r="C40" t="s">
        <v>143</v>
      </c>
      <c r="D40" s="39">
        <v>-15</v>
      </c>
      <c r="E40">
        <v>0</v>
      </c>
      <c r="F40" s="12">
        <f t="shared" si="1"/>
        <v>0</v>
      </c>
      <c r="G40">
        <v>0</v>
      </c>
      <c r="H40" s="12">
        <f t="shared" si="1"/>
        <v>0</v>
      </c>
      <c r="I40" s="12">
        <f t="shared" si="2"/>
        <v>0</v>
      </c>
      <c r="J40" s="12" t="s">
        <v>155</v>
      </c>
    </row>
    <row r="41" spans="2:11" x14ac:dyDescent="0.25">
      <c r="B41" t="s">
        <v>146</v>
      </c>
      <c r="C41" t="s">
        <v>145</v>
      </c>
      <c r="D41" s="39">
        <v>-20</v>
      </c>
      <c r="E41">
        <v>0</v>
      </c>
      <c r="F41" s="12">
        <f t="shared" si="1"/>
        <v>0</v>
      </c>
      <c r="G41">
        <v>0</v>
      </c>
      <c r="H41" s="12">
        <f t="shared" si="1"/>
        <v>0</v>
      </c>
      <c r="I41" s="12">
        <f t="shared" si="2"/>
        <v>0</v>
      </c>
      <c r="J41" t="s">
        <v>154</v>
      </c>
    </row>
    <row r="42" spans="2:11" x14ac:dyDescent="0.25">
      <c r="B42" t="s">
        <v>148</v>
      </c>
      <c r="C42" t="s">
        <v>147</v>
      </c>
      <c r="D42" s="39">
        <v>-440</v>
      </c>
      <c r="E42">
        <v>0</v>
      </c>
      <c r="F42" s="12">
        <f t="shared" si="1"/>
        <v>0</v>
      </c>
      <c r="G42">
        <v>0</v>
      </c>
      <c r="H42" s="12">
        <f t="shared" si="1"/>
        <v>0</v>
      </c>
      <c r="I42" s="12">
        <f t="shared" si="2"/>
        <v>0</v>
      </c>
      <c r="J42" s="39" t="s">
        <v>158</v>
      </c>
    </row>
    <row r="43" spans="2:11" x14ac:dyDescent="0.25">
      <c r="B43" t="s">
        <v>150</v>
      </c>
      <c r="C43" t="s">
        <v>149</v>
      </c>
      <c r="D43" s="39">
        <v>-95</v>
      </c>
      <c r="E43">
        <v>0</v>
      </c>
      <c r="F43" s="12">
        <f t="shared" si="1"/>
        <v>0</v>
      </c>
      <c r="G43">
        <v>0</v>
      </c>
      <c r="H43" s="12">
        <f t="shared" si="1"/>
        <v>0</v>
      </c>
      <c r="I43" s="12">
        <f t="shared" si="2"/>
        <v>0</v>
      </c>
      <c r="J43" s="39" t="s">
        <v>157</v>
      </c>
    </row>
    <row r="44" spans="2:11" x14ac:dyDescent="0.25">
      <c r="B44" t="s">
        <v>163</v>
      </c>
      <c r="C44" t="s">
        <v>164</v>
      </c>
      <c r="D44" s="39">
        <v>-25</v>
      </c>
      <c r="E44">
        <v>1</v>
      </c>
      <c r="F44" s="12">
        <f t="shared" si="1"/>
        <v>-25</v>
      </c>
      <c r="G44">
        <v>1</v>
      </c>
      <c r="H44" s="12">
        <f t="shared" si="1"/>
        <v>-25</v>
      </c>
      <c r="I44" s="12">
        <f t="shared" si="2"/>
        <v>0</v>
      </c>
      <c r="J44" s="39" t="s">
        <v>178</v>
      </c>
    </row>
    <row r="45" spans="2:11" x14ac:dyDescent="0.25">
      <c r="B45" t="s">
        <v>172</v>
      </c>
      <c r="C45" t="s">
        <v>171</v>
      </c>
      <c r="D45" s="39">
        <v>-100</v>
      </c>
      <c r="E45">
        <v>1</v>
      </c>
      <c r="F45" s="12">
        <f t="shared" ref="F45" si="6">IF(E45=1,D45,0)</f>
        <v>-100</v>
      </c>
      <c r="G45">
        <v>1</v>
      </c>
      <c r="H45" s="12">
        <f t="shared" ref="H45" si="7">IF(G45=1,F45,0)</f>
        <v>-100</v>
      </c>
      <c r="I45" s="12">
        <f t="shared" ref="I45" si="8">IF(G45=2,F45,0)</f>
        <v>0</v>
      </c>
      <c r="J45" s="39" t="s">
        <v>156</v>
      </c>
    </row>
    <row r="46" spans="2:11" x14ac:dyDescent="0.25">
      <c r="B46" t="s">
        <v>176</v>
      </c>
      <c r="C46" t="s">
        <v>177</v>
      </c>
      <c r="D46" s="39">
        <v>-330</v>
      </c>
      <c r="E46">
        <v>0</v>
      </c>
      <c r="F46" s="12">
        <f t="shared" ref="F46" si="9">IF(E46=1,D46,0)</f>
        <v>0</v>
      </c>
      <c r="G46">
        <v>0</v>
      </c>
      <c r="H46" s="12">
        <f t="shared" ref="H46" si="10">IF(G46=1,F46,0)</f>
        <v>0</v>
      </c>
      <c r="I46" s="12">
        <f t="shared" ref="I46" si="11">IF(G46=2,F46,0)</f>
        <v>0</v>
      </c>
      <c r="J46" s="39" t="s">
        <v>156</v>
      </c>
    </row>
    <row r="47" spans="2:11" x14ac:dyDescent="0.25">
      <c r="C47" t="s">
        <v>173</v>
      </c>
      <c r="D47" s="39">
        <v>-186</v>
      </c>
      <c r="E47">
        <v>0</v>
      </c>
      <c r="F47" s="12">
        <f t="shared" ref="F47:F52" si="12">IF(E47=1,D47,0)</f>
        <v>0</v>
      </c>
      <c r="G47">
        <v>0</v>
      </c>
      <c r="H47" s="12">
        <f t="shared" ref="H47:H52" si="13">IF(G47=1,F47,0)</f>
        <v>0</v>
      </c>
      <c r="I47" s="12">
        <f t="shared" ref="I47:I52" si="14">IF(G47=2,F47,0)</f>
        <v>0</v>
      </c>
      <c r="J47" s="39" t="s">
        <v>156</v>
      </c>
    </row>
    <row r="48" spans="2:11" x14ac:dyDescent="0.25">
      <c r="B48" t="s">
        <v>179</v>
      </c>
      <c r="C48" t="s">
        <v>177</v>
      </c>
      <c r="D48" s="39">
        <v>-100</v>
      </c>
      <c r="E48">
        <v>1</v>
      </c>
      <c r="F48" s="12">
        <f t="shared" si="12"/>
        <v>-100</v>
      </c>
      <c r="G48">
        <v>0</v>
      </c>
      <c r="H48" s="12">
        <f t="shared" si="13"/>
        <v>0</v>
      </c>
      <c r="I48" s="12">
        <f t="shared" si="14"/>
        <v>0</v>
      </c>
      <c r="J48" s="39" t="s">
        <v>156</v>
      </c>
    </row>
    <row r="49" spans="1:10" x14ac:dyDescent="0.25">
      <c r="C49" t="s">
        <v>185</v>
      </c>
      <c r="D49" s="39">
        <v>-400</v>
      </c>
      <c r="E49">
        <v>1</v>
      </c>
      <c r="F49" s="12">
        <f t="shared" si="12"/>
        <v>-400</v>
      </c>
      <c r="G49">
        <v>0</v>
      </c>
      <c r="H49" s="12">
        <f t="shared" si="13"/>
        <v>0</v>
      </c>
      <c r="I49" s="12">
        <f t="shared" si="14"/>
        <v>0</v>
      </c>
      <c r="J49" s="39"/>
    </row>
    <row r="50" spans="1:10" x14ac:dyDescent="0.25">
      <c r="C50" t="s">
        <v>180</v>
      </c>
      <c r="D50" s="39">
        <v>-100</v>
      </c>
      <c r="E50">
        <v>1</v>
      </c>
      <c r="F50" s="12">
        <f t="shared" si="12"/>
        <v>-100</v>
      </c>
      <c r="G50">
        <v>0</v>
      </c>
      <c r="H50" s="12">
        <f t="shared" si="13"/>
        <v>0</v>
      </c>
      <c r="I50" s="12">
        <f t="shared" si="14"/>
        <v>0</v>
      </c>
      <c r="J50" s="39" t="s">
        <v>156</v>
      </c>
    </row>
    <row r="51" spans="1:10" x14ac:dyDescent="0.25">
      <c r="B51" t="s">
        <v>125</v>
      </c>
      <c r="C51" t="s">
        <v>182</v>
      </c>
      <c r="D51" s="39">
        <v>-27</v>
      </c>
      <c r="E51">
        <v>0</v>
      </c>
      <c r="F51" s="12">
        <f t="shared" si="12"/>
        <v>0</v>
      </c>
      <c r="G51">
        <v>0</v>
      </c>
      <c r="H51" s="12">
        <f t="shared" si="13"/>
        <v>0</v>
      </c>
      <c r="I51" s="12">
        <f t="shared" si="14"/>
        <v>0</v>
      </c>
      <c r="J51" s="39" t="s">
        <v>156</v>
      </c>
    </row>
    <row r="52" spans="1:10" x14ac:dyDescent="0.25">
      <c r="B52" t="s">
        <v>184</v>
      </c>
      <c r="C52" t="s">
        <v>183</v>
      </c>
      <c r="D52" s="39">
        <f>-205+-140</f>
        <v>-345</v>
      </c>
      <c r="E52">
        <v>0</v>
      </c>
      <c r="F52" s="12">
        <f t="shared" si="12"/>
        <v>0</v>
      </c>
      <c r="G52">
        <v>0</v>
      </c>
      <c r="H52" s="12">
        <f t="shared" si="13"/>
        <v>0</v>
      </c>
      <c r="I52" s="12">
        <f t="shared" si="14"/>
        <v>0</v>
      </c>
      <c r="J52" s="39" t="s">
        <v>156</v>
      </c>
    </row>
    <row r="53" spans="1:10" x14ac:dyDescent="0.25">
      <c r="C53" t="s">
        <v>73</v>
      </c>
      <c r="D53" s="12"/>
      <c r="F53" s="12">
        <f>SUM(F9:F52)</f>
        <v>-5199.22</v>
      </c>
      <c r="H53" s="12">
        <f>SUM(H9:H52)</f>
        <v>-4599.22</v>
      </c>
      <c r="I53" s="12">
        <f>SUM(I9:I41)</f>
        <v>0</v>
      </c>
    </row>
    <row r="55" spans="1:10" x14ac:dyDescent="0.25">
      <c r="A55" t="s">
        <v>176</v>
      </c>
      <c r="B55" t="s">
        <v>173</v>
      </c>
      <c r="C55">
        <v>186</v>
      </c>
    </row>
    <row r="56" spans="1:10" x14ac:dyDescent="0.25">
      <c r="B56" t="s">
        <v>174</v>
      </c>
      <c r="C56" s="12">
        <v>330</v>
      </c>
    </row>
    <row r="57" spans="1:10" x14ac:dyDescent="0.25">
      <c r="B57" t="s">
        <v>175</v>
      </c>
      <c r="C57">
        <v>280</v>
      </c>
    </row>
    <row r="62" spans="1:10" x14ac:dyDescent="0.25">
      <c r="F62">
        <f>SUM(F60:F61)</f>
        <v>0</v>
      </c>
    </row>
  </sheetData>
  <scenarios current="0" show="0">
    <scenario name="aye" locked="1" count="8" user="Calc" comment="Created by Matthew Wyatt on 5/14/2018_x000a_Modified by Matthew Wyatt on 5/14/2018">
      <inputCells r="A3" val="-35000"/>
      <inputCells r="B3" val="0,-5000"/>
      <inputCells r="C3" val="0,-5000"/>
      <inputCells r="E3" val="0,-10000"/>
      <inputCells r="F3" val="0,-1000"/>
      <inputCells r="G3" val="0,-9000"/>
      <inputCells r="H3" val="0,-5000"/>
      <inputCells r="I3" val="0,-3000"/>
    </scenario>
  </scenario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6" sqref="C16"/>
    </sheetView>
  </sheetViews>
  <sheetFormatPr defaultRowHeight="15" x14ac:dyDescent="0.25"/>
  <cols>
    <col min="2" max="2" width="23.7109375" bestFit="1" customWidth="1"/>
    <col min="3" max="3" width="14" bestFit="1" customWidth="1"/>
    <col min="4" max="4" width="12.42578125" bestFit="1" customWidth="1"/>
  </cols>
  <sheetData>
    <row r="1" spans="1:4" x14ac:dyDescent="0.25">
      <c r="D1" t="s">
        <v>165</v>
      </c>
    </row>
    <row r="2" spans="1:4" x14ac:dyDescent="0.25">
      <c r="A2" t="s">
        <v>113</v>
      </c>
      <c r="D2">
        <f>-1*93*12</f>
        <v>-1116</v>
      </c>
    </row>
    <row r="3" spans="1:4" x14ac:dyDescent="0.25">
      <c r="A3" t="s">
        <v>114</v>
      </c>
      <c r="B3" t="s">
        <v>115</v>
      </c>
      <c r="C3">
        <v>-1453.8</v>
      </c>
      <c r="D3">
        <f>(C3-D2)</f>
        <v>-337.79999999999995</v>
      </c>
    </row>
    <row r="4" spans="1:4" x14ac:dyDescent="0.25">
      <c r="B4" t="s">
        <v>116</v>
      </c>
    </row>
    <row r="5" spans="1:4" x14ac:dyDescent="0.25">
      <c r="B5" t="s">
        <v>120</v>
      </c>
    </row>
    <row r="6" spans="1:4" x14ac:dyDescent="0.25">
      <c r="B6" t="s">
        <v>121</v>
      </c>
    </row>
    <row r="7" spans="1:4" x14ac:dyDescent="0.25">
      <c r="B7" t="s">
        <v>117</v>
      </c>
    </row>
    <row r="8" spans="1:4" x14ac:dyDescent="0.25">
      <c r="A8" t="s">
        <v>118</v>
      </c>
      <c r="B8" t="s">
        <v>115</v>
      </c>
      <c r="C8">
        <v>-1902</v>
      </c>
      <c r="D8">
        <f>(C8-D2)</f>
        <v>-786</v>
      </c>
    </row>
    <row r="9" spans="1:4" x14ac:dyDescent="0.25">
      <c r="B9" t="s">
        <v>119</v>
      </c>
    </row>
    <row r="10" spans="1:4" x14ac:dyDescent="0.25">
      <c r="B10" t="s">
        <v>120</v>
      </c>
    </row>
    <row r="11" spans="1:4" x14ac:dyDescent="0.25">
      <c r="B11" t="s">
        <v>121</v>
      </c>
    </row>
    <row r="12" spans="1:4" x14ac:dyDescent="0.25">
      <c r="B12" t="s">
        <v>117</v>
      </c>
    </row>
    <row r="14" spans="1:4" x14ac:dyDescent="0.25">
      <c r="C14" t="s">
        <v>167</v>
      </c>
      <c r="D14" t="s">
        <v>166</v>
      </c>
    </row>
    <row r="15" spans="1:4" x14ac:dyDescent="0.25">
      <c r="C15">
        <f>-900.4*2</f>
        <v>-1800.8</v>
      </c>
      <c r="D15">
        <f>-726.9*2</f>
        <v>-1453.8</v>
      </c>
    </row>
    <row r="16" spans="1:4" x14ac:dyDescent="0.25">
      <c r="C16">
        <f>C15/12</f>
        <v>-150.06666666666666</v>
      </c>
      <c r="D16">
        <f>D15/12</f>
        <v>-121.14999999999999</v>
      </c>
    </row>
    <row r="17" spans="3:4" x14ac:dyDescent="0.25">
      <c r="C17" t="s">
        <v>169</v>
      </c>
      <c r="D17" t="s"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80" zoomScaleNormal="80" workbookViewId="0"/>
  </sheetViews>
  <sheetFormatPr defaultRowHeight="15" x14ac:dyDescent="0.25"/>
  <cols>
    <col min="1" max="1" width="60.42578125"/>
    <col min="2" max="1025" width="8.5703125"/>
  </cols>
  <sheetData>
    <row r="1" spans="1:2" x14ac:dyDescent="0.25">
      <c r="A1" t="s">
        <v>103</v>
      </c>
      <c r="B1" t="s">
        <v>104</v>
      </c>
    </row>
    <row r="3" spans="1:2" x14ac:dyDescent="0.25">
      <c r="A3" t="s">
        <v>105</v>
      </c>
      <c r="B3" t="s">
        <v>106</v>
      </c>
    </row>
    <row r="5" spans="1:2" x14ac:dyDescent="0.25">
      <c r="A5" t="s">
        <v>107</v>
      </c>
      <c r="B5" t="s">
        <v>108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Features</vt:lpstr>
      <vt:lpstr>Insurance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Wyatt</dc:creator>
  <dc:description/>
  <cp:lastModifiedBy>Matthew Wyatt</cp:lastModifiedBy>
  <cp:revision>3</cp:revision>
  <dcterms:created xsi:type="dcterms:W3CDTF">2017-01-03T04:38:02Z</dcterms:created>
  <dcterms:modified xsi:type="dcterms:W3CDTF">2018-11-20T07:58:03Z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