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majdi\Documents\02 - Consulting\03_Clients_en_cours\BACARDI\02 Données\Second volet de données\"/>
    </mc:Choice>
  </mc:AlternateContent>
  <xr:revisionPtr revIDLastSave="0" documentId="13_ncr:1_{40755793-0378-4944-ABD8-9C49F4F0FD1E}" xr6:coauthVersionLast="47" xr6:coauthVersionMax="47" xr10:uidLastSave="{00000000-0000-0000-0000-000000000000}"/>
  <bookViews>
    <workbookView xWindow="-34510" yWindow="-1470" windowWidth="34620" windowHeight="13900" xr2:uid="{00000000-000D-0000-FFFF-FFFF00000000}"/>
  </bookViews>
  <sheets>
    <sheet name="export_169510905444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C2" i="1"/>
  <c r="D2" i="1"/>
  <c r="E2" i="1"/>
  <c r="F2" i="1"/>
  <c r="G2" i="1"/>
  <c r="K2" i="1"/>
  <c r="L2" i="1"/>
  <c r="A3" i="1"/>
  <c r="B3" i="1"/>
  <c r="C3" i="1"/>
  <c r="D3" i="1"/>
  <c r="E3" i="1"/>
  <c r="F3" i="1"/>
  <c r="G3" i="1"/>
  <c r="K3" i="1"/>
  <c r="L3" i="1"/>
  <c r="A4" i="1"/>
  <c r="B4" i="1"/>
  <c r="C4" i="1"/>
  <c r="D4" i="1"/>
  <c r="E4" i="1"/>
  <c r="F4" i="1"/>
  <c r="G4" i="1"/>
  <c r="J4" i="1"/>
  <c r="K4" i="1"/>
  <c r="L4" i="1"/>
  <c r="A5" i="1"/>
  <c r="B5" i="1"/>
  <c r="C5" i="1"/>
  <c r="D5" i="1"/>
  <c r="E5" i="1"/>
  <c r="F5" i="1"/>
  <c r="G5" i="1"/>
  <c r="K5" i="1"/>
  <c r="L5" i="1"/>
  <c r="A6" i="1"/>
  <c r="B6" i="1"/>
  <c r="C6" i="1"/>
  <c r="D6" i="1"/>
  <c r="E6" i="1"/>
  <c r="F6" i="1"/>
  <c r="G6" i="1"/>
  <c r="K6" i="1"/>
  <c r="L6" i="1"/>
  <c r="A7" i="1"/>
  <c r="B7" i="1"/>
  <c r="C7" i="1"/>
  <c r="D7" i="1"/>
  <c r="E7" i="1"/>
  <c r="F7" i="1"/>
  <c r="G7" i="1"/>
  <c r="K7" i="1"/>
  <c r="L7" i="1"/>
  <c r="A8" i="1"/>
  <c r="B8" i="1"/>
  <c r="C8" i="1"/>
  <c r="D8" i="1"/>
  <c r="E8" i="1"/>
  <c r="F8" i="1"/>
  <c r="G8" i="1"/>
  <c r="K8" i="1"/>
  <c r="L8" i="1"/>
  <c r="A9" i="1"/>
  <c r="B9" i="1"/>
  <c r="C9" i="1"/>
  <c r="D9" i="1"/>
  <c r="E9" i="1"/>
  <c r="F9" i="1"/>
  <c r="G9" i="1"/>
  <c r="K9" i="1"/>
  <c r="L9" i="1"/>
  <c r="A10" i="1"/>
  <c r="C10" i="1"/>
  <c r="D10" i="1"/>
  <c r="E10" i="1"/>
  <c r="F10" i="1"/>
  <c r="G10" i="1"/>
  <c r="K10" i="1"/>
  <c r="L10" i="1"/>
  <c r="A11" i="1"/>
  <c r="C11" i="1"/>
  <c r="D11" i="1"/>
  <c r="E11" i="1"/>
  <c r="F11" i="1"/>
  <c r="G11" i="1"/>
  <c r="K11" i="1"/>
  <c r="L11" i="1"/>
  <c r="A12" i="1"/>
  <c r="B12" i="1"/>
  <c r="C12" i="1"/>
  <c r="D12" i="1"/>
  <c r="E12" i="1"/>
  <c r="F12" i="1"/>
  <c r="G12" i="1"/>
  <c r="K12" i="1"/>
  <c r="L12" i="1"/>
  <c r="A13" i="1"/>
  <c r="C13" i="1"/>
  <c r="D13" i="1"/>
  <c r="E13" i="1"/>
  <c r="F13" i="1"/>
  <c r="G13" i="1"/>
  <c r="K13" i="1"/>
  <c r="L13" i="1"/>
  <c r="A14" i="1"/>
  <c r="B14" i="1"/>
  <c r="C14" i="1"/>
  <c r="D14" i="1"/>
  <c r="E14" i="1"/>
  <c r="F14" i="1"/>
  <c r="G14" i="1"/>
  <c r="K14" i="1"/>
  <c r="L14" i="1"/>
  <c r="A15" i="1"/>
  <c r="C15" i="1"/>
  <c r="D15" i="1"/>
  <c r="E15" i="1"/>
  <c r="F15" i="1"/>
  <c r="G15" i="1"/>
  <c r="K15" i="1"/>
  <c r="L15" i="1"/>
  <c r="A16" i="1"/>
  <c r="B16" i="1"/>
  <c r="C16" i="1"/>
  <c r="D16" i="1"/>
  <c r="E16" i="1"/>
  <c r="F16" i="1"/>
  <c r="G16" i="1"/>
  <c r="K16" i="1"/>
  <c r="L16" i="1"/>
  <c r="A17" i="1"/>
  <c r="B17" i="1"/>
  <c r="C17" i="1"/>
  <c r="D17" i="1"/>
  <c r="E17" i="1"/>
  <c r="F17" i="1"/>
  <c r="G17" i="1"/>
  <c r="K17" i="1"/>
  <c r="L17" i="1"/>
  <c r="A18" i="1"/>
  <c r="B18" i="1"/>
  <c r="C18" i="1"/>
  <c r="D18" i="1"/>
  <c r="E18" i="1"/>
  <c r="F18" i="1"/>
  <c r="G18" i="1"/>
  <c r="K18" i="1"/>
  <c r="L18" i="1"/>
  <c r="A19" i="1"/>
  <c r="B19" i="1"/>
  <c r="C19" i="1"/>
  <c r="D19" i="1"/>
  <c r="E19" i="1"/>
  <c r="F19" i="1"/>
  <c r="G19" i="1"/>
  <c r="K19" i="1"/>
  <c r="L19" i="1"/>
  <c r="A20" i="1"/>
  <c r="C20" i="1"/>
  <c r="D20" i="1"/>
  <c r="E20" i="1"/>
  <c r="F20" i="1"/>
  <c r="G20" i="1"/>
  <c r="K20" i="1"/>
  <c r="L20" i="1"/>
  <c r="A21" i="1"/>
  <c r="C21" i="1"/>
  <c r="D21" i="1"/>
  <c r="E21" i="1"/>
  <c r="F21" i="1"/>
  <c r="G21" i="1"/>
  <c r="K21" i="1"/>
  <c r="L21" i="1"/>
  <c r="A22" i="1"/>
  <c r="B22" i="1"/>
  <c r="C22" i="1"/>
  <c r="D22" i="1"/>
  <c r="E22" i="1"/>
  <c r="F22" i="1"/>
  <c r="G22" i="1"/>
  <c r="K22" i="1"/>
  <c r="L22" i="1"/>
  <c r="A23" i="1"/>
  <c r="B23" i="1"/>
  <c r="C23" i="1"/>
  <c r="D23" i="1"/>
  <c r="E23" i="1"/>
  <c r="F23" i="1"/>
  <c r="G23" i="1"/>
  <c r="K23" i="1"/>
  <c r="L23" i="1"/>
  <c r="A24" i="1"/>
  <c r="B24" i="1"/>
  <c r="C24" i="1"/>
  <c r="D24" i="1"/>
  <c r="E24" i="1"/>
  <c r="F24" i="1"/>
  <c r="G24" i="1"/>
  <c r="K24" i="1"/>
  <c r="L24" i="1"/>
  <c r="A25" i="1"/>
  <c r="B25" i="1"/>
  <c r="C25" i="1"/>
  <c r="D25" i="1"/>
  <c r="E25" i="1"/>
  <c r="F25" i="1"/>
  <c r="G25" i="1"/>
  <c r="K25" i="1"/>
  <c r="L25" i="1"/>
  <c r="A26" i="1"/>
  <c r="B26" i="1"/>
  <c r="C26" i="1"/>
  <c r="D26" i="1"/>
  <c r="E26" i="1"/>
  <c r="F26" i="1"/>
  <c r="G26" i="1"/>
  <c r="K26" i="1"/>
  <c r="L26" i="1"/>
  <c r="A27" i="1"/>
  <c r="C27" i="1"/>
  <c r="D27" i="1"/>
  <c r="E27" i="1"/>
  <c r="F27" i="1"/>
  <c r="G27" i="1"/>
  <c r="K27" i="1"/>
  <c r="L27" i="1"/>
  <c r="A28" i="1"/>
  <c r="B28" i="1"/>
  <c r="C28" i="1"/>
  <c r="D28" i="1"/>
  <c r="E28" i="1"/>
  <c r="F28" i="1"/>
  <c r="G28" i="1"/>
  <c r="K28" i="1"/>
  <c r="L28" i="1"/>
  <c r="A29" i="1"/>
  <c r="B29" i="1"/>
  <c r="C29" i="1"/>
  <c r="D29" i="1"/>
  <c r="E29" i="1"/>
  <c r="F29" i="1"/>
  <c r="G29" i="1"/>
  <c r="K29" i="1"/>
  <c r="L29" i="1"/>
  <c r="A30" i="1"/>
  <c r="C30" i="1"/>
  <c r="D30" i="1"/>
  <c r="E30" i="1"/>
  <c r="F30" i="1"/>
  <c r="G30" i="1"/>
  <c r="K30" i="1"/>
  <c r="L30" i="1"/>
  <c r="A31" i="1"/>
  <c r="B31" i="1"/>
  <c r="C31" i="1"/>
  <c r="D31" i="1"/>
  <c r="E31" i="1"/>
  <c r="F31" i="1"/>
  <c r="G31" i="1"/>
  <c r="K31" i="1"/>
  <c r="L31" i="1"/>
  <c r="A32" i="1"/>
  <c r="B32" i="1"/>
  <c r="C32" i="1"/>
  <c r="D32" i="1"/>
  <c r="E32" i="1"/>
  <c r="F32" i="1"/>
  <c r="G32" i="1"/>
  <c r="K32" i="1"/>
  <c r="L32" i="1"/>
  <c r="A33" i="1"/>
  <c r="C33" i="1"/>
  <c r="D33" i="1"/>
  <c r="E33" i="1"/>
  <c r="F33" i="1"/>
  <c r="G33" i="1"/>
  <c r="K33" i="1"/>
  <c r="L33" i="1"/>
  <c r="A34" i="1"/>
  <c r="B34" i="1"/>
  <c r="C34" i="1"/>
  <c r="D34" i="1"/>
  <c r="E34" i="1"/>
  <c r="F34" i="1"/>
  <c r="G34" i="1"/>
  <c r="K34" i="1"/>
  <c r="L34" i="1"/>
  <c r="A35" i="1"/>
  <c r="B35" i="1"/>
  <c r="C35" i="1"/>
  <c r="D35" i="1"/>
  <c r="E35" i="1"/>
  <c r="F35" i="1"/>
  <c r="G35" i="1"/>
  <c r="K35" i="1"/>
  <c r="L35" i="1"/>
  <c r="A36" i="1"/>
  <c r="B36" i="1"/>
  <c r="C36" i="1"/>
  <c r="D36" i="1"/>
  <c r="E36" i="1"/>
  <c r="F36" i="1"/>
  <c r="G36" i="1"/>
  <c r="K36" i="1"/>
  <c r="L36" i="1"/>
  <c r="A37" i="1"/>
  <c r="B37" i="1"/>
  <c r="C37" i="1"/>
  <c r="D37" i="1"/>
  <c r="E37" i="1"/>
  <c r="F37" i="1"/>
  <c r="G37" i="1"/>
  <c r="K37" i="1"/>
  <c r="L37" i="1"/>
  <c r="A38" i="1"/>
  <c r="B38" i="1"/>
  <c r="C38" i="1"/>
  <c r="D38" i="1"/>
  <c r="E38" i="1"/>
  <c r="F38" i="1"/>
  <c r="G38" i="1"/>
  <c r="K38" i="1"/>
  <c r="L38" i="1"/>
  <c r="A39" i="1"/>
  <c r="B39" i="1"/>
  <c r="C39" i="1"/>
  <c r="D39" i="1"/>
  <c r="E39" i="1"/>
  <c r="F39" i="1"/>
  <c r="G39" i="1"/>
  <c r="K39" i="1"/>
  <c r="L39" i="1"/>
  <c r="A40" i="1"/>
  <c r="C40" i="1"/>
  <c r="D40" i="1"/>
  <c r="E40" i="1"/>
  <c r="F40" i="1"/>
  <c r="G40" i="1"/>
  <c r="K40" i="1"/>
  <c r="L40" i="1"/>
  <c r="A41" i="1"/>
  <c r="C41" i="1"/>
  <c r="D41" i="1"/>
  <c r="E41" i="1"/>
  <c r="F41" i="1"/>
  <c r="G41" i="1"/>
  <c r="K41" i="1"/>
  <c r="L41" i="1"/>
  <c r="A42" i="1"/>
  <c r="B42" i="1"/>
  <c r="C42" i="1"/>
  <c r="D42" i="1"/>
  <c r="E42" i="1"/>
  <c r="F42" i="1"/>
  <c r="G42" i="1"/>
  <c r="K42" i="1"/>
  <c r="L42" i="1"/>
  <c r="A43" i="1"/>
  <c r="C43" i="1"/>
  <c r="D43" i="1"/>
  <c r="E43" i="1"/>
  <c r="F43" i="1"/>
  <c r="G43" i="1"/>
  <c r="K43" i="1"/>
  <c r="L43" i="1"/>
  <c r="A44" i="1"/>
  <c r="C44" i="1"/>
  <c r="D44" i="1"/>
  <c r="E44" i="1"/>
  <c r="F44" i="1"/>
  <c r="G44" i="1"/>
  <c r="K44" i="1"/>
  <c r="L44" i="1"/>
  <c r="A45" i="1"/>
  <c r="C45" i="1"/>
  <c r="D45" i="1"/>
  <c r="E45" i="1"/>
  <c r="F45" i="1"/>
  <c r="G45" i="1"/>
  <c r="K45" i="1"/>
  <c r="L45" i="1"/>
  <c r="A46" i="1"/>
  <c r="B46" i="1"/>
  <c r="C46" i="1"/>
  <c r="D46" i="1"/>
  <c r="E46" i="1"/>
  <c r="F46" i="1"/>
  <c r="G46" i="1"/>
  <c r="K46" i="1"/>
  <c r="L46" i="1"/>
  <c r="A47" i="1"/>
  <c r="C47" i="1"/>
  <c r="D47" i="1"/>
  <c r="E47" i="1"/>
  <c r="F47" i="1"/>
  <c r="G47" i="1"/>
  <c r="K47" i="1"/>
  <c r="L47" i="1"/>
  <c r="A48" i="1"/>
  <c r="B48" i="1"/>
  <c r="C48" i="1"/>
  <c r="D48" i="1"/>
  <c r="E48" i="1"/>
  <c r="F48" i="1"/>
  <c r="G48" i="1"/>
  <c r="K48" i="1"/>
  <c r="L48" i="1"/>
  <c r="A49" i="1"/>
  <c r="B49" i="1"/>
  <c r="C49" i="1"/>
  <c r="D49" i="1"/>
  <c r="E49" i="1"/>
  <c r="F49" i="1"/>
  <c r="G49" i="1"/>
  <c r="K49" i="1"/>
  <c r="L49" i="1"/>
  <c r="A50" i="1"/>
  <c r="C50" i="1"/>
  <c r="D50" i="1"/>
  <c r="E50" i="1"/>
  <c r="F50" i="1"/>
  <c r="G50" i="1"/>
  <c r="K50" i="1"/>
  <c r="L50" i="1"/>
  <c r="A51" i="1"/>
  <c r="C51" i="1"/>
  <c r="D51" i="1"/>
  <c r="E51" i="1"/>
  <c r="F51" i="1"/>
  <c r="G51" i="1"/>
  <c r="K51" i="1"/>
  <c r="L51" i="1"/>
  <c r="A52" i="1"/>
  <c r="C52" i="1"/>
  <c r="D52" i="1"/>
  <c r="E52" i="1"/>
  <c r="F52" i="1"/>
  <c r="G52" i="1"/>
  <c r="K52" i="1"/>
  <c r="L52" i="1"/>
  <c r="A53" i="1"/>
  <c r="B53" i="1"/>
  <c r="C53" i="1"/>
  <c r="D53" i="1"/>
  <c r="E53" i="1"/>
  <c r="F53" i="1"/>
  <c r="G53" i="1"/>
  <c r="K53" i="1"/>
  <c r="L53" i="1"/>
  <c r="A54" i="1"/>
  <c r="B54" i="1"/>
  <c r="C54" i="1"/>
  <c r="D54" i="1"/>
  <c r="E54" i="1"/>
  <c r="F54" i="1"/>
  <c r="G54" i="1"/>
  <c r="K54" i="1"/>
  <c r="L54" i="1"/>
  <c r="A55" i="1"/>
  <c r="B55" i="1"/>
  <c r="C55" i="1"/>
  <c r="D55" i="1"/>
  <c r="E55" i="1"/>
  <c r="F55" i="1"/>
  <c r="G55" i="1"/>
  <c r="K55" i="1"/>
  <c r="L55" i="1"/>
  <c r="A56" i="1"/>
  <c r="C56" i="1"/>
  <c r="D56" i="1"/>
  <c r="E56" i="1"/>
  <c r="F56" i="1"/>
  <c r="G56" i="1"/>
  <c r="K56" i="1"/>
  <c r="L56" i="1"/>
  <c r="A57" i="1"/>
  <c r="B57" i="1"/>
  <c r="C57" i="1"/>
  <c r="D57" i="1"/>
  <c r="E57" i="1"/>
  <c r="F57" i="1"/>
  <c r="G57" i="1"/>
  <c r="K57" i="1"/>
  <c r="L57" i="1"/>
  <c r="A58" i="1"/>
  <c r="C58" i="1"/>
  <c r="D58" i="1"/>
  <c r="E58" i="1"/>
  <c r="F58" i="1"/>
  <c r="G58" i="1"/>
  <c r="K58" i="1"/>
  <c r="L58" i="1"/>
  <c r="A59" i="1"/>
  <c r="B59" i="1"/>
  <c r="C59" i="1"/>
  <c r="D59" i="1"/>
  <c r="E59" i="1"/>
  <c r="F59" i="1"/>
  <c r="G59" i="1"/>
  <c r="K59" i="1"/>
  <c r="L59" i="1"/>
  <c r="A60" i="1"/>
  <c r="B60" i="1"/>
  <c r="C60" i="1"/>
  <c r="D60" i="1"/>
  <c r="E60" i="1"/>
  <c r="F60" i="1"/>
  <c r="G60" i="1"/>
  <c r="K60" i="1"/>
  <c r="L60" i="1"/>
  <c r="A61" i="1"/>
  <c r="B61" i="1"/>
  <c r="C61" i="1"/>
  <c r="D61" i="1"/>
  <c r="E61" i="1"/>
  <c r="F61" i="1"/>
  <c r="G61" i="1"/>
  <c r="K61" i="1"/>
  <c r="L61" i="1"/>
  <c r="A62" i="1"/>
  <c r="C62" i="1"/>
  <c r="D62" i="1"/>
  <c r="E62" i="1"/>
  <c r="F62" i="1"/>
  <c r="G62" i="1"/>
  <c r="K62" i="1"/>
  <c r="L62" i="1"/>
  <c r="A63" i="1"/>
  <c r="C63" i="1"/>
  <c r="D63" i="1"/>
  <c r="E63" i="1"/>
  <c r="F63" i="1"/>
  <c r="G63" i="1"/>
  <c r="K63" i="1"/>
  <c r="L63" i="1"/>
  <c r="A64" i="1"/>
  <c r="B64" i="1"/>
  <c r="C64" i="1"/>
  <c r="D64" i="1"/>
  <c r="E64" i="1"/>
  <c r="F64" i="1"/>
  <c r="G64" i="1"/>
  <c r="K64" i="1"/>
  <c r="L64" i="1"/>
  <c r="A65" i="1"/>
  <c r="B65" i="1"/>
  <c r="C65" i="1"/>
  <c r="D65" i="1"/>
  <c r="E65" i="1"/>
  <c r="F65" i="1"/>
  <c r="G65" i="1"/>
  <c r="K65" i="1"/>
  <c r="L65" i="1"/>
  <c r="A66" i="1"/>
  <c r="B66" i="1"/>
  <c r="C66" i="1"/>
  <c r="D66" i="1"/>
  <c r="E66" i="1"/>
  <c r="F66" i="1"/>
  <c r="G66" i="1"/>
  <c r="K66" i="1"/>
  <c r="L66" i="1"/>
  <c r="A67" i="1"/>
  <c r="B67" i="1"/>
  <c r="C67" i="1"/>
  <c r="D67" i="1"/>
  <c r="E67" i="1"/>
  <c r="F67" i="1"/>
  <c r="G67" i="1"/>
  <c r="K67" i="1"/>
  <c r="L67" i="1"/>
  <c r="A68" i="1"/>
  <c r="C68" i="1"/>
  <c r="D68" i="1"/>
  <c r="E68" i="1"/>
  <c r="F68" i="1"/>
  <c r="G68" i="1"/>
  <c r="K68" i="1"/>
  <c r="L68" i="1"/>
  <c r="A69" i="1"/>
  <c r="B69" i="1"/>
  <c r="C69" i="1"/>
  <c r="D69" i="1"/>
  <c r="E69" i="1"/>
  <c r="F69" i="1"/>
  <c r="G69" i="1"/>
  <c r="K69" i="1"/>
  <c r="L69" i="1"/>
  <c r="A70" i="1"/>
  <c r="C70" i="1"/>
  <c r="D70" i="1"/>
  <c r="E70" i="1"/>
  <c r="F70" i="1"/>
  <c r="G70" i="1"/>
  <c r="K70" i="1"/>
  <c r="L70" i="1"/>
  <c r="A71" i="1"/>
  <c r="C71" i="1"/>
  <c r="D71" i="1"/>
  <c r="E71" i="1"/>
  <c r="F71" i="1"/>
  <c r="G71" i="1"/>
  <c r="K71" i="1"/>
  <c r="L71" i="1"/>
  <c r="A72" i="1"/>
  <c r="B72" i="1"/>
  <c r="C72" i="1"/>
  <c r="D72" i="1"/>
  <c r="E72" i="1"/>
  <c r="F72" i="1"/>
  <c r="G72" i="1"/>
  <c r="K72" i="1"/>
  <c r="L72" i="1"/>
  <c r="A73" i="1"/>
  <c r="B73" i="1"/>
  <c r="C73" i="1"/>
  <c r="D73" i="1"/>
  <c r="E73" i="1"/>
  <c r="F73" i="1"/>
  <c r="G73" i="1"/>
  <c r="K73" i="1"/>
  <c r="L73" i="1"/>
  <c r="A74" i="1"/>
  <c r="B74" i="1"/>
  <c r="C74" i="1"/>
  <c r="D74" i="1"/>
  <c r="E74" i="1"/>
  <c r="F74" i="1"/>
  <c r="G74" i="1"/>
  <c r="K74" i="1"/>
  <c r="L74" i="1"/>
  <c r="A75" i="1"/>
  <c r="C75" i="1"/>
  <c r="D75" i="1"/>
  <c r="E75" i="1"/>
  <c r="F75" i="1"/>
  <c r="G75" i="1"/>
  <c r="K75" i="1"/>
  <c r="L75" i="1"/>
  <c r="A76" i="1"/>
  <c r="C76" i="1"/>
  <c r="D76" i="1"/>
  <c r="E76" i="1"/>
  <c r="F76" i="1"/>
  <c r="G76" i="1"/>
  <c r="K76" i="1"/>
  <c r="L76" i="1"/>
  <c r="A77" i="1"/>
  <c r="C77" i="1"/>
  <c r="D77" i="1"/>
  <c r="E77" i="1"/>
  <c r="F77" i="1"/>
  <c r="G77" i="1"/>
  <c r="K77" i="1"/>
  <c r="L77" i="1"/>
  <c r="A78" i="1"/>
  <c r="B78" i="1"/>
  <c r="D78" i="1"/>
  <c r="E78" i="1"/>
  <c r="F78" i="1"/>
  <c r="G78" i="1"/>
  <c r="K78" i="1"/>
  <c r="A79" i="1"/>
  <c r="B79" i="1"/>
  <c r="C79" i="1"/>
  <c r="D79" i="1"/>
  <c r="E79" i="1"/>
  <c r="F79" i="1"/>
  <c r="G79" i="1"/>
  <c r="K79" i="1"/>
  <c r="L79" i="1"/>
  <c r="A80" i="1"/>
  <c r="C80" i="1"/>
  <c r="D80" i="1"/>
  <c r="E80" i="1"/>
  <c r="F80" i="1"/>
  <c r="G80" i="1"/>
  <c r="K80" i="1"/>
  <c r="L80" i="1"/>
  <c r="A81" i="1"/>
  <c r="B81" i="1"/>
  <c r="C81" i="1"/>
  <c r="D81" i="1"/>
  <c r="E81" i="1"/>
  <c r="F81" i="1"/>
  <c r="G81" i="1"/>
  <c r="J81" i="1"/>
  <c r="K81" i="1"/>
  <c r="L81" i="1"/>
  <c r="A82" i="1"/>
  <c r="C82" i="1"/>
  <c r="D82" i="1"/>
  <c r="E82" i="1"/>
  <c r="F82" i="1"/>
  <c r="G82" i="1"/>
  <c r="K82" i="1"/>
  <c r="L82" i="1"/>
  <c r="A83" i="1"/>
  <c r="B83" i="1"/>
  <c r="C83" i="1"/>
  <c r="D83" i="1"/>
  <c r="E83" i="1"/>
  <c r="F83" i="1"/>
  <c r="G83" i="1"/>
  <c r="K83" i="1"/>
  <c r="L83" i="1"/>
  <c r="A84" i="1"/>
  <c r="B84" i="1"/>
  <c r="C84" i="1"/>
  <c r="D84" i="1"/>
  <c r="E84" i="1"/>
  <c r="F84" i="1"/>
  <c r="G84" i="1"/>
  <c r="K84" i="1"/>
  <c r="L84" i="1"/>
  <c r="A85" i="1"/>
  <c r="C85" i="1"/>
  <c r="D85" i="1"/>
  <c r="E85" i="1"/>
  <c r="F85" i="1"/>
  <c r="G85" i="1"/>
  <c r="K85" i="1"/>
  <c r="L85" i="1"/>
  <c r="A86" i="1"/>
  <c r="C86" i="1"/>
  <c r="D86" i="1"/>
  <c r="E86" i="1"/>
  <c r="F86" i="1"/>
  <c r="G86" i="1"/>
  <c r="K86" i="1"/>
  <c r="L86" i="1"/>
  <c r="A87" i="1"/>
  <c r="C87" i="1"/>
  <c r="D87" i="1"/>
  <c r="E87" i="1"/>
  <c r="F87" i="1"/>
  <c r="G87" i="1"/>
  <c r="K87" i="1"/>
  <c r="L87" i="1"/>
  <c r="A88" i="1"/>
  <c r="C88" i="1"/>
  <c r="D88" i="1"/>
  <c r="E88" i="1"/>
  <c r="F88" i="1"/>
  <c r="G88" i="1"/>
  <c r="K88" i="1"/>
  <c r="L88" i="1"/>
  <c r="A89" i="1"/>
  <c r="C89" i="1"/>
  <c r="D89" i="1"/>
  <c r="E89" i="1"/>
  <c r="F89" i="1"/>
  <c r="G89" i="1"/>
  <c r="K89" i="1"/>
  <c r="L89" i="1"/>
  <c r="A90" i="1"/>
  <c r="C90" i="1"/>
  <c r="D90" i="1"/>
  <c r="E90" i="1"/>
  <c r="F90" i="1"/>
  <c r="G90" i="1"/>
  <c r="K90" i="1"/>
  <c r="L90" i="1"/>
  <c r="A91" i="1"/>
  <c r="C91" i="1"/>
  <c r="D91" i="1"/>
  <c r="E91" i="1"/>
  <c r="F91" i="1"/>
  <c r="G91" i="1"/>
  <c r="J91" i="1"/>
  <c r="K91" i="1"/>
  <c r="L91" i="1"/>
  <c r="A92" i="1"/>
  <c r="C92" i="1"/>
  <c r="D92" i="1"/>
  <c r="E92" i="1"/>
  <c r="F92" i="1"/>
  <c r="G92" i="1"/>
  <c r="K92" i="1"/>
  <c r="L92" i="1"/>
  <c r="A93" i="1"/>
  <c r="B93" i="1"/>
  <c r="C93" i="1"/>
  <c r="D93" i="1"/>
  <c r="E93" i="1"/>
  <c r="F93" i="1"/>
  <c r="G93" i="1"/>
  <c r="K93" i="1"/>
  <c r="L93" i="1"/>
  <c r="A94" i="1"/>
  <c r="B94" i="1"/>
  <c r="C94" i="1"/>
  <c r="D94" i="1"/>
  <c r="E94" i="1"/>
  <c r="F94" i="1"/>
  <c r="G94" i="1"/>
  <c r="K94" i="1"/>
  <c r="L94" i="1"/>
  <c r="A95" i="1"/>
  <c r="B95" i="1"/>
  <c r="C95" i="1"/>
  <c r="D95" i="1"/>
  <c r="E95" i="1"/>
  <c r="F95" i="1"/>
  <c r="G95" i="1"/>
  <c r="K95" i="1"/>
  <c r="L95" i="1"/>
  <c r="A96" i="1"/>
  <c r="B96" i="1"/>
  <c r="C96" i="1"/>
  <c r="D96" i="1"/>
  <c r="E96" i="1"/>
  <c r="F96" i="1"/>
  <c r="G96" i="1"/>
  <c r="K96" i="1"/>
  <c r="L96" i="1"/>
  <c r="A97" i="1"/>
  <c r="C97" i="1"/>
  <c r="D97" i="1"/>
  <c r="E97" i="1"/>
  <c r="F97" i="1"/>
  <c r="G97" i="1"/>
  <c r="K97" i="1"/>
  <c r="L97" i="1"/>
  <c r="A98" i="1"/>
  <c r="B98" i="1"/>
  <c r="C98" i="1"/>
  <c r="D98" i="1"/>
  <c r="E98" i="1"/>
  <c r="F98" i="1"/>
  <c r="G98" i="1"/>
  <c r="K98" i="1"/>
  <c r="L98" i="1"/>
  <c r="A99" i="1"/>
  <c r="B99" i="1"/>
  <c r="C99" i="1"/>
  <c r="D99" i="1"/>
  <c r="E99" i="1"/>
  <c r="F99" i="1"/>
  <c r="G99" i="1"/>
  <c r="K99" i="1"/>
  <c r="L99" i="1"/>
  <c r="A100" i="1"/>
  <c r="B100" i="1"/>
  <c r="C100" i="1"/>
  <c r="D100" i="1"/>
  <c r="E100" i="1"/>
  <c r="F100" i="1"/>
  <c r="G100" i="1"/>
  <c r="K100" i="1"/>
  <c r="L100" i="1"/>
  <c r="A101" i="1"/>
  <c r="C101" i="1"/>
  <c r="D101" i="1"/>
  <c r="E101" i="1"/>
  <c r="F101" i="1"/>
  <c r="G101" i="1"/>
  <c r="K101" i="1"/>
  <c r="L101" i="1"/>
  <c r="A102" i="1"/>
  <c r="C102" i="1"/>
  <c r="D102" i="1"/>
  <c r="E102" i="1"/>
  <c r="F102" i="1"/>
  <c r="G102" i="1"/>
  <c r="K102" i="1"/>
  <c r="L102" i="1"/>
  <c r="A103" i="1"/>
  <c r="B103" i="1"/>
  <c r="C103" i="1"/>
  <c r="D103" i="1"/>
  <c r="E103" i="1"/>
  <c r="F103" i="1"/>
  <c r="G103" i="1"/>
  <c r="K103" i="1"/>
  <c r="L103" i="1"/>
  <c r="A104" i="1"/>
  <c r="B104" i="1"/>
  <c r="C104" i="1"/>
  <c r="D104" i="1"/>
  <c r="E104" i="1"/>
  <c r="F104" i="1"/>
  <c r="G104" i="1"/>
  <c r="K104" i="1"/>
  <c r="L104" i="1"/>
  <c r="A105" i="1"/>
  <c r="C105" i="1"/>
  <c r="D105" i="1"/>
  <c r="E105" i="1"/>
  <c r="F105" i="1"/>
  <c r="G105" i="1"/>
  <c r="K105" i="1"/>
  <c r="L105" i="1"/>
  <c r="A106" i="1"/>
  <c r="B106" i="1"/>
  <c r="C106" i="1"/>
  <c r="D106" i="1"/>
  <c r="E106" i="1"/>
  <c r="F106" i="1"/>
  <c r="G106" i="1"/>
  <c r="K106" i="1"/>
  <c r="L106" i="1"/>
  <c r="A107" i="1"/>
  <c r="B107" i="1"/>
  <c r="C107" i="1"/>
  <c r="D107" i="1"/>
  <c r="E107" i="1"/>
  <c r="F107" i="1"/>
  <c r="G107" i="1"/>
  <c r="K107" i="1"/>
  <c r="L107" i="1"/>
  <c r="A108" i="1"/>
  <c r="B108" i="1"/>
  <c r="C108" i="1"/>
  <c r="D108" i="1"/>
  <c r="E108" i="1"/>
  <c r="F108" i="1"/>
  <c r="G108" i="1"/>
  <c r="K108" i="1"/>
  <c r="L108" i="1"/>
  <c r="A109" i="1"/>
  <c r="C109" i="1"/>
  <c r="D109" i="1"/>
  <c r="E109" i="1"/>
  <c r="F109" i="1"/>
  <c r="G109" i="1"/>
  <c r="K109" i="1"/>
  <c r="L109" i="1"/>
  <c r="A110" i="1"/>
  <c r="B110" i="1"/>
  <c r="C110" i="1"/>
  <c r="D110" i="1"/>
  <c r="E110" i="1"/>
  <c r="F110" i="1"/>
  <c r="G110" i="1"/>
  <c r="K110" i="1"/>
  <c r="L110" i="1"/>
  <c r="A111" i="1"/>
  <c r="C111" i="1"/>
  <c r="D111" i="1"/>
  <c r="E111" i="1"/>
  <c r="F111" i="1"/>
  <c r="G111" i="1"/>
  <c r="K111" i="1"/>
  <c r="L111" i="1"/>
  <c r="A112" i="1"/>
  <c r="C112" i="1"/>
  <c r="D112" i="1"/>
  <c r="E112" i="1"/>
  <c r="F112" i="1"/>
  <c r="G112" i="1"/>
  <c r="K112" i="1"/>
  <c r="L112" i="1"/>
  <c r="A113" i="1"/>
  <c r="B113" i="1"/>
  <c r="C113" i="1"/>
  <c r="D113" i="1"/>
  <c r="E113" i="1"/>
  <c r="F113" i="1"/>
  <c r="G113" i="1"/>
  <c r="K113" i="1"/>
  <c r="L113" i="1"/>
  <c r="A114" i="1"/>
  <c r="C114" i="1"/>
  <c r="D114" i="1"/>
  <c r="E114" i="1"/>
  <c r="F114" i="1"/>
  <c r="G114" i="1"/>
  <c r="K114" i="1"/>
  <c r="L114" i="1"/>
  <c r="A115" i="1"/>
  <c r="B115" i="1"/>
  <c r="C115" i="1"/>
  <c r="D115" i="1"/>
  <c r="E115" i="1"/>
  <c r="F115" i="1"/>
  <c r="G115" i="1"/>
  <c r="K115" i="1"/>
  <c r="L115" i="1"/>
  <c r="A116" i="1"/>
  <c r="B116" i="1"/>
  <c r="C116" i="1"/>
  <c r="D116" i="1"/>
  <c r="E116" i="1"/>
  <c r="F116" i="1"/>
  <c r="G116" i="1"/>
  <c r="K116" i="1"/>
  <c r="L116" i="1"/>
  <c r="A117" i="1"/>
  <c r="C117" i="1"/>
  <c r="D117" i="1"/>
  <c r="E117" i="1"/>
  <c r="F117" i="1"/>
  <c r="G117" i="1"/>
  <c r="K117" i="1"/>
  <c r="A118" i="1"/>
  <c r="B118" i="1"/>
  <c r="C118" i="1"/>
  <c r="D118" i="1"/>
  <c r="E118" i="1"/>
  <c r="F118" i="1"/>
  <c r="G118" i="1"/>
  <c r="K118" i="1"/>
  <c r="L118" i="1"/>
  <c r="A119" i="1"/>
  <c r="B119" i="1"/>
  <c r="C119" i="1"/>
  <c r="D119" i="1"/>
  <c r="E119" i="1"/>
  <c r="F119" i="1"/>
  <c r="G119" i="1"/>
  <c r="K119" i="1"/>
  <c r="L119" i="1"/>
  <c r="A120" i="1"/>
  <c r="B120" i="1"/>
  <c r="C120" i="1"/>
  <c r="D120" i="1"/>
  <c r="E120" i="1"/>
  <c r="F120" i="1"/>
  <c r="G120" i="1"/>
  <c r="K120" i="1"/>
  <c r="L120" i="1"/>
  <c r="A121" i="1"/>
  <c r="B121" i="1"/>
  <c r="C121" i="1"/>
  <c r="D121" i="1"/>
  <c r="E121" i="1"/>
  <c r="F121" i="1"/>
  <c r="G121" i="1"/>
  <c r="K121" i="1"/>
  <c r="L121" i="1"/>
  <c r="A122" i="1"/>
  <c r="B122" i="1"/>
  <c r="C122" i="1"/>
  <c r="D122" i="1"/>
  <c r="E122" i="1"/>
  <c r="F122" i="1"/>
  <c r="G122" i="1"/>
  <c r="K122" i="1"/>
  <c r="L122" i="1"/>
  <c r="A123" i="1"/>
  <c r="B123" i="1"/>
  <c r="C123" i="1"/>
  <c r="D123" i="1"/>
  <c r="E123" i="1"/>
  <c r="F123" i="1"/>
  <c r="G123" i="1"/>
  <c r="K123" i="1"/>
  <c r="L123" i="1"/>
  <c r="A124" i="1"/>
  <c r="B124" i="1"/>
  <c r="C124" i="1"/>
  <c r="D124" i="1"/>
  <c r="E124" i="1"/>
  <c r="F124" i="1"/>
  <c r="G124" i="1"/>
  <c r="K124" i="1"/>
  <c r="L124" i="1"/>
  <c r="A125" i="1"/>
  <c r="B125" i="1"/>
  <c r="C125" i="1"/>
  <c r="D125" i="1"/>
  <c r="E125" i="1"/>
  <c r="F125" i="1"/>
  <c r="G125" i="1"/>
  <c r="K125" i="1"/>
  <c r="L125" i="1"/>
  <c r="A126" i="1"/>
  <c r="B126" i="1"/>
  <c r="C126" i="1"/>
  <c r="D126" i="1"/>
  <c r="E126" i="1"/>
  <c r="F126" i="1"/>
  <c r="G126" i="1"/>
  <c r="K126" i="1"/>
  <c r="L126" i="1"/>
  <c r="A127" i="1"/>
  <c r="B127" i="1"/>
  <c r="C127" i="1"/>
  <c r="D127" i="1"/>
  <c r="E127" i="1"/>
  <c r="F127" i="1"/>
  <c r="G127" i="1"/>
  <c r="K127" i="1"/>
  <c r="L127" i="1"/>
  <c r="A128" i="1"/>
  <c r="B128" i="1"/>
  <c r="C128" i="1"/>
  <c r="D128" i="1"/>
  <c r="E128" i="1"/>
  <c r="F128" i="1"/>
  <c r="G128" i="1"/>
  <c r="K128" i="1"/>
  <c r="L128" i="1"/>
  <c r="A129" i="1"/>
  <c r="B129" i="1"/>
  <c r="C129" i="1"/>
  <c r="D129" i="1"/>
  <c r="E129" i="1"/>
  <c r="F129" i="1"/>
  <c r="G129" i="1"/>
  <c r="K129" i="1"/>
  <c r="L129" i="1"/>
  <c r="A130" i="1"/>
  <c r="B130" i="1"/>
  <c r="C130" i="1"/>
  <c r="D130" i="1"/>
  <c r="E130" i="1"/>
  <c r="F130" i="1"/>
  <c r="G130" i="1"/>
  <c r="K130" i="1"/>
  <c r="L130" i="1"/>
  <c r="A131" i="1"/>
  <c r="B131" i="1"/>
  <c r="C131" i="1"/>
  <c r="D131" i="1"/>
  <c r="E131" i="1"/>
  <c r="F131" i="1"/>
  <c r="G131" i="1"/>
  <c r="K131" i="1"/>
  <c r="L131" i="1"/>
  <c r="A132" i="1"/>
  <c r="B132" i="1"/>
  <c r="C132" i="1"/>
  <c r="D132" i="1"/>
  <c r="E132" i="1"/>
  <c r="F132" i="1"/>
  <c r="G132" i="1"/>
  <c r="K132" i="1"/>
  <c r="L132" i="1"/>
  <c r="A133" i="1"/>
  <c r="B133" i="1"/>
  <c r="C133" i="1"/>
  <c r="D133" i="1"/>
  <c r="E133" i="1"/>
  <c r="F133" i="1"/>
  <c r="G133" i="1"/>
  <c r="K133" i="1"/>
  <c r="L133" i="1"/>
  <c r="A134" i="1"/>
  <c r="B134" i="1"/>
  <c r="C134" i="1"/>
  <c r="D134" i="1"/>
  <c r="E134" i="1"/>
  <c r="F134" i="1"/>
  <c r="G134" i="1"/>
  <c r="K134" i="1"/>
  <c r="L134" i="1"/>
  <c r="A135" i="1"/>
  <c r="B135" i="1"/>
  <c r="C135" i="1"/>
  <c r="D135" i="1"/>
  <c r="E135" i="1"/>
  <c r="F135" i="1"/>
  <c r="G135" i="1"/>
  <c r="K135" i="1"/>
  <c r="L135" i="1"/>
  <c r="A136" i="1"/>
  <c r="B136" i="1"/>
  <c r="C136" i="1"/>
  <c r="D136" i="1"/>
  <c r="E136" i="1"/>
  <c r="F136" i="1"/>
  <c r="G136" i="1"/>
  <c r="K136" i="1"/>
  <c r="L136" i="1"/>
  <c r="A137" i="1"/>
  <c r="B137" i="1"/>
  <c r="C137" i="1"/>
  <c r="D137" i="1"/>
  <c r="E137" i="1"/>
  <c r="F137" i="1"/>
  <c r="G137" i="1"/>
  <c r="K137" i="1"/>
  <c r="L137" i="1"/>
  <c r="A138" i="1"/>
  <c r="B138" i="1"/>
  <c r="C138" i="1"/>
  <c r="D138" i="1"/>
  <c r="E138" i="1"/>
  <c r="F138" i="1"/>
  <c r="G138" i="1"/>
  <c r="K138" i="1"/>
  <c r="L138" i="1"/>
  <c r="A139" i="1"/>
  <c r="B139" i="1"/>
  <c r="C139" i="1"/>
  <c r="D139" i="1"/>
  <c r="E139" i="1"/>
  <c r="F139" i="1"/>
  <c r="G139" i="1"/>
  <c r="K139" i="1"/>
  <c r="L139" i="1"/>
  <c r="A140" i="1"/>
  <c r="B140" i="1"/>
  <c r="C140" i="1"/>
  <c r="D140" i="1"/>
  <c r="E140" i="1"/>
  <c r="F140" i="1"/>
  <c r="G140" i="1"/>
  <c r="K140" i="1"/>
  <c r="A141" i="1"/>
  <c r="B141" i="1"/>
  <c r="C141" i="1"/>
  <c r="D141" i="1"/>
  <c r="E141" i="1"/>
  <c r="F141" i="1"/>
  <c r="G141" i="1"/>
  <c r="K141" i="1"/>
  <c r="L141" i="1"/>
  <c r="A142" i="1"/>
  <c r="B142" i="1"/>
  <c r="C142" i="1"/>
  <c r="D142" i="1"/>
  <c r="E142" i="1"/>
  <c r="F142" i="1"/>
  <c r="G142" i="1"/>
  <c r="K142" i="1"/>
  <c r="L142" i="1"/>
  <c r="A143" i="1"/>
  <c r="B143" i="1"/>
  <c r="C143" i="1"/>
  <c r="D143" i="1"/>
  <c r="E143" i="1"/>
  <c r="F143" i="1"/>
  <c r="G143" i="1"/>
  <c r="K143" i="1"/>
  <c r="L143" i="1"/>
  <c r="A144" i="1"/>
  <c r="B144" i="1"/>
  <c r="C144" i="1"/>
  <c r="D144" i="1"/>
  <c r="E144" i="1"/>
  <c r="F144" i="1"/>
  <c r="G144" i="1"/>
  <c r="K144" i="1"/>
  <c r="L144" i="1"/>
  <c r="A145" i="1"/>
  <c r="B145" i="1"/>
  <c r="C145" i="1"/>
  <c r="D145" i="1"/>
  <c r="E145" i="1"/>
  <c r="F145" i="1"/>
  <c r="G145" i="1"/>
  <c r="K145" i="1"/>
  <c r="L145" i="1"/>
  <c r="A146" i="1"/>
  <c r="B146" i="1"/>
  <c r="C146" i="1"/>
  <c r="D146" i="1"/>
  <c r="E146" i="1"/>
  <c r="F146" i="1"/>
  <c r="G146" i="1"/>
  <c r="K146" i="1"/>
  <c r="L146" i="1"/>
  <c r="A147" i="1"/>
  <c r="B147" i="1"/>
  <c r="C147" i="1"/>
  <c r="D147" i="1"/>
  <c r="E147" i="1"/>
  <c r="F147" i="1"/>
  <c r="G147" i="1"/>
  <c r="K147" i="1"/>
  <c r="L147" i="1"/>
  <c r="A148" i="1"/>
  <c r="C148" i="1"/>
  <c r="D148" i="1"/>
  <c r="E148" i="1"/>
  <c r="F148" i="1"/>
  <c r="G148" i="1"/>
  <c r="K148" i="1"/>
  <c r="L148" i="1"/>
  <c r="A149" i="1"/>
  <c r="B149" i="1"/>
  <c r="C149" i="1"/>
  <c r="D149" i="1"/>
  <c r="E149" i="1"/>
  <c r="F149" i="1"/>
  <c r="G149" i="1"/>
  <c r="K149" i="1"/>
  <c r="L149" i="1"/>
  <c r="A150" i="1"/>
  <c r="B150" i="1"/>
  <c r="C150" i="1"/>
  <c r="D150" i="1"/>
  <c r="E150" i="1"/>
  <c r="F150" i="1"/>
  <c r="G150" i="1"/>
  <c r="K150" i="1"/>
  <c r="L150" i="1"/>
  <c r="A151" i="1"/>
  <c r="B151" i="1"/>
  <c r="C151" i="1"/>
  <c r="D151" i="1"/>
  <c r="E151" i="1"/>
  <c r="F151" i="1"/>
  <c r="G151" i="1"/>
  <c r="K151" i="1"/>
  <c r="L151" i="1"/>
  <c r="A152" i="1"/>
  <c r="B152" i="1"/>
  <c r="C152" i="1"/>
  <c r="D152" i="1"/>
  <c r="E152" i="1"/>
  <c r="F152" i="1"/>
  <c r="G152" i="1"/>
  <c r="K152" i="1"/>
  <c r="L152" i="1"/>
  <c r="A153" i="1"/>
  <c r="B153" i="1"/>
  <c r="C153" i="1"/>
  <c r="D153" i="1"/>
  <c r="E153" i="1"/>
  <c r="F153" i="1"/>
  <c r="G153" i="1"/>
  <c r="K153" i="1"/>
  <c r="L153" i="1"/>
  <c r="A154" i="1"/>
  <c r="B154" i="1"/>
  <c r="C154" i="1"/>
  <c r="D154" i="1"/>
  <c r="E154" i="1"/>
  <c r="F154" i="1"/>
  <c r="G154" i="1"/>
  <c r="K154" i="1"/>
  <c r="L154" i="1"/>
  <c r="A155" i="1"/>
  <c r="B155" i="1"/>
  <c r="D155" i="1"/>
  <c r="E155" i="1"/>
  <c r="F155" i="1"/>
  <c r="G155" i="1"/>
  <c r="K155" i="1"/>
  <c r="A156" i="1"/>
  <c r="B156" i="1"/>
  <c r="C156" i="1"/>
  <c r="D156" i="1"/>
  <c r="E156" i="1"/>
  <c r="F156" i="1"/>
  <c r="G156" i="1"/>
  <c r="K156" i="1"/>
  <c r="L156" i="1"/>
  <c r="A157" i="1"/>
  <c r="C157" i="1"/>
  <c r="D157" i="1"/>
  <c r="E157" i="1"/>
  <c r="F157" i="1"/>
  <c r="G157" i="1"/>
  <c r="K157" i="1"/>
  <c r="L157" i="1"/>
  <c r="A158" i="1"/>
  <c r="B158" i="1"/>
  <c r="C158" i="1"/>
  <c r="D158" i="1"/>
  <c r="E158" i="1"/>
  <c r="F158" i="1"/>
  <c r="G158" i="1"/>
  <c r="K158" i="1"/>
  <c r="L158" i="1"/>
  <c r="A159" i="1"/>
  <c r="B159" i="1"/>
  <c r="C159" i="1"/>
  <c r="D159" i="1"/>
  <c r="E159" i="1"/>
  <c r="F159" i="1"/>
  <c r="G159" i="1"/>
  <c r="K159" i="1"/>
  <c r="L159" i="1"/>
  <c r="A160" i="1"/>
  <c r="C160" i="1"/>
  <c r="D160" i="1"/>
  <c r="E160" i="1"/>
  <c r="F160" i="1"/>
  <c r="G160" i="1"/>
  <c r="K160" i="1"/>
  <c r="L160" i="1"/>
  <c r="A161" i="1"/>
  <c r="B161" i="1"/>
  <c r="C161" i="1"/>
  <c r="D161" i="1"/>
  <c r="E161" i="1"/>
  <c r="F161" i="1"/>
  <c r="G161" i="1"/>
  <c r="K161" i="1"/>
  <c r="L161" i="1"/>
  <c r="A162" i="1"/>
  <c r="B162" i="1"/>
  <c r="C162" i="1"/>
  <c r="D162" i="1"/>
  <c r="E162" i="1"/>
  <c r="F162" i="1"/>
  <c r="G162" i="1"/>
  <c r="K162" i="1"/>
  <c r="L162" i="1"/>
  <c r="A163" i="1"/>
  <c r="B163" i="1"/>
  <c r="C163" i="1"/>
  <c r="D163" i="1"/>
  <c r="E163" i="1"/>
  <c r="F163" i="1"/>
  <c r="G163" i="1"/>
  <c r="K163" i="1"/>
  <c r="L163" i="1"/>
  <c r="A164" i="1"/>
  <c r="B164" i="1"/>
  <c r="C164" i="1"/>
  <c r="D164" i="1"/>
  <c r="E164" i="1"/>
  <c r="F164" i="1"/>
  <c r="G164" i="1"/>
  <c r="K164" i="1"/>
  <c r="L164" i="1"/>
  <c r="A165" i="1"/>
  <c r="B165" i="1"/>
  <c r="C165" i="1"/>
  <c r="D165" i="1"/>
  <c r="E165" i="1"/>
  <c r="F165" i="1"/>
  <c r="G165" i="1"/>
  <c r="K165" i="1"/>
  <c r="L165" i="1"/>
  <c r="A166" i="1"/>
  <c r="B166" i="1"/>
  <c r="C166" i="1"/>
  <c r="D166" i="1"/>
  <c r="E166" i="1"/>
  <c r="F166" i="1"/>
  <c r="G166" i="1"/>
  <c r="K166" i="1"/>
  <c r="L166" i="1"/>
  <c r="A167" i="1"/>
  <c r="B167" i="1"/>
  <c r="C167" i="1"/>
  <c r="D167" i="1"/>
  <c r="E167" i="1"/>
  <c r="F167" i="1"/>
  <c r="G167" i="1"/>
  <c r="K167" i="1"/>
  <c r="L167" i="1"/>
  <c r="A168" i="1"/>
  <c r="C168" i="1"/>
  <c r="D168" i="1"/>
  <c r="E168" i="1"/>
  <c r="F168" i="1"/>
  <c r="G168" i="1"/>
  <c r="K168" i="1"/>
  <c r="L168" i="1"/>
  <c r="A169" i="1"/>
  <c r="C169" i="1"/>
  <c r="D169" i="1"/>
  <c r="E169" i="1"/>
  <c r="F169" i="1"/>
  <c r="G169" i="1"/>
  <c r="K169" i="1"/>
  <c r="L169" i="1"/>
  <c r="A170" i="1"/>
  <c r="B170" i="1"/>
  <c r="C170" i="1"/>
  <c r="D170" i="1"/>
  <c r="E170" i="1"/>
  <c r="F170" i="1"/>
  <c r="G170" i="1"/>
  <c r="K170" i="1"/>
  <c r="L170" i="1"/>
  <c r="A171" i="1"/>
  <c r="B171" i="1"/>
  <c r="C171" i="1"/>
  <c r="D171" i="1"/>
  <c r="E171" i="1"/>
  <c r="F171" i="1"/>
  <c r="G171" i="1"/>
  <c r="K171" i="1"/>
  <c r="L171" i="1"/>
  <c r="A172" i="1"/>
  <c r="B172" i="1"/>
  <c r="C172" i="1"/>
  <c r="D172" i="1"/>
  <c r="E172" i="1"/>
  <c r="F172" i="1"/>
  <c r="G172" i="1"/>
  <c r="K172" i="1"/>
  <c r="L172" i="1"/>
  <c r="A173" i="1"/>
  <c r="B173" i="1"/>
  <c r="C173" i="1"/>
  <c r="D173" i="1"/>
  <c r="E173" i="1"/>
  <c r="F173" i="1"/>
  <c r="G173" i="1"/>
  <c r="K173" i="1"/>
  <c r="L173" i="1"/>
  <c r="A174" i="1"/>
  <c r="B174" i="1"/>
  <c r="C174" i="1"/>
  <c r="D174" i="1"/>
  <c r="E174" i="1"/>
  <c r="F174" i="1"/>
  <c r="G174" i="1"/>
  <c r="K174" i="1"/>
  <c r="L174" i="1"/>
  <c r="A175" i="1"/>
  <c r="B175" i="1"/>
  <c r="C175" i="1"/>
  <c r="D175" i="1"/>
  <c r="E175" i="1"/>
  <c r="F175" i="1"/>
  <c r="G175" i="1"/>
  <c r="K175" i="1"/>
  <c r="L175" i="1"/>
  <c r="A176" i="1"/>
  <c r="C176" i="1"/>
  <c r="D176" i="1"/>
  <c r="E176" i="1"/>
  <c r="F176" i="1"/>
  <c r="G176" i="1"/>
  <c r="K176" i="1"/>
  <c r="L176" i="1"/>
  <c r="A177" i="1"/>
  <c r="C177" i="1"/>
  <c r="D177" i="1"/>
  <c r="E177" i="1"/>
  <c r="F177" i="1"/>
  <c r="G177" i="1"/>
  <c r="K177" i="1"/>
  <c r="L177" i="1"/>
  <c r="A178" i="1"/>
  <c r="B178" i="1"/>
  <c r="C178" i="1"/>
  <c r="D178" i="1"/>
  <c r="E178" i="1"/>
  <c r="F178" i="1"/>
  <c r="G178" i="1"/>
  <c r="K178" i="1"/>
  <c r="L178" i="1"/>
  <c r="A179" i="1"/>
  <c r="C179" i="1"/>
  <c r="D179" i="1"/>
  <c r="E179" i="1"/>
  <c r="F179" i="1"/>
  <c r="G179" i="1"/>
  <c r="K179" i="1"/>
  <c r="L179" i="1"/>
  <c r="A180" i="1"/>
  <c r="C180" i="1"/>
  <c r="D180" i="1"/>
  <c r="E180" i="1"/>
  <c r="F180" i="1"/>
  <c r="G180" i="1"/>
  <c r="K180" i="1"/>
  <c r="L180" i="1"/>
  <c r="A181" i="1"/>
  <c r="C181" i="1"/>
  <c r="D181" i="1"/>
  <c r="E181" i="1"/>
  <c r="F181" i="1"/>
  <c r="G181" i="1"/>
  <c r="K181" i="1"/>
  <c r="L181" i="1"/>
  <c r="A182" i="1"/>
  <c r="B182" i="1"/>
  <c r="C182" i="1"/>
  <c r="D182" i="1"/>
  <c r="E182" i="1"/>
  <c r="F182" i="1"/>
  <c r="G182" i="1"/>
  <c r="K182" i="1"/>
  <c r="L182" i="1"/>
  <c r="A183" i="1"/>
  <c r="C183" i="1"/>
  <c r="D183" i="1"/>
  <c r="E183" i="1"/>
  <c r="F183" i="1"/>
  <c r="G183" i="1"/>
  <c r="K183" i="1"/>
  <c r="L183" i="1"/>
  <c r="A184" i="1"/>
  <c r="C184" i="1"/>
  <c r="D184" i="1"/>
  <c r="E184" i="1"/>
  <c r="F184" i="1"/>
  <c r="G184" i="1"/>
  <c r="K184" i="1"/>
  <c r="L184" i="1"/>
  <c r="A185" i="1"/>
  <c r="B185" i="1"/>
  <c r="C185" i="1"/>
  <c r="D185" i="1"/>
  <c r="E185" i="1"/>
  <c r="F185" i="1"/>
  <c r="G185" i="1"/>
  <c r="K185" i="1"/>
  <c r="L185" i="1"/>
  <c r="A186" i="1"/>
  <c r="B186" i="1"/>
  <c r="C186" i="1"/>
  <c r="D186" i="1"/>
  <c r="E186" i="1"/>
  <c r="F186" i="1"/>
  <c r="G186" i="1"/>
  <c r="K186" i="1"/>
  <c r="L186" i="1"/>
  <c r="A187" i="1"/>
  <c r="B187" i="1"/>
  <c r="C187" i="1"/>
  <c r="D187" i="1"/>
  <c r="E187" i="1"/>
  <c r="F187" i="1"/>
  <c r="G187" i="1"/>
  <c r="K187" i="1"/>
  <c r="L187" i="1"/>
  <c r="A188" i="1"/>
  <c r="B188" i="1"/>
  <c r="C188" i="1"/>
  <c r="D188" i="1"/>
  <c r="E188" i="1"/>
  <c r="F188" i="1"/>
  <c r="G188" i="1"/>
  <c r="K188" i="1"/>
  <c r="L188" i="1"/>
  <c r="A189" i="1"/>
  <c r="B189" i="1"/>
  <c r="C189" i="1"/>
  <c r="D189" i="1"/>
  <c r="E189" i="1"/>
  <c r="F189" i="1"/>
  <c r="G189" i="1"/>
  <c r="K189" i="1"/>
  <c r="L189" i="1"/>
  <c r="A190" i="1"/>
  <c r="C190" i="1"/>
  <c r="D190" i="1"/>
  <c r="E190" i="1"/>
  <c r="F190" i="1"/>
  <c r="G190" i="1"/>
  <c r="K190" i="1"/>
  <c r="L190" i="1"/>
  <c r="A191" i="1"/>
  <c r="B191" i="1"/>
  <c r="C191" i="1"/>
  <c r="D191" i="1"/>
  <c r="E191" i="1"/>
  <c r="F191" i="1"/>
  <c r="G191" i="1"/>
  <c r="K191" i="1"/>
  <c r="L191" i="1"/>
  <c r="A192" i="1"/>
  <c r="B192" i="1"/>
  <c r="C192" i="1"/>
  <c r="D192" i="1"/>
  <c r="E192" i="1"/>
  <c r="F192" i="1"/>
  <c r="G192" i="1"/>
  <c r="K192" i="1"/>
  <c r="L192" i="1"/>
  <c r="A193" i="1"/>
  <c r="B193" i="1"/>
  <c r="C193" i="1"/>
  <c r="D193" i="1"/>
  <c r="E193" i="1"/>
  <c r="F193" i="1"/>
  <c r="G193" i="1"/>
  <c r="K193" i="1"/>
  <c r="L193" i="1"/>
  <c r="A194" i="1"/>
  <c r="B194" i="1"/>
  <c r="C194" i="1"/>
  <c r="D194" i="1"/>
  <c r="E194" i="1"/>
  <c r="F194" i="1"/>
  <c r="G194" i="1"/>
  <c r="K194" i="1"/>
  <c r="L194" i="1"/>
  <c r="A195" i="1"/>
  <c r="C195" i="1"/>
  <c r="D195" i="1"/>
  <c r="E195" i="1"/>
  <c r="F195" i="1"/>
  <c r="G195" i="1"/>
  <c r="K195" i="1"/>
  <c r="L195" i="1"/>
  <c r="A196" i="1"/>
  <c r="B196" i="1"/>
  <c r="C196" i="1"/>
  <c r="D196" i="1"/>
  <c r="E196" i="1"/>
  <c r="F196" i="1"/>
  <c r="G196" i="1"/>
  <c r="K196" i="1"/>
  <c r="L196" i="1"/>
  <c r="A197" i="1"/>
  <c r="B197" i="1"/>
  <c r="C197" i="1"/>
  <c r="D197" i="1"/>
  <c r="E197" i="1"/>
  <c r="F197" i="1"/>
  <c r="G197" i="1"/>
  <c r="K197" i="1"/>
  <c r="L197" i="1"/>
  <c r="A198" i="1"/>
  <c r="C198" i="1"/>
  <c r="D198" i="1"/>
  <c r="E198" i="1"/>
  <c r="F198" i="1"/>
  <c r="G198" i="1"/>
  <c r="K198" i="1"/>
  <c r="L198" i="1"/>
  <c r="A199" i="1"/>
  <c r="B199" i="1"/>
  <c r="C199" i="1"/>
  <c r="D199" i="1"/>
  <c r="E199" i="1"/>
  <c r="F199" i="1"/>
  <c r="G199" i="1"/>
  <c r="K199" i="1"/>
  <c r="L199" i="1"/>
  <c r="A200" i="1"/>
  <c r="B200" i="1"/>
  <c r="C200" i="1"/>
  <c r="D200" i="1"/>
  <c r="E200" i="1"/>
  <c r="F200" i="1"/>
  <c r="G200" i="1"/>
  <c r="K200" i="1"/>
  <c r="L200" i="1"/>
  <c r="A201" i="1"/>
  <c r="C201" i="1"/>
  <c r="D201" i="1"/>
  <c r="E201" i="1"/>
  <c r="F201" i="1"/>
  <c r="G201" i="1"/>
  <c r="K201" i="1"/>
  <c r="L201" i="1"/>
  <c r="A202" i="1"/>
  <c r="B202" i="1"/>
  <c r="C202" i="1"/>
  <c r="D202" i="1"/>
  <c r="E202" i="1"/>
  <c r="F202" i="1"/>
  <c r="G202" i="1"/>
  <c r="K202" i="1"/>
  <c r="L202" i="1"/>
  <c r="A203" i="1"/>
  <c r="C203" i="1"/>
  <c r="D203" i="1"/>
  <c r="E203" i="1"/>
  <c r="F203" i="1"/>
  <c r="G203" i="1"/>
  <c r="K203" i="1"/>
  <c r="L203" i="1"/>
  <c r="A204" i="1"/>
  <c r="C204" i="1"/>
  <c r="D204" i="1"/>
  <c r="E204" i="1"/>
  <c r="F204" i="1"/>
  <c r="G204" i="1"/>
  <c r="K204" i="1"/>
  <c r="L204" i="1"/>
  <c r="A205" i="1"/>
  <c r="C205" i="1"/>
  <c r="D205" i="1"/>
  <c r="E205" i="1"/>
  <c r="F205" i="1"/>
  <c r="G205" i="1"/>
  <c r="K205" i="1"/>
  <c r="L205" i="1"/>
  <c r="A206" i="1"/>
  <c r="B206" i="1"/>
  <c r="C206" i="1"/>
  <c r="D206" i="1"/>
  <c r="E206" i="1"/>
  <c r="F206" i="1"/>
  <c r="G206" i="1"/>
  <c r="K206" i="1"/>
  <c r="L206" i="1"/>
  <c r="A207" i="1"/>
  <c r="B207" i="1"/>
  <c r="C207" i="1"/>
  <c r="D207" i="1"/>
  <c r="E207" i="1"/>
  <c r="F207" i="1"/>
  <c r="G207" i="1"/>
  <c r="K207" i="1"/>
  <c r="L207" i="1"/>
  <c r="A208" i="1"/>
  <c r="C208" i="1"/>
  <c r="D208" i="1"/>
  <c r="E208" i="1"/>
  <c r="F208" i="1"/>
  <c r="G208" i="1"/>
  <c r="J208" i="1"/>
  <c r="K208" i="1"/>
  <c r="L208" i="1"/>
  <c r="A209" i="1"/>
  <c r="B209" i="1"/>
  <c r="C209" i="1"/>
  <c r="D209" i="1"/>
  <c r="E209" i="1"/>
  <c r="F209" i="1"/>
  <c r="G209" i="1"/>
  <c r="K209" i="1"/>
  <c r="L209" i="1"/>
  <c r="A210" i="1"/>
  <c r="B210" i="1"/>
  <c r="C210" i="1"/>
  <c r="D210" i="1"/>
  <c r="E210" i="1"/>
  <c r="F210" i="1"/>
  <c r="G210" i="1"/>
  <c r="K210" i="1"/>
  <c r="L210" i="1"/>
  <c r="A211" i="1"/>
  <c r="B211" i="1"/>
  <c r="C211" i="1"/>
  <c r="D211" i="1"/>
  <c r="E211" i="1"/>
  <c r="F211" i="1"/>
  <c r="G211" i="1"/>
  <c r="K211" i="1"/>
  <c r="L211" i="1"/>
  <c r="A212" i="1"/>
  <c r="C212" i="1"/>
  <c r="D212" i="1"/>
  <c r="E212" i="1"/>
  <c r="F212" i="1"/>
  <c r="G212" i="1"/>
  <c r="K212" i="1"/>
  <c r="L212" i="1"/>
  <c r="A213" i="1"/>
  <c r="C213" i="1"/>
  <c r="D213" i="1"/>
  <c r="E213" i="1"/>
  <c r="F213" i="1"/>
  <c r="G213" i="1"/>
  <c r="K213" i="1"/>
  <c r="L213" i="1"/>
  <c r="A214" i="1"/>
  <c r="B214" i="1"/>
  <c r="C214" i="1"/>
  <c r="D214" i="1"/>
  <c r="E214" i="1"/>
  <c r="F214" i="1"/>
  <c r="G214" i="1"/>
  <c r="K214" i="1"/>
  <c r="L214" i="1"/>
  <c r="A215" i="1"/>
  <c r="B215" i="1"/>
  <c r="C215" i="1"/>
  <c r="D215" i="1"/>
  <c r="E215" i="1"/>
  <c r="F215" i="1"/>
  <c r="G215" i="1"/>
  <c r="K215" i="1"/>
  <c r="L215" i="1"/>
  <c r="A216" i="1"/>
  <c r="B216" i="1"/>
  <c r="C216" i="1"/>
  <c r="D216" i="1"/>
  <c r="E216" i="1"/>
  <c r="F216" i="1"/>
  <c r="G216" i="1"/>
  <c r="K216" i="1"/>
  <c r="L216" i="1"/>
  <c r="A217" i="1"/>
  <c r="B217" i="1"/>
  <c r="C217" i="1"/>
  <c r="D217" i="1"/>
  <c r="E217" i="1"/>
  <c r="F217" i="1"/>
  <c r="G217" i="1"/>
  <c r="K217" i="1"/>
  <c r="L217" i="1"/>
  <c r="A218" i="1"/>
  <c r="C218" i="1"/>
  <c r="D218" i="1"/>
  <c r="E218" i="1"/>
  <c r="F218" i="1"/>
  <c r="G218" i="1"/>
  <c r="K218" i="1"/>
  <c r="L218" i="1"/>
  <c r="A219" i="1"/>
  <c r="B219" i="1"/>
  <c r="C219" i="1"/>
  <c r="D219" i="1"/>
  <c r="E219" i="1"/>
  <c r="F219" i="1"/>
  <c r="G219" i="1"/>
  <c r="K219" i="1"/>
  <c r="L219" i="1"/>
  <c r="A220" i="1"/>
  <c r="C220" i="1"/>
  <c r="D220" i="1"/>
  <c r="E220" i="1"/>
  <c r="F220" i="1"/>
  <c r="G220" i="1"/>
  <c r="K220" i="1"/>
  <c r="L220" i="1"/>
  <c r="A221" i="1"/>
  <c r="B221" i="1"/>
  <c r="C221" i="1"/>
  <c r="D221" i="1"/>
  <c r="E221" i="1"/>
  <c r="F221" i="1"/>
  <c r="G221" i="1"/>
  <c r="K221" i="1"/>
  <c r="L221" i="1"/>
  <c r="A222" i="1"/>
  <c r="C222" i="1"/>
  <c r="D222" i="1"/>
  <c r="E222" i="1"/>
  <c r="F222" i="1"/>
  <c r="G222" i="1"/>
  <c r="K222" i="1"/>
  <c r="L222" i="1"/>
  <c r="A223" i="1"/>
  <c r="B223" i="1"/>
  <c r="C223" i="1"/>
  <c r="D223" i="1"/>
  <c r="E223" i="1"/>
  <c r="F223" i="1"/>
  <c r="G223" i="1"/>
  <c r="K223" i="1"/>
  <c r="L223" i="1"/>
  <c r="A224" i="1"/>
  <c r="B224" i="1"/>
  <c r="C224" i="1"/>
  <c r="D224" i="1"/>
  <c r="E224" i="1"/>
  <c r="F224" i="1"/>
  <c r="G224" i="1"/>
  <c r="K224" i="1"/>
  <c r="L224" i="1"/>
  <c r="A225" i="1"/>
  <c r="C225" i="1"/>
  <c r="D225" i="1"/>
  <c r="E225" i="1"/>
  <c r="F225" i="1"/>
  <c r="G225" i="1"/>
  <c r="K225" i="1"/>
  <c r="L225" i="1"/>
  <c r="A226" i="1"/>
  <c r="B226" i="1"/>
  <c r="C226" i="1"/>
  <c r="D226" i="1"/>
  <c r="E226" i="1"/>
  <c r="F226" i="1"/>
  <c r="G226" i="1"/>
  <c r="K226" i="1"/>
  <c r="L226" i="1"/>
  <c r="A227" i="1"/>
  <c r="C227" i="1"/>
  <c r="D227" i="1"/>
  <c r="E227" i="1"/>
  <c r="F227" i="1"/>
  <c r="G227" i="1"/>
  <c r="K227" i="1"/>
  <c r="L227" i="1"/>
  <c r="A228" i="1"/>
  <c r="C228" i="1"/>
  <c r="D228" i="1"/>
  <c r="E228" i="1"/>
  <c r="F228" i="1"/>
  <c r="G228" i="1"/>
  <c r="K228" i="1"/>
  <c r="L228" i="1"/>
  <c r="A229" i="1"/>
  <c r="C229" i="1"/>
  <c r="D229" i="1"/>
  <c r="E229" i="1"/>
  <c r="F229" i="1"/>
  <c r="G229" i="1"/>
  <c r="K229" i="1"/>
  <c r="L229" i="1"/>
  <c r="A230" i="1"/>
  <c r="B230" i="1"/>
  <c r="C230" i="1"/>
  <c r="D230" i="1"/>
  <c r="E230" i="1"/>
  <c r="F230" i="1"/>
  <c r="G230" i="1"/>
  <c r="K230" i="1"/>
  <c r="L230" i="1"/>
  <c r="A231" i="1"/>
  <c r="B231" i="1"/>
  <c r="C231" i="1"/>
  <c r="D231" i="1"/>
  <c r="E231" i="1"/>
  <c r="F231" i="1"/>
  <c r="G231" i="1"/>
  <c r="K231" i="1"/>
  <c r="L231" i="1"/>
  <c r="A232" i="1"/>
  <c r="B232" i="1"/>
  <c r="C232" i="1"/>
  <c r="D232" i="1"/>
  <c r="E232" i="1"/>
  <c r="F232" i="1"/>
  <c r="G232" i="1"/>
  <c r="K232" i="1"/>
  <c r="L232" i="1"/>
  <c r="A233" i="1"/>
  <c r="C233" i="1"/>
  <c r="D233" i="1"/>
  <c r="E233" i="1"/>
  <c r="F233" i="1"/>
  <c r="G233" i="1"/>
  <c r="K233" i="1"/>
  <c r="L233" i="1"/>
  <c r="A234" i="1"/>
  <c r="B234" i="1"/>
  <c r="C234" i="1"/>
  <c r="D234" i="1"/>
  <c r="E234" i="1"/>
  <c r="F234" i="1"/>
  <c r="G234" i="1"/>
  <c r="K234" i="1"/>
  <c r="L234" i="1"/>
  <c r="A235" i="1"/>
  <c r="C235" i="1"/>
  <c r="D235" i="1"/>
  <c r="E235" i="1"/>
  <c r="F235" i="1"/>
  <c r="G235" i="1"/>
  <c r="K235" i="1"/>
  <c r="L235" i="1"/>
  <c r="A236" i="1"/>
  <c r="B236" i="1"/>
  <c r="C236" i="1"/>
  <c r="D236" i="1"/>
  <c r="E236" i="1"/>
  <c r="F236" i="1"/>
  <c r="G236" i="1"/>
  <c r="K236" i="1"/>
  <c r="L236" i="1"/>
  <c r="A237" i="1"/>
  <c r="D237" i="1"/>
  <c r="E237" i="1"/>
  <c r="F237" i="1"/>
  <c r="G237" i="1"/>
  <c r="K237" i="1"/>
  <c r="L237" i="1"/>
  <c r="A238" i="1"/>
  <c r="B238" i="1"/>
  <c r="C238" i="1"/>
  <c r="D238" i="1"/>
  <c r="E238" i="1"/>
  <c r="F238" i="1"/>
  <c r="G238" i="1"/>
  <c r="K238" i="1"/>
  <c r="L238" i="1"/>
  <c r="A239" i="1"/>
  <c r="B239" i="1"/>
  <c r="C239" i="1"/>
  <c r="D239" i="1"/>
  <c r="E239" i="1"/>
  <c r="F239" i="1"/>
  <c r="G239" i="1"/>
  <c r="K239" i="1"/>
  <c r="L239" i="1"/>
  <c r="A240" i="1"/>
  <c r="B240" i="1"/>
  <c r="C240" i="1"/>
  <c r="D240" i="1"/>
  <c r="E240" i="1"/>
  <c r="F240" i="1"/>
  <c r="G240" i="1"/>
  <c r="K240" i="1"/>
  <c r="L240" i="1"/>
  <c r="A241" i="1"/>
  <c r="B241" i="1"/>
  <c r="C241" i="1"/>
  <c r="D241" i="1"/>
  <c r="E241" i="1"/>
  <c r="F241" i="1"/>
  <c r="G241" i="1"/>
  <c r="K241" i="1"/>
  <c r="L241" i="1"/>
  <c r="A242" i="1"/>
  <c r="B242" i="1"/>
  <c r="C242" i="1"/>
  <c r="D242" i="1"/>
  <c r="E242" i="1"/>
  <c r="F242" i="1"/>
  <c r="G242" i="1"/>
  <c r="K242" i="1"/>
  <c r="L242" i="1"/>
  <c r="A243" i="1"/>
  <c r="B243" i="1"/>
  <c r="C243" i="1"/>
  <c r="D243" i="1"/>
  <c r="E243" i="1"/>
  <c r="F243" i="1"/>
  <c r="G243" i="1"/>
  <c r="K243" i="1"/>
  <c r="L243" i="1"/>
  <c r="A244" i="1"/>
  <c r="C244" i="1"/>
  <c r="D244" i="1"/>
  <c r="E244" i="1"/>
  <c r="F244" i="1"/>
  <c r="G244" i="1"/>
  <c r="K244" i="1"/>
  <c r="L244" i="1"/>
  <c r="A245" i="1"/>
  <c r="B245" i="1"/>
  <c r="C245" i="1"/>
  <c r="D245" i="1"/>
  <c r="E245" i="1"/>
  <c r="F245" i="1"/>
  <c r="G245" i="1"/>
  <c r="K245" i="1"/>
  <c r="L245" i="1"/>
  <c r="A246" i="1"/>
  <c r="B246" i="1"/>
  <c r="C246" i="1"/>
  <c r="D246" i="1"/>
  <c r="E246" i="1"/>
  <c r="F246" i="1"/>
  <c r="G246" i="1"/>
  <c r="K246" i="1"/>
  <c r="L246" i="1"/>
  <c r="A247" i="1"/>
  <c r="D247" i="1"/>
  <c r="E247" i="1"/>
  <c r="F247" i="1"/>
  <c r="G247" i="1"/>
  <c r="K247" i="1"/>
  <c r="L247" i="1"/>
  <c r="A248" i="1"/>
  <c r="C248" i="1"/>
  <c r="D248" i="1"/>
  <c r="E248" i="1"/>
  <c r="F248" i="1"/>
  <c r="G248" i="1"/>
  <c r="K248" i="1"/>
  <c r="L248" i="1"/>
  <c r="A249" i="1"/>
  <c r="C249" i="1"/>
  <c r="D249" i="1"/>
  <c r="E249" i="1"/>
  <c r="F249" i="1"/>
  <c r="G249" i="1"/>
  <c r="K249" i="1"/>
  <c r="L249" i="1"/>
  <c r="A250" i="1"/>
  <c r="C250" i="1"/>
  <c r="D250" i="1"/>
  <c r="E250" i="1"/>
  <c r="F250" i="1"/>
  <c r="G250" i="1"/>
  <c r="K250" i="1"/>
  <c r="L250" i="1"/>
  <c r="A251" i="1"/>
  <c r="C251" i="1"/>
  <c r="D251" i="1"/>
  <c r="E251" i="1"/>
  <c r="F251" i="1"/>
  <c r="G251" i="1"/>
  <c r="K251" i="1"/>
  <c r="L251" i="1"/>
  <c r="A252" i="1"/>
  <c r="C252" i="1"/>
  <c r="D252" i="1"/>
  <c r="E252" i="1"/>
  <c r="F252" i="1"/>
  <c r="G252" i="1"/>
  <c r="K252" i="1"/>
  <c r="A253" i="1"/>
  <c r="B253" i="1"/>
  <c r="C253" i="1"/>
  <c r="D253" i="1"/>
  <c r="E253" i="1"/>
  <c r="F253" i="1"/>
  <c r="G253" i="1"/>
  <c r="K253" i="1"/>
  <c r="A254" i="1"/>
  <c r="B254" i="1"/>
  <c r="C254" i="1"/>
  <c r="D254" i="1"/>
  <c r="E254" i="1"/>
  <c r="F254" i="1"/>
  <c r="G254" i="1"/>
  <c r="K254" i="1"/>
  <c r="A255" i="1"/>
  <c r="B255" i="1"/>
  <c r="C255" i="1"/>
  <c r="D255" i="1"/>
  <c r="E255" i="1"/>
  <c r="F255" i="1"/>
  <c r="G255" i="1"/>
  <c r="K255" i="1"/>
  <c r="A256" i="1"/>
  <c r="B256" i="1"/>
  <c r="C256" i="1"/>
  <c r="D256" i="1"/>
  <c r="E256" i="1"/>
  <c r="F256" i="1"/>
  <c r="G256" i="1"/>
  <c r="K256" i="1"/>
  <c r="L256" i="1"/>
  <c r="A257" i="1"/>
  <c r="B257" i="1"/>
  <c r="C257" i="1"/>
  <c r="D257" i="1"/>
  <c r="E257" i="1"/>
  <c r="F257" i="1"/>
  <c r="G257" i="1"/>
  <c r="K257" i="1"/>
  <c r="L257" i="1"/>
  <c r="A258" i="1"/>
  <c r="B258" i="1"/>
  <c r="C258" i="1"/>
  <c r="D258" i="1"/>
  <c r="E258" i="1"/>
  <c r="F258" i="1"/>
  <c r="G258" i="1"/>
  <c r="K258" i="1"/>
  <c r="L258" i="1"/>
  <c r="A259" i="1"/>
  <c r="B259" i="1"/>
  <c r="C259" i="1"/>
  <c r="D259" i="1"/>
  <c r="E259" i="1"/>
  <c r="F259" i="1"/>
  <c r="G259" i="1"/>
  <c r="K259" i="1"/>
  <c r="L259" i="1"/>
  <c r="A260" i="1"/>
  <c r="B260" i="1"/>
  <c r="C260" i="1"/>
  <c r="D260" i="1"/>
  <c r="E260" i="1"/>
  <c r="F260" i="1"/>
  <c r="G260" i="1"/>
  <c r="K260" i="1"/>
  <c r="L260" i="1"/>
  <c r="A261" i="1"/>
  <c r="B261" i="1"/>
  <c r="C261" i="1"/>
  <c r="D261" i="1"/>
  <c r="E261" i="1"/>
  <c r="F261" i="1"/>
  <c r="G261" i="1"/>
  <c r="K261" i="1"/>
  <c r="L261" i="1"/>
  <c r="A262" i="1"/>
  <c r="B262" i="1"/>
  <c r="C262" i="1"/>
  <c r="D262" i="1"/>
  <c r="E262" i="1"/>
  <c r="F262" i="1"/>
  <c r="G262" i="1"/>
  <c r="K262" i="1"/>
  <c r="L262" i="1"/>
  <c r="A263" i="1"/>
  <c r="B263" i="1"/>
  <c r="C263" i="1"/>
  <c r="D263" i="1"/>
  <c r="E263" i="1"/>
  <c r="F263" i="1"/>
  <c r="G263" i="1"/>
  <c r="K263" i="1"/>
  <c r="L263" i="1"/>
  <c r="A264" i="1"/>
  <c r="B264" i="1"/>
  <c r="C264" i="1"/>
  <c r="D264" i="1"/>
  <c r="E264" i="1"/>
  <c r="F264" i="1"/>
  <c r="G264" i="1"/>
  <c r="K264" i="1"/>
  <c r="L264" i="1"/>
  <c r="A265" i="1"/>
  <c r="B265" i="1"/>
  <c r="C265" i="1"/>
  <c r="D265" i="1"/>
  <c r="E265" i="1"/>
  <c r="F265" i="1"/>
  <c r="G265" i="1"/>
  <c r="K265" i="1"/>
  <c r="L265" i="1"/>
  <c r="A266" i="1"/>
  <c r="B266" i="1"/>
  <c r="C266" i="1"/>
  <c r="D266" i="1"/>
  <c r="E266" i="1"/>
  <c r="F266" i="1"/>
  <c r="G266" i="1"/>
  <c r="K266" i="1"/>
  <c r="L266" i="1"/>
  <c r="A267" i="1"/>
  <c r="C267" i="1"/>
  <c r="D267" i="1"/>
  <c r="E267" i="1"/>
  <c r="F267" i="1"/>
  <c r="G267" i="1"/>
  <c r="K267" i="1"/>
  <c r="L267" i="1"/>
  <c r="A268" i="1"/>
  <c r="B268" i="1"/>
  <c r="C268" i="1"/>
  <c r="D268" i="1"/>
  <c r="E268" i="1"/>
  <c r="F268" i="1"/>
  <c r="G268" i="1"/>
  <c r="K268" i="1"/>
  <c r="L268" i="1"/>
  <c r="A269" i="1"/>
  <c r="B269" i="1"/>
  <c r="C269" i="1"/>
  <c r="D269" i="1"/>
  <c r="E269" i="1"/>
  <c r="F269" i="1"/>
  <c r="G269" i="1"/>
  <c r="K269" i="1"/>
  <c r="L269" i="1"/>
  <c r="A270" i="1"/>
  <c r="B270" i="1"/>
  <c r="C270" i="1"/>
  <c r="D270" i="1"/>
  <c r="E270" i="1"/>
  <c r="F270" i="1"/>
  <c r="G270" i="1"/>
  <c r="K270" i="1"/>
  <c r="L270" i="1"/>
  <c r="A271" i="1"/>
  <c r="C271" i="1"/>
  <c r="D271" i="1"/>
  <c r="E271" i="1"/>
  <c r="F271" i="1"/>
  <c r="G271" i="1"/>
  <c r="K271" i="1"/>
  <c r="L271" i="1"/>
  <c r="A272" i="1"/>
  <c r="B272" i="1"/>
  <c r="C272" i="1"/>
  <c r="D272" i="1"/>
  <c r="E272" i="1"/>
  <c r="F272" i="1"/>
  <c r="G272" i="1"/>
  <c r="K272" i="1"/>
  <c r="L272" i="1"/>
  <c r="A273" i="1"/>
  <c r="B273" i="1"/>
  <c r="C273" i="1"/>
  <c r="D273" i="1"/>
  <c r="E273" i="1"/>
  <c r="F273" i="1"/>
  <c r="G273" i="1"/>
  <c r="K273" i="1"/>
  <c r="L273" i="1"/>
  <c r="A274" i="1"/>
  <c r="B274" i="1"/>
  <c r="C274" i="1"/>
  <c r="D274" i="1"/>
  <c r="E274" i="1"/>
  <c r="F274" i="1"/>
  <c r="G274" i="1"/>
  <c r="K274" i="1"/>
  <c r="L274" i="1"/>
  <c r="A275" i="1"/>
  <c r="B275" i="1"/>
  <c r="C275" i="1"/>
  <c r="D275" i="1"/>
  <c r="E275" i="1"/>
  <c r="F275" i="1"/>
  <c r="G275" i="1"/>
  <c r="K275" i="1"/>
  <c r="L275" i="1"/>
  <c r="A276" i="1"/>
  <c r="B276" i="1"/>
  <c r="C276" i="1"/>
  <c r="D276" i="1"/>
  <c r="E276" i="1"/>
  <c r="F276" i="1"/>
  <c r="G276" i="1"/>
  <c r="K276" i="1"/>
  <c r="L276" i="1"/>
  <c r="A277" i="1"/>
  <c r="C277" i="1"/>
  <c r="D277" i="1"/>
  <c r="E277" i="1"/>
  <c r="F277" i="1"/>
  <c r="G277" i="1"/>
  <c r="K277" i="1"/>
  <c r="L277" i="1"/>
  <c r="A278" i="1"/>
  <c r="C278" i="1"/>
  <c r="D278" i="1"/>
  <c r="E278" i="1"/>
  <c r="F278" i="1"/>
  <c r="G278" i="1"/>
  <c r="K278" i="1"/>
  <c r="L278" i="1"/>
  <c r="A279" i="1"/>
  <c r="C279" i="1"/>
  <c r="D279" i="1"/>
  <c r="E279" i="1"/>
  <c r="F279" i="1"/>
  <c r="G279" i="1"/>
  <c r="K279" i="1"/>
  <c r="L279" i="1"/>
  <c r="A280" i="1"/>
  <c r="C280" i="1"/>
  <c r="D280" i="1"/>
  <c r="E280" i="1"/>
  <c r="F280" i="1"/>
  <c r="G280" i="1"/>
  <c r="K280" i="1"/>
  <c r="L280" i="1"/>
  <c r="A281" i="1"/>
  <c r="C281" i="1"/>
  <c r="D281" i="1"/>
  <c r="E281" i="1"/>
  <c r="F281" i="1"/>
  <c r="G281" i="1"/>
  <c r="K281" i="1"/>
  <c r="L281" i="1"/>
  <c r="A282" i="1"/>
  <c r="C282" i="1"/>
  <c r="D282" i="1"/>
  <c r="E282" i="1"/>
  <c r="F282" i="1"/>
  <c r="G282" i="1"/>
  <c r="K282" i="1"/>
  <c r="L282" i="1"/>
  <c r="A283" i="1"/>
  <c r="B283" i="1"/>
  <c r="C283" i="1"/>
  <c r="D283" i="1"/>
  <c r="E283" i="1"/>
  <c r="F283" i="1"/>
  <c r="G283" i="1"/>
  <c r="K283" i="1"/>
  <c r="L283" i="1"/>
  <c r="A284" i="1"/>
  <c r="B284" i="1"/>
  <c r="C284" i="1"/>
  <c r="D284" i="1"/>
  <c r="E284" i="1"/>
  <c r="F284" i="1"/>
  <c r="G284" i="1"/>
  <c r="K284" i="1"/>
  <c r="L284" i="1"/>
  <c r="A285" i="1"/>
  <c r="B285" i="1"/>
  <c r="C285" i="1"/>
  <c r="D285" i="1"/>
  <c r="E285" i="1"/>
  <c r="F285" i="1"/>
  <c r="G285" i="1"/>
  <c r="K285" i="1"/>
  <c r="L285" i="1"/>
  <c r="A286" i="1"/>
  <c r="B286" i="1"/>
  <c r="C286" i="1"/>
  <c r="D286" i="1"/>
  <c r="E286" i="1"/>
  <c r="F286" i="1"/>
  <c r="G286" i="1"/>
  <c r="K286" i="1"/>
  <c r="L286" i="1"/>
  <c r="A287" i="1"/>
  <c r="B287" i="1"/>
  <c r="C287" i="1"/>
  <c r="D287" i="1"/>
  <c r="E287" i="1"/>
  <c r="F287" i="1"/>
  <c r="G287" i="1"/>
  <c r="K287" i="1"/>
  <c r="L287" i="1"/>
  <c r="A288" i="1"/>
  <c r="C288" i="1"/>
  <c r="D288" i="1"/>
  <c r="E288" i="1"/>
  <c r="F288" i="1"/>
  <c r="G288" i="1"/>
  <c r="K288" i="1"/>
  <c r="L288" i="1"/>
  <c r="A289" i="1"/>
  <c r="B289" i="1"/>
  <c r="C289" i="1"/>
  <c r="D289" i="1"/>
  <c r="E289" i="1"/>
  <c r="F289" i="1"/>
  <c r="G289" i="1"/>
  <c r="K289" i="1"/>
  <c r="L289" i="1"/>
  <c r="A290" i="1"/>
  <c r="B290" i="1"/>
  <c r="C290" i="1"/>
  <c r="D290" i="1"/>
  <c r="E290" i="1"/>
  <c r="F290" i="1"/>
  <c r="G290" i="1"/>
  <c r="K290" i="1"/>
  <c r="L290" i="1"/>
  <c r="A291" i="1"/>
  <c r="B291" i="1"/>
  <c r="C291" i="1"/>
  <c r="D291" i="1"/>
  <c r="E291" i="1"/>
  <c r="F291" i="1"/>
  <c r="G291" i="1"/>
  <c r="K291" i="1"/>
  <c r="L291" i="1"/>
  <c r="A292" i="1"/>
  <c r="B292" i="1"/>
  <c r="C292" i="1"/>
  <c r="D292" i="1"/>
  <c r="E292" i="1"/>
  <c r="F292" i="1"/>
  <c r="G292" i="1"/>
  <c r="K292" i="1"/>
  <c r="L292" i="1"/>
  <c r="A293" i="1"/>
  <c r="B293" i="1"/>
  <c r="C293" i="1"/>
  <c r="D293" i="1"/>
  <c r="E293" i="1"/>
  <c r="F293" i="1"/>
  <c r="G293" i="1"/>
  <c r="K293" i="1"/>
  <c r="L293" i="1"/>
  <c r="A294" i="1"/>
  <c r="B294" i="1"/>
  <c r="C294" i="1"/>
  <c r="D294" i="1"/>
  <c r="E294" i="1"/>
  <c r="F294" i="1"/>
  <c r="G294" i="1"/>
  <c r="K294" i="1"/>
  <c r="L294" i="1"/>
  <c r="A295" i="1"/>
  <c r="C295" i="1"/>
  <c r="D295" i="1"/>
  <c r="E295" i="1"/>
  <c r="F295" i="1"/>
  <c r="G295" i="1"/>
  <c r="K295" i="1"/>
  <c r="L295" i="1"/>
  <c r="A296" i="1"/>
  <c r="B296" i="1"/>
  <c r="C296" i="1"/>
  <c r="D296" i="1"/>
  <c r="E296" i="1"/>
  <c r="F296" i="1"/>
  <c r="G296" i="1"/>
  <c r="K296" i="1"/>
  <c r="L296" i="1"/>
  <c r="A297" i="1"/>
  <c r="B297" i="1"/>
  <c r="C297" i="1"/>
  <c r="D297" i="1"/>
  <c r="E297" i="1"/>
  <c r="F297" i="1"/>
  <c r="G297" i="1"/>
  <c r="K297" i="1"/>
  <c r="L297" i="1"/>
  <c r="A298" i="1"/>
  <c r="B298" i="1"/>
  <c r="C298" i="1"/>
  <c r="D298" i="1"/>
  <c r="E298" i="1"/>
  <c r="F298" i="1"/>
  <c r="G298" i="1"/>
  <c r="K298" i="1"/>
  <c r="L298" i="1"/>
  <c r="A299" i="1"/>
  <c r="B299" i="1"/>
  <c r="C299" i="1"/>
  <c r="D299" i="1"/>
  <c r="E299" i="1"/>
  <c r="F299" i="1"/>
  <c r="G299" i="1"/>
  <c r="K299" i="1"/>
  <c r="L299" i="1"/>
  <c r="A300" i="1"/>
  <c r="B300" i="1"/>
  <c r="C300" i="1"/>
  <c r="D300" i="1"/>
  <c r="E300" i="1"/>
  <c r="F300" i="1"/>
  <c r="G300" i="1"/>
  <c r="K300" i="1"/>
  <c r="L300" i="1"/>
  <c r="A301" i="1"/>
  <c r="B301" i="1"/>
  <c r="C301" i="1"/>
  <c r="D301" i="1"/>
  <c r="E301" i="1"/>
  <c r="F301" i="1"/>
  <c r="G301" i="1"/>
  <c r="K301" i="1"/>
  <c r="L301" i="1"/>
  <c r="A302" i="1"/>
  <c r="C302" i="1"/>
  <c r="D302" i="1"/>
  <c r="E302" i="1"/>
  <c r="F302" i="1"/>
  <c r="G302" i="1"/>
  <c r="K302" i="1"/>
  <c r="L302" i="1"/>
  <c r="A303" i="1"/>
  <c r="B303" i="1"/>
  <c r="C303" i="1"/>
  <c r="D303" i="1"/>
  <c r="E303" i="1"/>
  <c r="F303" i="1"/>
  <c r="G303" i="1"/>
  <c r="K303" i="1"/>
  <c r="L303" i="1"/>
  <c r="A304" i="1"/>
  <c r="C304" i="1"/>
  <c r="D304" i="1"/>
  <c r="E304" i="1"/>
  <c r="F304" i="1"/>
  <c r="G304" i="1"/>
  <c r="K304" i="1"/>
  <c r="L304" i="1"/>
  <c r="A305" i="1"/>
  <c r="C305" i="1"/>
  <c r="D305" i="1"/>
  <c r="E305" i="1"/>
  <c r="F305" i="1"/>
  <c r="G305" i="1"/>
  <c r="K305" i="1"/>
  <c r="L305" i="1"/>
  <c r="A306" i="1"/>
  <c r="B306" i="1"/>
  <c r="C306" i="1"/>
  <c r="D306" i="1"/>
  <c r="E306" i="1"/>
  <c r="F306" i="1"/>
  <c r="G306" i="1"/>
  <c r="K306" i="1"/>
  <c r="L306" i="1"/>
  <c r="A307" i="1"/>
  <c r="C307" i="1"/>
  <c r="D307" i="1"/>
  <c r="E307" i="1"/>
  <c r="F307" i="1"/>
  <c r="G307" i="1"/>
  <c r="K307" i="1"/>
  <c r="L307" i="1"/>
  <c r="A308" i="1"/>
  <c r="C308" i="1"/>
  <c r="D308" i="1"/>
  <c r="E308" i="1"/>
  <c r="F308" i="1"/>
  <c r="G308" i="1"/>
  <c r="K308" i="1"/>
  <c r="L308" i="1"/>
  <c r="A309" i="1"/>
  <c r="B309" i="1"/>
  <c r="C309" i="1"/>
  <c r="D309" i="1"/>
  <c r="E309" i="1"/>
  <c r="F309" i="1"/>
  <c r="G309" i="1"/>
  <c r="K309" i="1"/>
  <c r="L309" i="1"/>
  <c r="A310" i="1"/>
  <c r="B310" i="1"/>
  <c r="C310" i="1"/>
  <c r="D310" i="1"/>
  <c r="E310" i="1"/>
  <c r="F310" i="1"/>
  <c r="G310" i="1"/>
  <c r="K310" i="1"/>
  <c r="L310" i="1"/>
  <c r="A311" i="1"/>
  <c r="B311" i="1"/>
  <c r="C311" i="1"/>
  <c r="D311" i="1"/>
  <c r="E311" i="1"/>
  <c r="F311" i="1"/>
  <c r="G311" i="1"/>
  <c r="K311" i="1"/>
  <c r="L311" i="1"/>
  <c r="A312" i="1"/>
  <c r="B312" i="1"/>
  <c r="C312" i="1"/>
  <c r="D312" i="1"/>
  <c r="E312" i="1"/>
  <c r="F312" i="1"/>
  <c r="G312" i="1"/>
  <c r="K312" i="1"/>
  <c r="L312" i="1"/>
  <c r="A313" i="1"/>
  <c r="B313" i="1"/>
  <c r="C313" i="1"/>
  <c r="D313" i="1"/>
  <c r="E313" i="1"/>
  <c r="F313" i="1"/>
  <c r="G313" i="1"/>
  <c r="K313" i="1"/>
  <c r="L313" i="1"/>
  <c r="A314" i="1"/>
  <c r="C314" i="1"/>
  <c r="D314" i="1"/>
  <c r="E314" i="1"/>
  <c r="F314" i="1"/>
  <c r="G314" i="1"/>
  <c r="K314" i="1"/>
  <c r="L314" i="1"/>
  <c r="A315" i="1"/>
  <c r="B315" i="1"/>
  <c r="C315" i="1"/>
  <c r="D315" i="1"/>
  <c r="E315" i="1"/>
  <c r="F315" i="1"/>
  <c r="G315" i="1"/>
  <c r="K315" i="1"/>
  <c r="L315" i="1"/>
  <c r="A316" i="1"/>
  <c r="B316" i="1"/>
  <c r="C316" i="1"/>
  <c r="D316" i="1"/>
  <c r="E316" i="1"/>
  <c r="F316" i="1"/>
  <c r="G316" i="1"/>
  <c r="K316" i="1"/>
  <c r="L316" i="1"/>
  <c r="A317" i="1"/>
  <c r="C317" i="1"/>
  <c r="D317" i="1"/>
  <c r="E317" i="1"/>
  <c r="F317" i="1"/>
  <c r="G317" i="1"/>
  <c r="K317" i="1"/>
  <c r="L317" i="1"/>
  <c r="A318" i="1"/>
  <c r="B318" i="1"/>
  <c r="C318" i="1"/>
  <c r="D318" i="1"/>
  <c r="E318" i="1"/>
  <c r="F318" i="1"/>
  <c r="G318" i="1"/>
  <c r="K318" i="1"/>
  <c r="A319" i="1"/>
  <c r="B319" i="1"/>
  <c r="C319" i="1"/>
  <c r="D319" i="1"/>
  <c r="E319" i="1"/>
  <c r="F319" i="1"/>
  <c r="G319" i="1"/>
  <c r="K319" i="1"/>
  <c r="L319" i="1"/>
  <c r="A320" i="1"/>
  <c r="B320" i="1"/>
  <c r="C320" i="1"/>
  <c r="D320" i="1"/>
  <c r="E320" i="1"/>
  <c r="F320" i="1"/>
  <c r="G320" i="1"/>
  <c r="K320" i="1"/>
  <c r="L320" i="1"/>
  <c r="A321" i="1"/>
  <c r="B321" i="1"/>
  <c r="C321" i="1"/>
  <c r="D321" i="1"/>
  <c r="E321" i="1"/>
  <c r="F321" i="1"/>
  <c r="G321" i="1"/>
  <c r="K321" i="1"/>
  <c r="L321" i="1"/>
  <c r="A322" i="1"/>
  <c r="C322" i="1"/>
  <c r="D322" i="1"/>
  <c r="E322" i="1"/>
  <c r="F322" i="1"/>
  <c r="G322" i="1"/>
  <c r="K322" i="1"/>
  <c r="L322" i="1"/>
  <c r="A323" i="1"/>
  <c r="C323" i="1"/>
  <c r="D323" i="1"/>
  <c r="E323" i="1"/>
  <c r="F323" i="1"/>
  <c r="G323" i="1"/>
  <c r="K323" i="1"/>
  <c r="L323" i="1"/>
  <c r="A324" i="1"/>
  <c r="B324" i="1"/>
  <c r="C324" i="1"/>
  <c r="D324" i="1"/>
  <c r="E324" i="1"/>
  <c r="F324" i="1"/>
  <c r="G324" i="1"/>
  <c r="K324" i="1"/>
  <c r="L324" i="1"/>
  <c r="A325" i="1"/>
  <c r="C325" i="1"/>
  <c r="D325" i="1"/>
  <c r="E325" i="1"/>
  <c r="F325" i="1"/>
  <c r="G325" i="1"/>
  <c r="K325" i="1"/>
  <c r="L325" i="1"/>
  <c r="A326" i="1"/>
  <c r="B326" i="1"/>
  <c r="C326" i="1"/>
  <c r="D326" i="1"/>
  <c r="E326" i="1"/>
  <c r="F326" i="1"/>
  <c r="G326" i="1"/>
  <c r="K326" i="1"/>
  <c r="L326" i="1"/>
  <c r="A327" i="1"/>
  <c r="B327" i="1"/>
  <c r="C327" i="1"/>
  <c r="D327" i="1"/>
  <c r="E327" i="1"/>
  <c r="F327" i="1"/>
  <c r="G327" i="1"/>
  <c r="K327" i="1"/>
  <c r="L327" i="1"/>
  <c r="A328" i="1"/>
  <c r="B328" i="1"/>
  <c r="C328" i="1"/>
  <c r="D328" i="1"/>
  <c r="E328" i="1"/>
  <c r="F328" i="1"/>
  <c r="G328" i="1"/>
  <c r="K328" i="1"/>
  <c r="L328" i="1"/>
  <c r="A329" i="1"/>
  <c r="B329" i="1"/>
  <c r="C329" i="1"/>
  <c r="D329" i="1"/>
  <c r="E329" i="1"/>
  <c r="F329" i="1"/>
  <c r="G329" i="1"/>
  <c r="K329" i="1"/>
  <c r="L329" i="1"/>
  <c r="A330" i="1"/>
  <c r="B330" i="1"/>
  <c r="C330" i="1"/>
  <c r="D330" i="1"/>
  <c r="E330" i="1"/>
  <c r="F330" i="1"/>
  <c r="G330" i="1"/>
  <c r="K330" i="1"/>
  <c r="L330" i="1"/>
  <c r="A331" i="1"/>
  <c r="C331" i="1"/>
  <c r="D331" i="1"/>
  <c r="E331" i="1"/>
  <c r="F331" i="1"/>
  <c r="G331" i="1"/>
  <c r="K331" i="1"/>
  <c r="L331" i="1"/>
  <c r="A332" i="1"/>
  <c r="B332" i="1"/>
  <c r="C332" i="1"/>
  <c r="D332" i="1"/>
  <c r="E332" i="1"/>
  <c r="F332" i="1"/>
  <c r="G332" i="1"/>
  <c r="K332" i="1"/>
  <c r="L332" i="1"/>
  <c r="A333" i="1"/>
  <c r="B333" i="1"/>
  <c r="C333" i="1"/>
  <c r="D333" i="1"/>
  <c r="E333" i="1"/>
  <c r="F333" i="1"/>
  <c r="G333" i="1"/>
  <c r="K333" i="1"/>
  <c r="L333" i="1"/>
  <c r="A334" i="1"/>
  <c r="B334" i="1"/>
  <c r="C334" i="1"/>
  <c r="D334" i="1"/>
  <c r="E334" i="1"/>
  <c r="F334" i="1"/>
  <c r="G334" i="1"/>
  <c r="K334" i="1"/>
  <c r="L334" i="1"/>
  <c r="A335" i="1"/>
  <c r="D335" i="1"/>
  <c r="E335" i="1"/>
  <c r="F335" i="1"/>
  <c r="G335" i="1"/>
  <c r="K335" i="1"/>
  <c r="L335" i="1"/>
  <c r="A336" i="1"/>
  <c r="B336" i="1"/>
  <c r="C336" i="1"/>
  <c r="D336" i="1"/>
  <c r="E336" i="1"/>
  <c r="F336" i="1"/>
  <c r="G336" i="1"/>
  <c r="K336" i="1"/>
  <c r="L336" i="1"/>
  <c r="A337" i="1"/>
  <c r="C337" i="1"/>
  <c r="D337" i="1"/>
  <c r="E337" i="1"/>
  <c r="F337" i="1"/>
  <c r="G337" i="1"/>
  <c r="K337" i="1"/>
  <c r="L337" i="1"/>
  <c r="A338" i="1"/>
  <c r="C338" i="1"/>
  <c r="D338" i="1"/>
  <c r="E338" i="1"/>
  <c r="F338" i="1"/>
  <c r="G338" i="1"/>
  <c r="K338" i="1"/>
  <c r="L338" i="1"/>
  <c r="A339" i="1"/>
  <c r="C339" i="1"/>
  <c r="D339" i="1"/>
  <c r="E339" i="1"/>
  <c r="F339" i="1"/>
  <c r="G339" i="1"/>
  <c r="K339" i="1"/>
  <c r="L339" i="1"/>
  <c r="A340" i="1"/>
  <c r="B340" i="1"/>
  <c r="C340" i="1"/>
  <c r="D340" i="1"/>
  <c r="E340" i="1"/>
  <c r="F340" i="1"/>
  <c r="G340" i="1"/>
  <c r="K340" i="1"/>
  <c r="L340" i="1"/>
  <c r="A341" i="1"/>
  <c r="B341" i="1"/>
  <c r="C341" i="1"/>
  <c r="D341" i="1"/>
  <c r="E341" i="1"/>
  <c r="F341" i="1"/>
  <c r="G341" i="1"/>
  <c r="K341" i="1"/>
  <c r="L341" i="1"/>
  <c r="A342" i="1"/>
  <c r="B342" i="1"/>
  <c r="C342" i="1"/>
  <c r="D342" i="1"/>
  <c r="E342" i="1"/>
  <c r="F342" i="1"/>
  <c r="G342" i="1"/>
  <c r="K342" i="1"/>
  <c r="L342" i="1"/>
  <c r="A343" i="1"/>
  <c r="C343" i="1"/>
  <c r="D343" i="1"/>
  <c r="E343" i="1"/>
  <c r="F343" i="1"/>
  <c r="G343" i="1"/>
  <c r="K343" i="1"/>
  <c r="L343" i="1"/>
  <c r="A344" i="1"/>
  <c r="B344" i="1"/>
  <c r="C344" i="1"/>
  <c r="D344" i="1"/>
  <c r="E344" i="1"/>
  <c r="F344" i="1"/>
  <c r="G344" i="1"/>
  <c r="K344" i="1"/>
  <c r="L344" i="1"/>
  <c r="A345" i="1"/>
  <c r="B345" i="1"/>
  <c r="C345" i="1"/>
  <c r="D345" i="1"/>
  <c r="E345" i="1"/>
  <c r="F345" i="1"/>
  <c r="G345" i="1"/>
  <c r="K345" i="1"/>
  <c r="L345" i="1"/>
  <c r="A346" i="1"/>
  <c r="C346" i="1"/>
  <c r="D346" i="1"/>
  <c r="E346" i="1"/>
  <c r="F346" i="1"/>
  <c r="G346" i="1"/>
  <c r="K346" i="1"/>
  <c r="L346" i="1"/>
  <c r="A347" i="1"/>
  <c r="B347" i="1"/>
  <c r="C347" i="1"/>
  <c r="D347" i="1"/>
  <c r="E347" i="1"/>
  <c r="F347" i="1"/>
  <c r="G347" i="1"/>
  <c r="K347" i="1"/>
  <c r="L347" i="1"/>
  <c r="A348" i="1"/>
  <c r="B348" i="1"/>
  <c r="C348" i="1"/>
  <c r="D348" i="1"/>
  <c r="E348" i="1"/>
  <c r="F348" i="1"/>
  <c r="G348" i="1"/>
  <c r="K348" i="1"/>
  <c r="L348" i="1"/>
  <c r="A349" i="1"/>
  <c r="B349" i="1"/>
  <c r="C349" i="1"/>
  <c r="D349" i="1"/>
  <c r="E349" i="1"/>
  <c r="F349" i="1"/>
  <c r="G349" i="1"/>
  <c r="K349" i="1"/>
  <c r="L349" i="1"/>
  <c r="A350" i="1"/>
  <c r="B350" i="1"/>
  <c r="C350" i="1"/>
  <c r="D350" i="1"/>
  <c r="E350" i="1"/>
  <c r="F350" i="1"/>
  <c r="G350" i="1"/>
  <c r="K350" i="1"/>
  <c r="L350" i="1"/>
  <c r="A351" i="1"/>
  <c r="B351" i="1"/>
  <c r="C351" i="1"/>
  <c r="D351" i="1"/>
  <c r="E351" i="1"/>
  <c r="F351" i="1"/>
  <c r="G351" i="1"/>
  <c r="K351" i="1"/>
  <c r="L351" i="1"/>
  <c r="A352" i="1"/>
  <c r="B352" i="1"/>
  <c r="C352" i="1"/>
  <c r="D352" i="1"/>
  <c r="E352" i="1"/>
  <c r="F352" i="1"/>
  <c r="G352" i="1"/>
  <c r="K352" i="1"/>
  <c r="L352" i="1"/>
  <c r="A353" i="1"/>
  <c r="C353" i="1"/>
  <c r="D353" i="1"/>
  <c r="E353" i="1"/>
  <c r="F353" i="1"/>
  <c r="G353" i="1"/>
  <c r="K353" i="1"/>
  <c r="L353" i="1"/>
  <c r="A354" i="1"/>
  <c r="C354" i="1"/>
  <c r="D354" i="1"/>
  <c r="E354" i="1"/>
  <c r="F354" i="1"/>
  <c r="G354" i="1"/>
  <c r="K354" i="1"/>
  <c r="L354" i="1"/>
  <c r="A355" i="1"/>
  <c r="B355" i="1"/>
  <c r="C355" i="1"/>
  <c r="D355" i="1"/>
  <c r="E355" i="1"/>
  <c r="F355" i="1"/>
  <c r="G355" i="1"/>
  <c r="K355" i="1"/>
  <c r="L355" i="1"/>
  <c r="A356" i="1"/>
  <c r="C356" i="1"/>
  <c r="D356" i="1"/>
  <c r="E356" i="1"/>
  <c r="F356" i="1"/>
  <c r="G356" i="1"/>
  <c r="K356" i="1"/>
  <c r="L356" i="1"/>
  <c r="A357" i="1"/>
  <c r="B357" i="1"/>
  <c r="C357" i="1"/>
  <c r="D357" i="1"/>
  <c r="E357" i="1"/>
  <c r="F357" i="1"/>
  <c r="G357" i="1"/>
  <c r="K357" i="1"/>
  <c r="L357" i="1"/>
  <c r="A358" i="1"/>
  <c r="C358" i="1"/>
  <c r="D358" i="1"/>
  <c r="E358" i="1"/>
  <c r="F358" i="1"/>
  <c r="G358" i="1"/>
  <c r="K358" i="1"/>
  <c r="L358" i="1"/>
  <c r="A359" i="1"/>
  <c r="B359" i="1"/>
  <c r="C359" i="1"/>
  <c r="D359" i="1"/>
  <c r="E359" i="1"/>
  <c r="F359" i="1"/>
  <c r="G359" i="1"/>
  <c r="K359" i="1"/>
  <c r="L359" i="1"/>
  <c r="A360" i="1"/>
  <c r="C360" i="1"/>
  <c r="D360" i="1"/>
  <c r="E360" i="1"/>
  <c r="F360" i="1"/>
  <c r="G360" i="1"/>
  <c r="K360" i="1"/>
  <c r="L360" i="1"/>
  <c r="A361" i="1"/>
  <c r="C361" i="1"/>
  <c r="D361" i="1"/>
  <c r="E361" i="1"/>
  <c r="F361" i="1"/>
  <c r="G361" i="1"/>
  <c r="K361" i="1"/>
  <c r="L361" i="1"/>
  <c r="A362" i="1"/>
  <c r="B362" i="1"/>
  <c r="C362" i="1"/>
  <c r="D362" i="1"/>
  <c r="E362" i="1"/>
  <c r="F362" i="1"/>
  <c r="G362" i="1"/>
  <c r="K362" i="1"/>
  <c r="L362" i="1"/>
  <c r="A363" i="1"/>
  <c r="C363" i="1"/>
  <c r="D363" i="1"/>
  <c r="E363" i="1"/>
  <c r="F363" i="1"/>
  <c r="G363" i="1"/>
  <c r="K363" i="1"/>
  <c r="L363" i="1"/>
  <c r="A364" i="1"/>
  <c r="B364" i="1"/>
  <c r="C364" i="1"/>
  <c r="D364" i="1"/>
  <c r="E364" i="1"/>
  <c r="F364" i="1"/>
  <c r="G364" i="1"/>
  <c r="K364" i="1"/>
  <c r="L364" i="1"/>
  <c r="A365" i="1"/>
  <c r="C365" i="1"/>
  <c r="D365" i="1"/>
  <c r="E365" i="1"/>
  <c r="F365" i="1"/>
  <c r="G365" i="1"/>
  <c r="K365" i="1"/>
  <c r="L365" i="1"/>
  <c r="A366" i="1"/>
  <c r="B366" i="1"/>
  <c r="C366" i="1"/>
  <c r="D366" i="1"/>
  <c r="E366" i="1"/>
  <c r="F366" i="1"/>
  <c r="G366" i="1"/>
  <c r="K366" i="1"/>
  <c r="L366" i="1"/>
  <c r="A367" i="1"/>
  <c r="B367" i="1"/>
  <c r="C367" i="1"/>
  <c r="D367" i="1"/>
  <c r="E367" i="1"/>
  <c r="F367" i="1"/>
  <c r="G367" i="1"/>
  <c r="K367" i="1"/>
  <c r="L367" i="1"/>
  <c r="A368" i="1"/>
  <c r="B368" i="1"/>
  <c r="C368" i="1"/>
  <c r="D368" i="1"/>
  <c r="E368" i="1"/>
  <c r="F368" i="1"/>
  <c r="G368" i="1"/>
  <c r="K368" i="1"/>
  <c r="L368" i="1"/>
  <c r="A369" i="1"/>
  <c r="B369" i="1"/>
  <c r="C369" i="1"/>
  <c r="D369" i="1"/>
  <c r="E369" i="1"/>
  <c r="F369" i="1"/>
  <c r="G369" i="1"/>
  <c r="K369" i="1"/>
  <c r="L369" i="1"/>
  <c r="A370" i="1"/>
  <c r="C370" i="1"/>
  <c r="D370" i="1"/>
  <c r="E370" i="1"/>
  <c r="F370" i="1"/>
  <c r="G370" i="1"/>
  <c r="K370" i="1"/>
  <c r="L370" i="1"/>
  <c r="A371" i="1"/>
  <c r="B371" i="1"/>
  <c r="C371" i="1"/>
  <c r="D371" i="1"/>
  <c r="E371" i="1"/>
  <c r="F371" i="1"/>
  <c r="G371" i="1"/>
  <c r="K371" i="1"/>
  <c r="L371" i="1"/>
  <c r="A372" i="1"/>
  <c r="B372" i="1"/>
  <c r="C372" i="1"/>
  <c r="D372" i="1"/>
  <c r="E372" i="1"/>
  <c r="F372" i="1"/>
  <c r="G372" i="1"/>
  <c r="K372" i="1"/>
  <c r="L372" i="1"/>
  <c r="A373" i="1"/>
  <c r="B373" i="1"/>
  <c r="C373" i="1"/>
  <c r="D373" i="1"/>
  <c r="E373" i="1"/>
  <c r="F373" i="1"/>
  <c r="G373" i="1"/>
  <c r="K373" i="1"/>
  <c r="L373" i="1"/>
  <c r="A374" i="1"/>
  <c r="B374" i="1"/>
  <c r="C374" i="1"/>
  <c r="D374" i="1"/>
  <c r="E374" i="1"/>
  <c r="F374" i="1"/>
  <c r="G374" i="1"/>
  <c r="K374" i="1"/>
  <c r="L374" i="1"/>
  <c r="A375" i="1"/>
  <c r="B375" i="1"/>
  <c r="C375" i="1"/>
  <c r="D375" i="1"/>
  <c r="E375" i="1"/>
  <c r="F375" i="1"/>
  <c r="G375" i="1"/>
  <c r="K375" i="1"/>
  <c r="L375" i="1"/>
  <c r="A376" i="1"/>
  <c r="C376" i="1"/>
  <c r="D376" i="1"/>
  <c r="E376" i="1"/>
  <c r="F376" i="1"/>
  <c r="G376" i="1"/>
  <c r="K376" i="1"/>
  <c r="A377" i="1"/>
  <c r="B377" i="1"/>
  <c r="C377" i="1"/>
  <c r="D377" i="1"/>
  <c r="E377" i="1"/>
  <c r="F377" i="1"/>
  <c r="G377" i="1"/>
  <c r="K377" i="1"/>
  <c r="A378" i="1"/>
  <c r="B378" i="1"/>
  <c r="C378" i="1"/>
  <c r="D378" i="1"/>
  <c r="E378" i="1"/>
  <c r="F378" i="1"/>
  <c r="G378" i="1"/>
  <c r="J378" i="1"/>
  <c r="K378" i="1"/>
  <c r="A379" i="1"/>
  <c r="B379" i="1"/>
  <c r="C379" i="1"/>
  <c r="D379" i="1"/>
  <c r="E379" i="1"/>
  <c r="F379" i="1"/>
  <c r="G379" i="1"/>
  <c r="K379" i="1"/>
  <c r="L379" i="1"/>
  <c r="A380" i="1"/>
  <c r="B380" i="1"/>
  <c r="C380" i="1"/>
  <c r="D380" i="1"/>
  <c r="E380" i="1"/>
  <c r="F380" i="1"/>
  <c r="G380" i="1"/>
  <c r="K380" i="1"/>
  <c r="L380" i="1"/>
  <c r="A381" i="1"/>
  <c r="B381" i="1"/>
  <c r="C381" i="1"/>
  <c r="D381" i="1"/>
  <c r="E381" i="1"/>
  <c r="F381" i="1"/>
  <c r="G381" i="1"/>
  <c r="K381" i="1"/>
  <c r="L381" i="1"/>
  <c r="A382" i="1"/>
  <c r="B382" i="1"/>
  <c r="C382" i="1"/>
  <c r="D382" i="1"/>
  <c r="E382" i="1"/>
  <c r="F382" i="1"/>
  <c r="G382" i="1"/>
  <c r="K382" i="1"/>
  <c r="L382" i="1"/>
  <c r="A383" i="1"/>
  <c r="B383" i="1"/>
  <c r="C383" i="1"/>
  <c r="D383" i="1"/>
  <c r="E383" i="1"/>
  <c r="F383" i="1"/>
  <c r="G383" i="1"/>
  <c r="K383" i="1"/>
  <c r="L383" i="1"/>
  <c r="A384" i="1"/>
  <c r="B384" i="1"/>
  <c r="C384" i="1"/>
  <c r="D384" i="1"/>
  <c r="E384" i="1"/>
  <c r="F384" i="1"/>
  <c r="G384" i="1"/>
  <c r="K384" i="1"/>
  <c r="L384" i="1"/>
  <c r="A385" i="1"/>
  <c r="C385" i="1"/>
  <c r="D385" i="1"/>
  <c r="E385" i="1"/>
  <c r="F385" i="1"/>
  <c r="G385" i="1"/>
  <c r="K385" i="1"/>
  <c r="L385" i="1"/>
  <c r="A386" i="1"/>
  <c r="B386" i="1"/>
  <c r="C386" i="1"/>
  <c r="D386" i="1"/>
  <c r="E386" i="1"/>
  <c r="F386" i="1"/>
  <c r="G386" i="1"/>
  <c r="K386" i="1"/>
  <c r="L386" i="1"/>
  <c r="A387" i="1"/>
  <c r="B387" i="1"/>
  <c r="C387" i="1"/>
  <c r="D387" i="1"/>
  <c r="E387" i="1"/>
  <c r="F387" i="1"/>
  <c r="G387" i="1"/>
  <c r="K387" i="1"/>
  <c r="L387" i="1"/>
  <c r="A388" i="1"/>
  <c r="B388" i="1"/>
  <c r="C388" i="1"/>
  <c r="D388" i="1"/>
  <c r="E388" i="1"/>
  <c r="F388" i="1"/>
  <c r="G388" i="1"/>
  <c r="K388" i="1"/>
  <c r="L388" i="1"/>
  <c r="A389" i="1"/>
  <c r="B389" i="1"/>
  <c r="C389" i="1"/>
  <c r="D389" i="1"/>
  <c r="E389" i="1"/>
  <c r="F389" i="1"/>
  <c r="G389" i="1"/>
  <c r="K389" i="1"/>
  <c r="L389" i="1"/>
  <c r="A390" i="1"/>
  <c r="B390" i="1"/>
  <c r="C390" i="1"/>
  <c r="D390" i="1"/>
  <c r="E390" i="1"/>
  <c r="F390" i="1"/>
  <c r="G390" i="1"/>
  <c r="K390" i="1"/>
  <c r="L390" i="1"/>
  <c r="A391" i="1"/>
  <c r="B391" i="1"/>
  <c r="C391" i="1"/>
  <c r="D391" i="1"/>
  <c r="E391" i="1"/>
  <c r="F391" i="1"/>
  <c r="G391" i="1"/>
  <c r="K391" i="1"/>
  <c r="L391" i="1"/>
  <c r="A392" i="1"/>
  <c r="B392" i="1"/>
  <c r="C392" i="1"/>
  <c r="D392" i="1"/>
  <c r="E392" i="1"/>
  <c r="F392" i="1"/>
  <c r="G392" i="1"/>
  <c r="K392" i="1"/>
  <c r="L392" i="1"/>
  <c r="A393" i="1"/>
  <c r="B393" i="1"/>
  <c r="C393" i="1"/>
  <c r="D393" i="1"/>
  <c r="E393" i="1"/>
  <c r="F393" i="1"/>
  <c r="G393" i="1"/>
  <c r="K393" i="1"/>
  <c r="L393" i="1"/>
  <c r="A394" i="1"/>
  <c r="B394" i="1"/>
  <c r="C394" i="1"/>
  <c r="D394" i="1"/>
  <c r="E394" i="1"/>
  <c r="F394" i="1"/>
  <c r="G394" i="1"/>
  <c r="K394" i="1"/>
  <c r="L394" i="1"/>
  <c r="A395" i="1"/>
  <c r="C395" i="1"/>
  <c r="D395" i="1"/>
  <c r="E395" i="1"/>
  <c r="F395" i="1"/>
  <c r="G395" i="1"/>
  <c r="K395" i="1"/>
  <c r="L395" i="1"/>
  <c r="A396" i="1"/>
  <c r="B396" i="1"/>
  <c r="C396" i="1"/>
  <c r="D396" i="1"/>
  <c r="E396" i="1"/>
  <c r="F396" i="1"/>
  <c r="G396" i="1"/>
  <c r="K396" i="1"/>
  <c r="L396" i="1"/>
  <c r="A397" i="1"/>
  <c r="B397" i="1"/>
  <c r="C397" i="1"/>
  <c r="D397" i="1"/>
  <c r="E397" i="1"/>
  <c r="F397" i="1"/>
  <c r="G397" i="1"/>
  <c r="K397" i="1"/>
  <c r="L397" i="1"/>
  <c r="A398" i="1"/>
  <c r="B398" i="1"/>
  <c r="C398" i="1"/>
  <c r="D398" i="1"/>
  <c r="E398" i="1"/>
  <c r="F398" i="1"/>
  <c r="G398" i="1"/>
  <c r="K398" i="1"/>
  <c r="L398" i="1"/>
  <c r="A399" i="1"/>
  <c r="C399" i="1"/>
  <c r="D399" i="1"/>
  <c r="E399" i="1"/>
  <c r="F399" i="1"/>
  <c r="G399" i="1"/>
  <c r="K399" i="1"/>
  <c r="L399" i="1"/>
  <c r="A400" i="1"/>
  <c r="B400" i="1"/>
  <c r="C400" i="1"/>
  <c r="D400" i="1"/>
  <c r="E400" i="1"/>
  <c r="F400" i="1"/>
  <c r="G400" i="1"/>
  <c r="K400" i="1"/>
  <c r="L400" i="1"/>
  <c r="A401" i="1"/>
  <c r="C401" i="1"/>
  <c r="D401" i="1"/>
  <c r="E401" i="1"/>
  <c r="F401" i="1"/>
  <c r="G401" i="1"/>
  <c r="K401" i="1"/>
  <c r="L401" i="1"/>
  <c r="A402" i="1"/>
  <c r="B402" i="1"/>
  <c r="C402" i="1"/>
  <c r="D402" i="1"/>
  <c r="E402" i="1"/>
  <c r="F402" i="1"/>
  <c r="G402" i="1"/>
  <c r="K402" i="1"/>
  <c r="L402" i="1"/>
  <c r="A403" i="1"/>
  <c r="B403" i="1"/>
  <c r="C403" i="1"/>
  <c r="D403" i="1"/>
  <c r="E403" i="1"/>
  <c r="F403" i="1"/>
  <c r="G403" i="1"/>
  <c r="K403" i="1"/>
  <c r="L403" i="1"/>
  <c r="A404" i="1"/>
  <c r="B404" i="1"/>
  <c r="C404" i="1"/>
  <c r="D404" i="1"/>
  <c r="E404" i="1"/>
  <c r="F404" i="1"/>
  <c r="G404" i="1"/>
  <c r="K404" i="1"/>
  <c r="L404" i="1"/>
  <c r="A405" i="1"/>
  <c r="B405" i="1"/>
  <c r="C405" i="1"/>
  <c r="D405" i="1"/>
  <c r="E405" i="1"/>
  <c r="F405" i="1"/>
  <c r="G405" i="1"/>
  <c r="K405" i="1"/>
  <c r="L405" i="1"/>
  <c r="A406" i="1"/>
  <c r="B406" i="1"/>
  <c r="C406" i="1"/>
  <c r="D406" i="1"/>
  <c r="E406" i="1"/>
  <c r="F406" i="1"/>
  <c r="G406" i="1"/>
  <c r="K406" i="1"/>
  <c r="L406" i="1"/>
  <c r="A407" i="1"/>
  <c r="B407" i="1"/>
  <c r="C407" i="1"/>
  <c r="D407" i="1"/>
  <c r="E407" i="1"/>
  <c r="F407" i="1"/>
  <c r="G407" i="1"/>
  <c r="K407" i="1"/>
  <c r="L407" i="1"/>
  <c r="A408" i="1"/>
  <c r="B408" i="1"/>
  <c r="D408" i="1"/>
  <c r="E408" i="1"/>
  <c r="F408" i="1"/>
  <c r="G408" i="1"/>
  <c r="K408" i="1"/>
  <c r="A409" i="1"/>
  <c r="B409" i="1"/>
  <c r="C409" i="1"/>
  <c r="D409" i="1"/>
  <c r="E409" i="1"/>
  <c r="F409" i="1"/>
  <c r="G409" i="1"/>
  <c r="K409" i="1"/>
  <c r="L409" i="1"/>
  <c r="A410" i="1"/>
  <c r="B410" i="1"/>
  <c r="C410" i="1"/>
  <c r="D410" i="1"/>
  <c r="E410" i="1"/>
  <c r="F410" i="1"/>
  <c r="G410" i="1"/>
  <c r="K410" i="1"/>
  <c r="L410" i="1"/>
  <c r="A411" i="1"/>
  <c r="B411" i="1"/>
  <c r="C411" i="1"/>
  <c r="D411" i="1"/>
  <c r="E411" i="1"/>
  <c r="F411" i="1"/>
  <c r="G411" i="1"/>
  <c r="K411" i="1"/>
  <c r="L411" i="1"/>
  <c r="A412" i="1"/>
  <c r="B412" i="1"/>
  <c r="C412" i="1"/>
  <c r="D412" i="1"/>
  <c r="E412" i="1"/>
  <c r="F412" i="1"/>
  <c r="G412" i="1"/>
  <c r="K412" i="1"/>
  <c r="L412" i="1"/>
  <c r="A413" i="1"/>
  <c r="C413" i="1"/>
  <c r="D413" i="1"/>
  <c r="E413" i="1"/>
  <c r="F413" i="1"/>
  <c r="G413" i="1"/>
  <c r="K413" i="1"/>
  <c r="L413" i="1"/>
  <c r="A414" i="1"/>
  <c r="B414" i="1"/>
  <c r="C414" i="1"/>
  <c r="D414" i="1"/>
  <c r="E414" i="1"/>
  <c r="F414" i="1"/>
  <c r="G414" i="1"/>
  <c r="K414" i="1"/>
  <c r="L414" i="1"/>
  <c r="A415" i="1"/>
  <c r="B415" i="1"/>
  <c r="C415" i="1"/>
  <c r="D415" i="1"/>
  <c r="E415" i="1"/>
  <c r="F415" i="1"/>
  <c r="G415" i="1"/>
  <c r="K415" i="1"/>
  <c r="L415" i="1"/>
  <c r="A416" i="1"/>
  <c r="B416" i="1"/>
  <c r="C416" i="1"/>
  <c r="D416" i="1"/>
  <c r="E416" i="1"/>
  <c r="F416" i="1"/>
  <c r="G416" i="1"/>
  <c r="K416" i="1"/>
  <c r="L416" i="1"/>
  <c r="A417" i="1"/>
  <c r="B417" i="1"/>
  <c r="C417" i="1"/>
  <c r="D417" i="1"/>
  <c r="E417" i="1"/>
  <c r="F417" i="1"/>
  <c r="G417" i="1"/>
  <c r="K417" i="1"/>
  <c r="L417" i="1"/>
  <c r="A418" i="1"/>
  <c r="C418" i="1"/>
  <c r="D418" i="1"/>
  <c r="E418" i="1"/>
  <c r="F418" i="1"/>
  <c r="G418" i="1"/>
  <c r="K418" i="1"/>
  <c r="L418" i="1"/>
  <c r="A419" i="1"/>
  <c r="B419" i="1"/>
  <c r="C419" i="1"/>
  <c r="D419" i="1"/>
  <c r="E419" i="1"/>
  <c r="F419" i="1"/>
  <c r="G419" i="1"/>
  <c r="K419" i="1"/>
  <c r="L419" i="1"/>
  <c r="A420" i="1"/>
  <c r="B420" i="1"/>
  <c r="C420" i="1"/>
  <c r="D420" i="1"/>
  <c r="E420" i="1"/>
  <c r="F420" i="1"/>
  <c r="G420" i="1"/>
  <c r="K420" i="1"/>
  <c r="L420" i="1"/>
  <c r="A421" i="1"/>
  <c r="C421" i="1"/>
  <c r="D421" i="1"/>
  <c r="E421" i="1"/>
  <c r="F421" i="1"/>
  <c r="G421" i="1"/>
  <c r="K421" i="1"/>
  <c r="L421" i="1"/>
  <c r="A422" i="1"/>
  <c r="C422" i="1"/>
  <c r="D422" i="1"/>
  <c r="E422" i="1"/>
  <c r="F422" i="1"/>
  <c r="G422" i="1"/>
  <c r="K422" i="1"/>
  <c r="L422" i="1"/>
  <c r="A423" i="1"/>
  <c r="B423" i="1"/>
  <c r="C423" i="1"/>
  <c r="D423" i="1"/>
  <c r="E423" i="1"/>
  <c r="F423" i="1"/>
  <c r="G423" i="1"/>
  <c r="K423" i="1"/>
  <c r="L423" i="1"/>
  <c r="A424" i="1"/>
  <c r="B424" i="1"/>
  <c r="C424" i="1"/>
  <c r="D424" i="1"/>
  <c r="E424" i="1"/>
  <c r="F424" i="1"/>
  <c r="G424" i="1"/>
  <c r="K424" i="1"/>
  <c r="L424" i="1"/>
  <c r="A425" i="1"/>
  <c r="B425" i="1"/>
  <c r="C425" i="1"/>
  <c r="D425" i="1"/>
  <c r="E425" i="1"/>
  <c r="F425" i="1"/>
  <c r="G425" i="1"/>
  <c r="K425" i="1"/>
  <c r="L425" i="1"/>
  <c r="A426" i="1"/>
  <c r="B426" i="1"/>
  <c r="C426" i="1"/>
  <c r="D426" i="1"/>
  <c r="E426" i="1"/>
  <c r="F426" i="1"/>
  <c r="G426" i="1"/>
  <c r="K426" i="1"/>
  <c r="L426" i="1"/>
  <c r="A427" i="1"/>
  <c r="B427" i="1"/>
  <c r="C427" i="1"/>
  <c r="D427" i="1"/>
  <c r="E427" i="1"/>
  <c r="F427" i="1"/>
  <c r="G427" i="1"/>
  <c r="K427" i="1"/>
  <c r="L427" i="1"/>
  <c r="A428" i="1"/>
  <c r="B428" i="1"/>
  <c r="C428" i="1"/>
  <c r="D428" i="1"/>
  <c r="E428" i="1"/>
  <c r="F428" i="1"/>
  <c r="G428" i="1"/>
  <c r="K428" i="1"/>
  <c r="L428" i="1"/>
  <c r="A429" i="1"/>
  <c r="B429" i="1"/>
  <c r="C429" i="1"/>
  <c r="D429" i="1"/>
  <c r="E429" i="1"/>
  <c r="F429" i="1"/>
  <c r="G429" i="1"/>
  <c r="K429" i="1"/>
  <c r="L429" i="1"/>
  <c r="A430" i="1"/>
  <c r="B430" i="1"/>
  <c r="C430" i="1"/>
  <c r="D430" i="1"/>
  <c r="E430" i="1"/>
  <c r="F430" i="1"/>
  <c r="G430" i="1"/>
  <c r="K430" i="1"/>
  <c r="L430" i="1"/>
  <c r="A431" i="1"/>
  <c r="C431" i="1"/>
  <c r="D431" i="1"/>
  <c r="E431" i="1"/>
  <c r="F431" i="1"/>
  <c r="G431" i="1"/>
  <c r="K431" i="1"/>
  <c r="L431" i="1"/>
  <c r="A432" i="1"/>
  <c r="B432" i="1"/>
  <c r="C432" i="1"/>
  <c r="D432" i="1"/>
  <c r="E432" i="1"/>
  <c r="F432" i="1"/>
  <c r="G432" i="1"/>
  <c r="K432" i="1"/>
  <c r="L432" i="1"/>
  <c r="A433" i="1"/>
  <c r="B433" i="1"/>
  <c r="C433" i="1"/>
  <c r="D433" i="1"/>
  <c r="E433" i="1"/>
  <c r="F433" i="1"/>
  <c r="G433" i="1"/>
  <c r="K433" i="1"/>
  <c r="L433" i="1"/>
  <c r="A434" i="1"/>
  <c r="B434" i="1"/>
  <c r="C434" i="1"/>
  <c r="D434" i="1"/>
  <c r="E434" i="1"/>
  <c r="F434" i="1"/>
  <c r="G434" i="1"/>
  <c r="K434" i="1"/>
  <c r="L434" i="1"/>
  <c r="A435" i="1"/>
  <c r="C435" i="1"/>
  <c r="D435" i="1"/>
  <c r="E435" i="1"/>
  <c r="F435" i="1"/>
  <c r="G435" i="1"/>
  <c r="K435" i="1"/>
  <c r="L435" i="1"/>
  <c r="A436" i="1"/>
  <c r="B436" i="1"/>
  <c r="C436" i="1"/>
  <c r="D436" i="1"/>
  <c r="E436" i="1"/>
  <c r="F436" i="1"/>
  <c r="G436" i="1"/>
  <c r="K436" i="1"/>
  <c r="L436" i="1"/>
  <c r="A437" i="1"/>
  <c r="B437" i="1"/>
  <c r="C437" i="1"/>
  <c r="D437" i="1"/>
  <c r="E437" i="1"/>
  <c r="F437" i="1"/>
  <c r="G437" i="1"/>
  <c r="K437" i="1"/>
  <c r="L437" i="1"/>
  <c r="A438" i="1"/>
  <c r="B438" i="1"/>
  <c r="C438" i="1"/>
  <c r="D438" i="1"/>
  <c r="E438" i="1"/>
  <c r="F438" i="1"/>
  <c r="G438" i="1"/>
  <c r="K438" i="1"/>
  <c r="L438" i="1"/>
  <c r="A439" i="1"/>
  <c r="C439" i="1"/>
  <c r="D439" i="1"/>
  <c r="E439" i="1"/>
  <c r="F439" i="1"/>
  <c r="G439" i="1"/>
  <c r="K439" i="1"/>
  <c r="L439" i="1"/>
  <c r="A440" i="1"/>
  <c r="B440" i="1"/>
  <c r="C440" i="1"/>
  <c r="D440" i="1"/>
  <c r="E440" i="1"/>
  <c r="F440" i="1"/>
  <c r="G440" i="1"/>
  <c r="K440" i="1"/>
  <c r="L440" i="1"/>
  <c r="A441" i="1"/>
  <c r="B441" i="1"/>
  <c r="C441" i="1"/>
  <c r="D441" i="1"/>
  <c r="E441" i="1"/>
  <c r="F441" i="1"/>
  <c r="G441" i="1"/>
  <c r="K441" i="1"/>
  <c r="L441" i="1"/>
  <c r="A442" i="1"/>
  <c r="B442" i="1"/>
  <c r="C442" i="1"/>
  <c r="D442" i="1"/>
  <c r="E442" i="1"/>
  <c r="F442" i="1"/>
  <c r="G442" i="1"/>
  <c r="K442" i="1"/>
  <c r="L442" i="1"/>
  <c r="A443" i="1"/>
  <c r="B443" i="1"/>
  <c r="C443" i="1"/>
  <c r="D443" i="1"/>
  <c r="E443" i="1"/>
  <c r="F443" i="1"/>
  <c r="G443" i="1"/>
  <c r="K443" i="1"/>
  <c r="L443" i="1"/>
  <c r="A444" i="1"/>
  <c r="B444" i="1"/>
  <c r="C444" i="1"/>
  <c r="D444" i="1"/>
  <c r="E444" i="1"/>
  <c r="F444" i="1"/>
  <c r="G444" i="1"/>
  <c r="K444" i="1"/>
  <c r="L444" i="1"/>
  <c r="A445" i="1"/>
  <c r="C445" i="1"/>
  <c r="D445" i="1"/>
  <c r="E445" i="1"/>
  <c r="F445" i="1"/>
  <c r="G445" i="1"/>
  <c r="K445" i="1"/>
  <c r="L445" i="1"/>
  <c r="A446" i="1"/>
  <c r="B446" i="1"/>
  <c r="C446" i="1"/>
  <c r="D446" i="1"/>
  <c r="E446" i="1"/>
  <c r="F446" i="1"/>
  <c r="G446" i="1"/>
  <c r="K446" i="1"/>
  <c r="L446" i="1"/>
  <c r="A447" i="1"/>
  <c r="C447" i="1"/>
  <c r="D447" i="1"/>
  <c r="E447" i="1"/>
  <c r="F447" i="1"/>
  <c r="G447" i="1"/>
  <c r="K447" i="1"/>
  <c r="L447" i="1"/>
  <c r="A448" i="1"/>
  <c r="C448" i="1"/>
  <c r="D448" i="1"/>
  <c r="E448" i="1"/>
  <c r="F448" i="1"/>
  <c r="G448" i="1"/>
  <c r="K448" i="1"/>
  <c r="L448" i="1"/>
  <c r="A449" i="1"/>
  <c r="C449" i="1"/>
  <c r="D449" i="1"/>
  <c r="E449" i="1"/>
  <c r="F449" i="1"/>
  <c r="G449" i="1"/>
  <c r="K449" i="1"/>
  <c r="L449" i="1"/>
  <c r="A450" i="1"/>
  <c r="B450" i="1"/>
  <c r="C450" i="1"/>
  <c r="D450" i="1"/>
  <c r="E450" i="1"/>
  <c r="F450" i="1"/>
  <c r="G450" i="1"/>
  <c r="K450" i="1"/>
  <c r="L450" i="1"/>
  <c r="A451" i="1"/>
  <c r="B451" i="1"/>
  <c r="C451" i="1"/>
  <c r="D451" i="1"/>
  <c r="E451" i="1"/>
  <c r="F451" i="1"/>
  <c r="G451" i="1"/>
  <c r="K451" i="1"/>
  <c r="L451" i="1"/>
  <c r="A452" i="1"/>
  <c r="B452" i="1"/>
  <c r="C452" i="1"/>
  <c r="D452" i="1"/>
  <c r="E452" i="1"/>
  <c r="F452" i="1"/>
  <c r="G452" i="1"/>
  <c r="J452" i="1"/>
  <c r="K452" i="1"/>
  <c r="L452" i="1"/>
  <c r="A453" i="1"/>
  <c r="B453" i="1"/>
  <c r="C453" i="1"/>
  <c r="D453" i="1"/>
  <c r="E453" i="1"/>
  <c r="F453" i="1"/>
  <c r="G453" i="1"/>
  <c r="K453" i="1"/>
  <c r="L453" i="1"/>
  <c r="A454" i="1"/>
  <c r="B454" i="1"/>
  <c r="C454" i="1"/>
  <c r="D454" i="1"/>
  <c r="E454" i="1"/>
  <c r="F454" i="1"/>
  <c r="G454" i="1"/>
  <c r="K454" i="1"/>
  <c r="L454" i="1"/>
  <c r="A455" i="1"/>
  <c r="B455" i="1"/>
  <c r="C455" i="1"/>
  <c r="D455" i="1"/>
  <c r="E455" i="1"/>
  <c r="F455" i="1"/>
  <c r="G455" i="1"/>
  <c r="K455" i="1"/>
  <c r="L455" i="1"/>
  <c r="A456" i="1"/>
  <c r="B456" i="1"/>
  <c r="C456" i="1"/>
  <c r="D456" i="1"/>
  <c r="E456" i="1"/>
  <c r="F456" i="1"/>
  <c r="G456" i="1"/>
  <c r="K456" i="1"/>
  <c r="L456" i="1"/>
  <c r="A457" i="1"/>
  <c r="B457" i="1"/>
  <c r="C457" i="1"/>
  <c r="D457" i="1"/>
  <c r="E457" i="1"/>
  <c r="F457" i="1"/>
  <c r="G457" i="1"/>
  <c r="K457" i="1"/>
  <c r="L457" i="1"/>
  <c r="A458" i="1"/>
  <c r="C458" i="1"/>
  <c r="D458" i="1"/>
  <c r="E458" i="1"/>
  <c r="F458" i="1"/>
  <c r="G458" i="1"/>
  <c r="K458" i="1"/>
  <c r="L458" i="1"/>
  <c r="A459" i="1"/>
  <c r="B459" i="1"/>
  <c r="C459" i="1"/>
  <c r="D459" i="1"/>
  <c r="E459" i="1"/>
  <c r="F459" i="1"/>
  <c r="G459" i="1"/>
  <c r="K459" i="1"/>
  <c r="L459" i="1"/>
  <c r="A460" i="1"/>
  <c r="B460" i="1"/>
  <c r="C460" i="1"/>
  <c r="D460" i="1"/>
  <c r="E460" i="1"/>
  <c r="F460" i="1"/>
  <c r="G460" i="1"/>
  <c r="K460" i="1"/>
  <c r="L460" i="1"/>
  <c r="A461" i="1"/>
  <c r="B461" i="1"/>
  <c r="C461" i="1"/>
  <c r="D461" i="1"/>
  <c r="E461" i="1"/>
  <c r="F461" i="1"/>
  <c r="G461" i="1"/>
  <c r="K461" i="1"/>
  <c r="L461" i="1"/>
  <c r="A462" i="1"/>
  <c r="B462" i="1"/>
  <c r="C462" i="1"/>
  <c r="D462" i="1"/>
  <c r="E462" i="1"/>
  <c r="F462" i="1"/>
  <c r="G462" i="1"/>
  <c r="K462" i="1"/>
  <c r="L462" i="1"/>
  <c r="A463" i="1"/>
  <c r="B463" i="1"/>
  <c r="C463" i="1"/>
  <c r="D463" i="1"/>
  <c r="E463" i="1"/>
  <c r="F463" i="1"/>
  <c r="G463" i="1"/>
  <c r="K463" i="1"/>
  <c r="L463" i="1"/>
  <c r="A464" i="1"/>
  <c r="C464" i="1"/>
  <c r="D464" i="1"/>
  <c r="E464" i="1"/>
  <c r="F464" i="1"/>
  <c r="G464" i="1"/>
  <c r="K464" i="1"/>
  <c r="L464" i="1"/>
  <c r="A465" i="1"/>
  <c r="B465" i="1"/>
  <c r="C465" i="1"/>
  <c r="D465" i="1"/>
  <c r="E465" i="1"/>
  <c r="F465" i="1"/>
  <c r="G465" i="1"/>
  <c r="K465" i="1"/>
  <c r="L465" i="1"/>
  <c r="A466" i="1"/>
  <c r="B466" i="1"/>
  <c r="C466" i="1"/>
  <c r="D466" i="1"/>
  <c r="E466" i="1"/>
  <c r="F466" i="1"/>
  <c r="G466" i="1"/>
  <c r="K466" i="1"/>
  <c r="L466" i="1"/>
  <c r="A467" i="1"/>
  <c r="C467" i="1"/>
  <c r="D467" i="1"/>
  <c r="E467" i="1"/>
  <c r="F467" i="1"/>
  <c r="G467" i="1"/>
  <c r="K467" i="1"/>
  <c r="L467" i="1"/>
  <c r="A468" i="1"/>
  <c r="B468" i="1"/>
  <c r="C468" i="1"/>
  <c r="D468" i="1"/>
  <c r="E468" i="1"/>
  <c r="F468" i="1"/>
  <c r="G468" i="1"/>
  <c r="K468" i="1"/>
  <c r="L468" i="1"/>
  <c r="A469" i="1"/>
  <c r="B469" i="1"/>
  <c r="C469" i="1"/>
  <c r="D469" i="1"/>
  <c r="E469" i="1"/>
  <c r="F469" i="1"/>
  <c r="G469" i="1"/>
  <c r="K469" i="1"/>
  <c r="L469" i="1"/>
  <c r="A470" i="1"/>
  <c r="C470" i="1"/>
  <c r="D470" i="1"/>
  <c r="E470" i="1"/>
  <c r="F470" i="1"/>
  <c r="G470" i="1"/>
  <c r="K470" i="1"/>
  <c r="L470" i="1"/>
  <c r="A471" i="1"/>
  <c r="C471" i="1"/>
  <c r="D471" i="1"/>
  <c r="E471" i="1"/>
  <c r="F471" i="1"/>
  <c r="G471" i="1"/>
  <c r="K471" i="1"/>
  <c r="L471" i="1"/>
  <c r="A472" i="1"/>
  <c r="B472" i="1"/>
  <c r="C472" i="1"/>
  <c r="D472" i="1"/>
  <c r="E472" i="1"/>
  <c r="F472" i="1"/>
  <c r="G472" i="1"/>
  <c r="K472" i="1"/>
  <c r="L472" i="1"/>
  <c r="A473" i="1"/>
  <c r="C473" i="1"/>
  <c r="D473" i="1"/>
  <c r="E473" i="1"/>
  <c r="F473" i="1"/>
  <c r="G473" i="1"/>
  <c r="K473" i="1"/>
  <c r="L473" i="1"/>
  <c r="A474" i="1"/>
  <c r="D474" i="1"/>
  <c r="E474" i="1"/>
  <c r="F474" i="1"/>
  <c r="G474" i="1"/>
  <c r="K474" i="1"/>
  <c r="A475" i="1"/>
  <c r="C475" i="1"/>
  <c r="D475" i="1"/>
  <c r="E475" i="1"/>
  <c r="F475" i="1"/>
  <c r="G475" i="1"/>
  <c r="K475" i="1"/>
  <c r="L475" i="1"/>
  <c r="A476" i="1"/>
  <c r="C476" i="1"/>
  <c r="D476" i="1"/>
  <c r="E476" i="1"/>
  <c r="F476" i="1"/>
  <c r="G476" i="1"/>
  <c r="K476" i="1"/>
  <c r="L476" i="1"/>
  <c r="A477" i="1"/>
  <c r="B477" i="1"/>
  <c r="C477" i="1"/>
  <c r="D477" i="1"/>
  <c r="E477" i="1"/>
  <c r="F477" i="1"/>
  <c r="G477" i="1"/>
  <c r="K477" i="1"/>
  <c r="L477" i="1"/>
  <c r="A478" i="1"/>
  <c r="B478" i="1"/>
  <c r="C478" i="1"/>
  <c r="D478" i="1"/>
  <c r="E478" i="1"/>
  <c r="F478" i="1"/>
  <c r="G478" i="1"/>
  <c r="K478" i="1"/>
  <c r="L478" i="1"/>
  <c r="A479" i="1"/>
  <c r="C479" i="1"/>
  <c r="D479" i="1"/>
  <c r="E479" i="1"/>
  <c r="F479" i="1"/>
  <c r="G479" i="1"/>
  <c r="K479" i="1"/>
  <c r="L479" i="1"/>
  <c r="A480" i="1"/>
  <c r="B480" i="1"/>
  <c r="C480" i="1"/>
  <c r="D480" i="1"/>
  <c r="E480" i="1"/>
  <c r="F480" i="1"/>
  <c r="G480" i="1"/>
  <c r="K480" i="1"/>
  <c r="L480" i="1"/>
  <c r="A481" i="1"/>
  <c r="B481" i="1"/>
  <c r="C481" i="1"/>
  <c r="D481" i="1"/>
  <c r="E481" i="1"/>
  <c r="F481" i="1"/>
  <c r="G481" i="1"/>
  <c r="K481" i="1"/>
  <c r="L481" i="1"/>
  <c r="A482" i="1"/>
  <c r="B482" i="1"/>
  <c r="C482" i="1"/>
  <c r="D482" i="1"/>
  <c r="E482" i="1"/>
  <c r="F482" i="1"/>
  <c r="G482" i="1"/>
  <c r="K482" i="1"/>
  <c r="L482" i="1"/>
  <c r="A483" i="1"/>
  <c r="B483" i="1"/>
  <c r="C483" i="1"/>
  <c r="D483" i="1"/>
  <c r="E483" i="1"/>
  <c r="F483" i="1"/>
  <c r="G483" i="1"/>
  <c r="K483" i="1"/>
  <c r="L483" i="1"/>
  <c r="A484" i="1"/>
  <c r="B484" i="1"/>
  <c r="C484" i="1"/>
  <c r="D484" i="1"/>
  <c r="E484" i="1"/>
  <c r="F484" i="1"/>
  <c r="G484" i="1"/>
  <c r="K484" i="1"/>
  <c r="L484" i="1"/>
  <c r="A485" i="1"/>
  <c r="B485" i="1"/>
  <c r="C485" i="1"/>
  <c r="D485" i="1"/>
  <c r="E485" i="1"/>
  <c r="F485" i="1"/>
  <c r="G485" i="1"/>
  <c r="K485" i="1"/>
  <c r="L485" i="1"/>
  <c r="A486" i="1"/>
  <c r="C486" i="1"/>
  <c r="D486" i="1"/>
  <c r="E486" i="1"/>
  <c r="F486" i="1"/>
  <c r="G486" i="1"/>
  <c r="K486" i="1"/>
  <c r="L486" i="1"/>
  <c r="A487" i="1"/>
  <c r="B487" i="1"/>
  <c r="C487" i="1"/>
  <c r="D487" i="1"/>
  <c r="E487" i="1"/>
  <c r="F487" i="1"/>
  <c r="G487" i="1"/>
  <c r="K487" i="1"/>
  <c r="L487" i="1"/>
  <c r="A488" i="1"/>
  <c r="B488" i="1"/>
  <c r="C488" i="1"/>
  <c r="D488" i="1"/>
  <c r="E488" i="1"/>
  <c r="F488" i="1"/>
  <c r="G488" i="1"/>
  <c r="K488" i="1"/>
  <c r="L488" i="1"/>
  <c r="A489" i="1"/>
  <c r="C489" i="1"/>
  <c r="D489" i="1"/>
  <c r="E489" i="1"/>
  <c r="F489" i="1"/>
  <c r="G489" i="1"/>
  <c r="K489" i="1"/>
  <c r="L489" i="1"/>
  <c r="A490" i="1"/>
  <c r="B490" i="1"/>
  <c r="C490" i="1"/>
  <c r="D490" i="1"/>
  <c r="E490" i="1"/>
  <c r="F490" i="1"/>
  <c r="G490" i="1"/>
  <c r="K490" i="1"/>
  <c r="L490" i="1"/>
  <c r="A491" i="1"/>
  <c r="B491" i="1"/>
  <c r="C491" i="1"/>
  <c r="D491" i="1"/>
  <c r="E491" i="1"/>
  <c r="F491" i="1"/>
  <c r="G491" i="1"/>
  <c r="K491" i="1"/>
  <c r="L491" i="1"/>
  <c r="A492" i="1"/>
  <c r="C492" i="1"/>
  <c r="D492" i="1"/>
  <c r="E492" i="1"/>
  <c r="F492" i="1"/>
  <c r="G492" i="1"/>
  <c r="K492" i="1"/>
  <c r="L492" i="1"/>
  <c r="A493" i="1"/>
  <c r="C493" i="1"/>
  <c r="D493" i="1"/>
  <c r="E493" i="1"/>
  <c r="F493" i="1"/>
  <c r="G493" i="1"/>
  <c r="K493" i="1"/>
  <c r="L493" i="1"/>
  <c r="A494" i="1"/>
  <c r="C494" i="1"/>
  <c r="D494" i="1"/>
  <c r="E494" i="1"/>
  <c r="F494" i="1"/>
  <c r="G494" i="1"/>
  <c r="K494" i="1"/>
  <c r="L494" i="1"/>
  <c r="A495" i="1"/>
  <c r="B495" i="1"/>
  <c r="C495" i="1"/>
  <c r="D495" i="1"/>
  <c r="E495" i="1"/>
  <c r="F495" i="1"/>
  <c r="G495" i="1"/>
  <c r="K495" i="1"/>
  <c r="L495" i="1"/>
  <c r="A496" i="1"/>
  <c r="B496" i="1"/>
  <c r="C496" i="1"/>
  <c r="D496" i="1"/>
  <c r="E496" i="1"/>
  <c r="F496" i="1"/>
  <c r="G496" i="1"/>
  <c r="K496" i="1"/>
  <c r="L496" i="1"/>
  <c r="A497" i="1"/>
  <c r="C497" i="1"/>
  <c r="D497" i="1"/>
  <c r="E497" i="1"/>
  <c r="F497" i="1"/>
  <c r="G497" i="1"/>
  <c r="K497" i="1"/>
  <c r="L497" i="1"/>
  <c r="A498" i="1"/>
  <c r="C498" i="1"/>
  <c r="D498" i="1"/>
  <c r="E498" i="1"/>
  <c r="F498" i="1"/>
  <c r="G498" i="1"/>
  <c r="K498" i="1"/>
  <c r="L498" i="1"/>
  <c r="A499" i="1"/>
  <c r="B499" i="1"/>
  <c r="C499" i="1"/>
  <c r="D499" i="1"/>
  <c r="E499" i="1"/>
  <c r="F499" i="1"/>
  <c r="G499" i="1"/>
  <c r="K499" i="1"/>
  <c r="L499" i="1"/>
  <c r="A500" i="1"/>
  <c r="B500" i="1"/>
  <c r="C500" i="1"/>
  <c r="D500" i="1"/>
  <c r="E500" i="1"/>
  <c r="F500" i="1"/>
  <c r="G500" i="1"/>
  <c r="K500" i="1"/>
  <c r="L500" i="1"/>
  <c r="A501" i="1"/>
  <c r="B501" i="1"/>
  <c r="C501" i="1"/>
  <c r="D501" i="1"/>
  <c r="E501" i="1"/>
  <c r="F501" i="1"/>
  <c r="G501" i="1"/>
  <c r="K501" i="1"/>
  <c r="L501" i="1"/>
</calcChain>
</file>

<file path=xl/sharedStrings.xml><?xml version="1.0" encoding="utf-8"?>
<sst xmlns="http://schemas.openxmlformats.org/spreadsheetml/2006/main" count="12" uniqueCount="12">
  <si>
    <t>N objet</t>
  </si>
  <si>
    <t>Poids déclaré</t>
  </si>
  <si>
    <t>Poids mesure (dernière mesure)</t>
  </si>
  <si>
    <t>Poids taxé</t>
  </si>
  <si>
    <t>Mode livraison</t>
  </si>
  <si>
    <t>Code produit</t>
  </si>
  <si>
    <t>Famille produit</t>
  </si>
  <si>
    <t>Gamme</t>
  </si>
  <si>
    <t>Pays livraison mesure</t>
  </si>
  <si>
    <t>Site de dépôt - Libellé</t>
  </si>
  <si>
    <t>Code client</t>
  </si>
  <si>
    <t>Poids mesuré (ELIT)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</si>
</sst>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7" fillId="33" borderId="10" xfId="0" applyFont="1" applyFill="1" applyBorder="1" applyAlignment="1">
      <alignment horizontal="center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1"/>
  <sheetViews>
    <sheetView showGridLines="0" tabSelected="1" workbookViewId="0">
      <selection activeCell="J16" sqref="J16"/>
    </sheetView>
  </sheetViews>
  <sheetFormatPr baseColWidth="10" defaultRowHeight="14.4" x14ac:dyDescent="0.3"/>
  <cols>
    <col min="1" max="1" width="14.33203125" style="1" bestFit="1" customWidth="1"/>
    <col min="2" max="2" width="12.109375" style="1" bestFit="1" customWidth="1"/>
    <col min="3" max="3" width="28.33203125" style="1" bestFit="1" customWidth="1"/>
    <col min="4" max="4" width="9.44140625" style="1" bestFit="1" customWidth="1"/>
    <col min="5" max="5" width="13.44140625" style="1" bestFit="1" customWidth="1"/>
    <col min="6" max="6" width="12" style="1" bestFit="1" customWidth="1"/>
    <col min="7" max="7" width="39.5546875" style="1" bestFit="1" customWidth="1"/>
    <col min="8" max="8" width="7.5546875" style="1" bestFit="1" customWidth="1"/>
    <col min="9" max="9" width="19.21875" style="1" bestFit="1" customWidth="1"/>
    <col min="10" max="10" width="25.5546875" style="1" bestFit="1" customWidth="1"/>
    <col min="11" max="11" width="10.21875" style="1" bestFit="1" customWidth="1"/>
    <col min="12" max="12" width="17.5546875" style="1" bestFit="1" customWidth="1"/>
    <col min="13" max="16384" width="11.5546875" style="1"/>
  </cols>
  <sheetData>
    <row r="1" spans="1:12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x14ac:dyDescent="0.3">
      <c r="A2" s="2" t="str">
        <f>"6C15579097979"</f>
        <v>6C15579097979</v>
      </c>
      <c r="B2" s="2"/>
      <c r="C2" s="2" t="str">
        <f>"0,700 kg"</f>
        <v>0,700 kg</v>
      </c>
      <c r="D2" s="2" t="str">
        <f>"0,700 kg"</f>
        <v>0,700 kg</v>
      </c>
      <c r="E2" s="2" t="str">
        <f t="shared" ref="E2:E65" si="0">"Domicile"</f>
        <v>Domicile</v>
      </c>
      <c r="F2" s="2" t="str">
        <f>"6C"</f>
        <v>6C</v>
      </c>
      <c r="G2" s="2" t="str">
        <f>"Colissimo  Domicile - avec signature -- FR (6C)"</f>
        <v>Colissimo  Domicile - avec signature -- FR (6C)</v>
      </c>
      <c r="H2" s="2"/>
      <c r="I2" s="2"/>
      <c r="J2" s="2"/>
      <c r="K2" s="2" t="str">
        <f t="shared" ref="K2:K65" si="1">"986737"</f>
        <v>986737</v>
      </c>
      <c r="L2" s="2" t="str">
        <f>"0,700 kg"</f>
        <v>0,700 kg</v>
      </c>
    </row>
    <row r="3" spans="1:12" x14ac:dyDescent="0.3">
      <c r="A3" s="2" t="str">
        <f>"6A25233008951"</f>
        <v>6A25233008951</v>
      </c>
      <c r="B3" s="2" t="str">
        <f>"0,710 kg"</f>
        <v>0,710 kg</v>
      </c>
      <c r="C3" s="2" t="str">
        <f>"0,700 kg"</f>
        <v>0,700 kg</v>
      </c>
      <c r="D3" s="2" t="str">
        <f>"0,700 kg"</f>
        <v>0,700 kg</v>
      </c>
      <c r="E3" s="2" t="str">
        <f t="shared" si="0"/>
        <v>Domicile</v>
      </c>
      <c r="F3" s="2" t="str">
        <f>"6A"</f>
        <v>6A</v>
      </c>
      <c r="G3" s="2" t="str">
        <f>"Colissimo  Domicile - sans signature -- FR (6A)"</f>
        <v>Colissimo  Domicile - sans signature -- FR (6A)</v>
      </c>
      <c r="H3" s="2"/>
      <c r="I3" s="2"/>
      <c r="J3" s="2"/>
      <c r="K3" s="2" t="str">
        <f t="shared" si="1"/>
        <v>986737</v>
      </c>
      <c r="L3" s="2" t="str">
        <f>"0,700 kg"</f>
        <v>0,700 kg</v>
      </c>
    </row>
    <row r="4" spans="1:12" x14ac:dyDescent="0.3">
      <c r="A4" s="2" t="str">
        <f>"8R44644340771"</f>
        <v>8R44644340771</v>
      </c>
      <c r="B4" s="2" t="str">
        <f>"1,000 kg"</f>
        <v>1,000 kg</v>
      </c>
      <c r="C4" s="2" t="str">
        <f>"1,480 kg"</f>
        <v>1,480 kg</v>
      </c>
      <c r="D4" s="2" t="str">
        <f>"1,480 kg"</f>
        <v>1,480 kg</v>
      </c>
      <c r="E4" s="2" t="str">
        <f t="shared" si="0"/>
        <v>Domicile</v>
      </c>
      <c r="F4" s="2" t="str">
        <f>"8R"</f>
        <v>8R</v>
      </c>
      <c r="G4" s="2" t="str">
        <f>"Colissimo  Retour -- FR (8R)"</f>
        <v>Colissimo  Retour -- FR (8R)</v>
      </c>
      <c r="H4" s="2"/>
      <c r="I4" s="2"/>
      <c r="J4" s="2" t="str">
        <f>"SAINT JUERY BP"</f>
        <v>SAINT JUERY BP</v>
      </c>
      <c r="K4" s="2" t="str">
        <f t="shared" si="1"/>
        <v>986737</v>
      </c>
      <c r="L4" s="2" t="str">
        <f>"1,480 kg"</f>
        <v>1,480 kg</v>
      </c>
    </row>
    <row r="5" spans="1:12" x14ac:dyDescent="0.3">
      <c r="A5" s="2" t="str">
        <f>"6A25193651433"</f>
        <v>6A25193651433</v>
      </c>
      <c r="B5" s="2" t="str">
        <f>"5,000 kg"</f>
        <v>5,000 kg</v>
      </c>
      <c r="C5" s="2" t="str">
        <f>"4,000 kg"</f>
        <v>4,000 kg</v>
      </c>
      <c r="D5" s="2" t="str">
        <f>"4,000 kg"</f>
        <v>4,000 kg</v>
      </c>
      <c r="E5" s="2" t="str">
        <f t="shared" si="0"/>
        <v>Domicile</v>
      </c>
      <c r="F5" s="2" t="str">
        <f>"6A"</f>
        <v>6A</v>
      </c>
      <c r="G5" s="2" t="str">
        <f>"Colissimo  Domicile - sans signature -- FR (6A)"</f>
        <v>Colissimo  Domicile - sans signature -- FR (6A)</v>
      </c>
      <c r="H5" s="2"/>
      <c r="I5" s="2"/>
      <c r="J5" s="2"/>
      <c r="K5" s="2" t="str">
        <f t="shared" si="1"/>
        <v>986737</v>
      </c>
      <c r="L5" s="2" t="str">
        <f>"4,000 kg"</f>
        <v>4,000 kg</v>
      </c>
    </row>
    <row r="6" spans="1:12" x14ac:dyDescent="0.3">
      <c r="A6" s="2" t="str">
        <f>"6C15577896529"</f>
        <v>6C15577896529</v>
      </c>
      <c r="B6" s="2" t="str">
        <f>"0,650 kg"</f>
        <v>0,650 kg</v>
      </c>
      <c r="C6" s="2" t="str">
        <f>"0,700 kg"</f>
        <v>0,700 kg</v>
      </c>
      <c r="D6" s="2" t="str">
        <f>"0,700 kg"</f>
        <v>0,700 kg</v>
      </c>
      <c r="E6" s="2" t="str">
        <f t="shared" si="0"/>
        <v>Domicile</v>
      </c>
      <c r="F6" s="2" t="str">
        <f>"6C"</f>
        <v>6C</v>
      </c>
      <c r="G6" s="2" t="str">
        <f>"Colissimo  Domicile - avec signature -- FR (6C)"</f>
        <v>Colissimo  Domicile - avec signature -- FR (6C)</v>
      </c>
      <c r="H6" s="2"/>
      <c r="I6" s="2"/>
      <c r="J6" s="2"/>
      <c r="K6" s="2" t="str">
        <f t="shared" si="1"/>
        <v>986737</v>
      </c>
      <c r="L6" s="2" t="str">
        <f>"0,700 kg"</f>
        <v>0,700 kg</v>
      </c>
    </row>
    <row r="7" spans="1:12" x14ac:dyDescent="0.3">
      <c r="A7" s="2" t="str">
        <f>"6A25285087409"</f>
        <v>6A25285087409</v>
      </c>
      <c r="B7" s="2" t="str">
        <f>"0,710 kg"</f>
        <v>0,710 kg</v>
      </c>
      <c r="C7" s="2" t="str">
        <f>"0,850 kg"</f>
        <v>0,850 kg</v>
      </c>
      <c r="D7" s="2" t="str">
        <f>"0,850 kg"</f>
        <v>0,850 kg</v>
      </c>
      <c r="E7" s="2" t="str">
        <f t="shared" si="0"/>
        <v>Domicile</v>
      </c>
      <c r="F7" s="2" t="str">
        <f>"6A"</f>
        <v>6A</v>
      </c>
      <c r="G7" s="2" t="str">
        <f>"Colissimo  Domicile - sans signature -- FR (6A)"</f>
        <v>Colissimo  Domicile - sans signature -- FR (6A)</v>
      </c>
      <c r="H7" s="2"/>
      <c r="I7" s="2"/>
      <c r="J7" s="2"/>
      <c r="K7" s="2" t="str">
        <f t="shared" si="1"/>
        <v>986737</v>
      </c>
      <c r="L7" s="2" t="str">
        <f>"0,850 kg"</f>
        <v>0,850 kg</v>
      </c>
    </row>
    <row r="8" spans="1:12" x14ac:dyDescent="0.3">
      <c r="A8" s="2" t="str">
        <f>"6A25186609069"</f>
        <v>6A25186609069</v>
      </c>
      <c r="B8" s="2" t="str">
        <f>"0,010 kg"</f>
        <v>0,010 kg</v>
      </c>
      <c r="C8" s="2" t="str">
        <f>"6,200 kg"</f>
        <v>6,200 kg</v>
      </c>
      <c r="D8" s="2" t="str">
        <f>"6,200 kg"</f>
        <v>6,200 kg</v>
      </c>
      <c r="E8" s="2" t="str">
        <f t="shared" si="0"/>
        <v>Domicile</v>
      </c>
      <c r="F8" s="2" t="str">
        <f>"6A"</f>
        <v>6A</v>
      </c>
      <c r="G8" s="2" t="str">
        <f>"Colissimo  Domicile - sans signature -- FR (6A)"</f>
        <v>Colissimo  Domicile - sans signature -- FR (6A)</v>
      </c>
      <c r="H8" s="2"/>
      <c r="I8" s="2"/>
      <c r="J8" s="2"/>
      <c r="K8" s="2" t="str">
        <f t="shared" si="1"/>
        <v>986737</v>
      </c>
      <c r="L8" s="2" t="str">
        <f>"6,200 kg"</f>
        <v>6,200 kg</v>
      </c>
    </row>
    <row r="9" spans="1:12" x14ac:dyDescent="0.3">
      <c r="A9" s="2" t="str">
        <f>"6C15587191904"</f>
        <v>6C15587191904</v>
      </c>
      <c r="B9" s="2" t="str">
        <f>"2,020 kg"</f>
        <v>2,020 kg</v>
      </c>
      <c r="C9" s="2" t="str">
        <f>"2,020 kg"</f>
        <v>2,020 kg</v>
      </c>
      <c r="D9" s="2" t="str">
        <f>"2,050 kg"</f>
        <v>2,050 kg</v>
      </c>
      <c r="E9" s="2" t="str">
        <f t="shared" si="0"/>
        <v>Domicile</v>
      </c>
      <c r="F9" s="2" t="str">
        <f>"6C"</f>
        <v>6C</v>
      </c>
      <c r="G9" s="2" t="str">
        <f>"Colissimo  Domicile - avec signature -- FR (6C)"</f>
        <v>Colissimo  Domicile - avec signature -- FR (6C)</v>
      </c>
      <c r="H9" s="2"/>
      <c r="I9" s="2"/>
      <c r="J9" s="2"/>
      <c r="K9" s="2" t="str">
        <f t="shared" si="1"/>
        <v>986737</v>
      </c>
      <c r="L9" s="2" t="str">
        <f>"2,050 kg"</f>
        <v>2,050 kg</v>
      </c>
    </row>
    <row r="10" spans="1:12" x14ac:dyDescent="0.3">
      <c r="A10" s="2" t="str">
        <f>"6A25289683010"</f>
        <v>6A25289683010</v>
      </c>
      <c r="B10" s="2"/>
      <c r="C10" s="2" t="str">
        <f>"10,150 kg"</f>
        <v>10,150 kg</v>
      </c>
      <c r="D10" s="2" t="str">
        <f>"10,150 kg"</f>
        <v>10,150 kg</v>
      </c>
      <c r="E10" s="2" t="str">
        <f t="shared" si="0"/>
        <v>Domicile</v>
      </c>
      <c r="F10" s="2" t="str">
        <f>"6A"</f>
        <v>6A</v>
      </c>
      <c r="G10" s="2" t="str">
        <f>"Colissimo  Domicile - sans signature -- FR (6A)"</f>
        <v>Colissimo  Domicile - sans signature -- FR (6A)</v>
      </c>
      <c r="H10" s="2"/>
      <c r="I10" s="2"/>
      <c r="J10" s="2"/>
      <c r="K10" s="2" t="str">
        <f t="shared" si="1"/>
        <v>986737</v>
      </c>
      <c r="L10" s="2" t="str">
        <f>"10,150 kg"</f>
        <v>10,150 kg</v>
      </c>
    </row>
    <row r="11" spans="1:12" x14ac:dyDescent="0.3">
      <c r="A11" s="2" t="str">
        <f>"6C15583756336"</f>
        <v>6C15583756336</v>
      </c>
      <c r="B11" s="2"/>
      <c r="C11" s="2" t="str">
        <f>"7,100 kg"</f>
        <v>7,100 kg</v>
      </c>
      <c r="D11" s="2" t="str">
        <f>"7,100 kg"</f>
        <v>7,100 kg</v>
      </c>
      <c r="E11" s="2" t="str">
        <f t="shared" si="0"/>
        <v>Domicile</v>
      </c>
      <c r="F11" s="2" t="str">
        <f>"6C"</f>
        <v>6C</v>
      </c>
      <c r="G11" s="2" t="str">
        <f>"Colissimo  Domicile - avec signature -- FR (6C)"</f>
        <v>Colissimo  Domicile - avec signature -- FR (6C)</v>
      </c>
      <c r="H11" s="2"/>
      <c r="I11" s="2"/>
      <c r="J11" s="2"/>
      <c r="K11" s="2" t="str">
        <f t="shared" si="1"/>
        <v>986737</v>
      </c>
      <c r="L11" s="2" t="str">
        <f>"7,100 kg"</f>
        <v>7,100 kg</v>
      </c>
    </row>
    <row r="12" spans="1:12" x14ac:dyDescent="0.3">
      <c r="A12" s="2" t="str">
        <f>"6A25231619579"</f>
        <v>6A25231619579</v>
      </c>
      <c r="B12" s="2" t="str">
        <f>"10,220 kg"</f>
        <v>10,220 kg</v>
      </c>
      <c r="C12" s="2" t="str">
        <f>"10,200 kg"</f>
        <v>10,200 kg</v>
      </c>
      <c r="D12" s="2" t="str">
        <f>"10,200 kg"</f>
        <v>10,200 kg</v>
      </c>
      <c r="E12" s="2" t="str">
        <f t="shared" si="0"/>
        <v>Domicile</v>
      </c>
      <c r="F12" s="2" t="str">
        <f>"6A"</f>
        <v>6A</v>
      </c>
      <c r="G12" s="2" t="str">
        <f>"Colissimo  Domicile - sans signature -- FR (6A)"</f>
        <v>Colissimo  Domicile - sans signature -- FR (6A)</v>
      </c>
      <c r="H12" s="2"/>
      <c r="I12" s="2"/>
      <c r="J12" s="2"/>
      <c r="K12" s="2" t="str">
        <f t="shared" si="1"/>
        <v>986737</v>
      </c>
      <c r="L12" s="2" t="str">
        <f>"10,200 kg"</f>
        <v>10,200 kg</v>
      </c>
    </row>
    <row r="13" spans="1:12" x14ac:dyDescent="0.3">
      <c r="A13" s="2" t="str">
        <f>"6A25189805109"</f>
        <v>6A25189805109</v>
      </c>
      <c r="B13" s="2"/>
      <c r="C13" s="2" t="str">
        <f>"6,250 kg"</f>
        <v>6,250 kg</v>
      </c>
      <c r="D13" s="2" t="str">
        <f>"6,250 kg"</f>
        <v>6,250 kg</v>
      </c>
      <c r="E13" s="2" t="str">
        <f t="shared" si="0"/>
        <v>Domicile</v>
      </c>
      <c r="F13" s="2" t="str">
        <f>"6A"</f>
        <v>6A</v>
      </c>
      <c r="G13" s="2" t="str">
        <f>"Colissimo  Domicile - sans signature -- FR (6A)"</f>
        <v>Colissimo  Domicile - sans signature -- FR (6A)</v>
      </c>
      <c r="H13" s="2"/>
      <c r="I13" s="2"/>
      <c r="J13" s="2"/>
      <c r="K13" s="2" t="str">
        <f t="shared" si="1"/>
        <v>986737</v>
      </c>
      <c r="L13" s="2" t="str">
        <f>"6,250 kg"</f>
        <v>6,250 kg</v>
      </c>
    </row>
    <row r="14" spans="1:12" x14ac:dyDescent="0.3">
      <c r="A14" s="2" t="str">
        <f>"6C15580113538"</f>
        <v>6C15580113538</v>
      </c>
      <c r="B14" s="2" t="str">
        <f>"7,580 kg"</f>
        <v>7,580 kg</v>
      </c>
      <c r="C14" s="2" t="str">
        <f>"7,550 kg"</f>
        <v>7,550 kg</v>
      </c>
      <c r="D14" s="2" t="str">
        <f>"7,550 kg"</f>
        <v>7,550 kg</v>
      </c>
      <c r="E14" s="2" t="str">
        <f t="shared" si="0"/>
        <v>Domicile</v>
      </c>
      <c r="F14" s="2" t="str">
        <f>"6C"</f>
        <v>6C</v>
      </c>
      <c r="G14" s="2" t="str">
        <f>"Colissimo  Domicile - avec signature -- FR (6C)"</f>
        <v>Colissimo  Domicile - avec signature -- FR (6C)</v>
      </c>
      <c r="H14" s="2"/>
      <c r="I14" s="2"/>
      <c r="J14" s="2"/>
      <c r="K14" s="2" t="str">
        <f t="shared" si="1"/>
        <v>986737</v>
      </c>
      <c r="L14" s="2" t="str">
        <f>"7,550 kg"</f>
        <v>7,550 kg</v>
      </c>
    </row>
    <row r="15" spans="1:12" x14ac:dyDescent="0.3">
      <c r="A15" s="2" t="str">
        <f>"6A25233222579"</f>
        <v>6A25233222579</v>
      </c>
      <c r="B15" s="2"/>
      <c r="C15" s="2" t="str">
        <f>"10,060 kg"</f>
        <v>10,060 kg</v>
      </c>
      <c r="D15" s="2" t="str">
        <f>"10,300 kg"</f>
        <v>10,300 kg</v>
      </c>
      <c r="E15" s="2" t="str">
        <f t="shared" si="0"/>
        <v>Domicile</v>
      </c>
      <c r="F15" s="2" t="str">
        <f>"6A"</f>
        <v>6A</v>
      </c>
      <c r="G15" s="2" t="str">
        <f>"Colissimo  Domicile - sans signature -- FR (6A)"</f>
        <v>Colissimo  Domicile - sans signature -- FR (6A)</v>
      </c>
      <c r="H15" s="2"/>
      <c r="I15" s="2"/>
      <c r="J15" s="2"/>
      <c r="K15" s="2" t="str">
        <f t="shared" si="1"/>
        <v>986737</v>
      </c>
      <c r="L15" s="2" t="str">
        <f>"10,300 kg"</f>
        <v>10,300 kg</v>
      </c>
    </row>
    <row r="16" spans="1:12" x14ac:dyDescent="0.3">
      <c r="A16" s="2" t="str">
        <f>"6A25185969928"</f>
        <v>6A25185969928</v>
      </c>
      <c r="B16" s="2" t="str">
        <f>"0,710 kg"</f>
        <v>0,710 kg</v>
      </c>
      <c r="C16" s="2" t="str">
        <f>"0,700 kg"</f>
        <v>0,700 kg</v>
      </c>
      <c r="D16" s="2" t="str">
        <f>"0,700 kg"</f>
        <v>0,700 kg</v>
      </c>
      <c r="E16" s="2" t="str">
        <f t="shared" si="0"/>
        <v>Domicile</v>
      </c>
      <c r="F16" s="2" t="str">
        <f>"6A"</f>
        <v>6A</v>
      </c>
      <c r="G16" s="2" t="str">
        <f>"Colissimo  Domicile - sans signature -- FR (6A)"</f>
        <v>Colissimo  Domicile - sans signature -- FR (6A)</v>
      </c>
      <c r="H16" s="2"/>
      <c r="I16" s="2"/>
      <c r="J16" s="2"/>
      <c r="K16" s="2" t="str">
        <f t="shared" si="1"/>
        <v>986737</v>
      </c>
      <c r="L16" s="2" t="str">
        <f>"0,700 kg"</f>
        <v>0,700 kg</v>
      </c>
    </row>
    <row r="17" spans="1:12" x14ac:dyDescent="0.3">
      <c r="A17" s="2" t="str">
        <f>"6A25291481956"</f>
        <v>6A25291481956</v>
      </c>
      <c r="B17" s="2" t="str">
        <f>"0,710 kg"</f>
        <v>0,710 kg</v>
      </c>
      <c r="C17" s="2" t="str">
        <f>"0,800 kg"</f>
        <v>0,800 kg</v>
      </c>
      <c r="D17" s="2" t="str">
        <f>"0,800 kg"</f>
        <v>0,800 kg</v>
      </c>
      <c r="E17" s="2" t="str">
        <f t="shared" si="0"/>
        <v>Domicile</v>
      </c>
      <c r="F17" s="2" t="str">
        <f>"6A"</f>
        <v>6A</v>
      </c>
      <c r="G17" s="2" t="str">
        <f>"Colissimo  Domicile - sans signature -- FR (6A)"</f>
        <v>Colissimo  Domicile - sans signature -- FR (6A)</v>
      </c>
      <c r="H17" s="2"/>
      <c r="I17" s="2"/>
      <c r="J17" s="2"/>
      <c r="K17" s="2" t="str">
        <f t="shared" si="1"/>
        <v>986737</v>
      </c>
      <c r="L17" s="2" t="str">
        <f>"0,800 kg"</f>
        <v>0,800 kg</v>
      </c>
    </row>
    <row r="18" spans="1:12" x14ac:dyDescent="0.3">
      <c r="A18" s="2" t="str">
        <f>"6A25231137356"</f>
        <v>6A25231137356</v>
      </c>
      <c r="B18" s="2" t="str">
        <f>"5,000 kg"</f>
        <v>5,000 kg</v>
      </c>
      <c r="C18" s="2" t="str">
        <f>"5,050 kg"</f>
        <v>5,050 kg</v>
      </c>
      <c r="D18" s="2" t="str">
        <f>"5,050 kg"</f>
        <v>5,050 kg</v>
      </c>
      <c r="E18" s="2" t="str">
        <f t="shared" si="0"/>
        <v>Domicile</v>
      </c>
      <c r="F18" s="2" t="str">
        <f>"6A"</f>
        <v>6A</v>
      </c>
      <c r="G18" s="2" t="str">
        <f>"Colissimo  Domicile - sans signature -- FR (6A)"</f>
        <v>Colissimo  Domicile - sans signature -- FR (6A)</v>
      </c>
      <c r="H18" s="2"/>
      <c r="I18" s="2"/>
      <c r="J18" s="2"/>
      <c r="K18" s="2" t="str">
        <f t="shared" si="1"/>
        <v>986737</v>
      </c>
      <c r="L18" s="2" t="str">
        <f>"5,050 kg"</f>
        <v>5,050 kg</v>
      </c>
    </row>
    <row r="19" spans="1:12" x14ac:dyDescent="0.3">
      <c r="A19" s="2" t="str">
        <f>"6C15577896635"</f>
        <v>6C15577896635</v>
      </c>
      <c r="B19" s="2" t="str">
        <f>"0,650 kg"</f>
        <v>0,650 kg</v>
      </c>
      <c r="C19" s="2" t="str">
        <f>"0,700 kg"</f>
        <v>0,700 kg</v>
      </c>
      <c r="D19" s="2" t="str">
        <f>"0,700 kg"</f>
        <v>0,700 kg</v>
      </c>
      <c r="E19" s="2" t="str">
        <f t="shared" si="0"/>
        <v>Domicile</v>
      </c>
      <c r="F19" s="2" t="str">
        <f>"6C"</f>
        <v>6C</v>
      </c>
      <c r="G19" s="2" t="str">
        <f>"Colissimo  Domicile - avec signature -- FR (6C)"</f>
        <v>Colissimo  Domicile - avec signature -- FR (6C)</v>
      </c>
      <c r="H19" s="2"/>
      <c r="I19" s="2"/>
      <c r="J19" s="2"/>
      <c r="K19" s="2" t="str">
        <f t="shared" si="1"/>
        <v>986737</v>
      </c>
      <c r="L19" s="2" t="str">
        <f>"0,700 kg"</f>
        <v>0,700 kg</v>
      </c>
    </row>
    <row r="20" spans="1:12" x14ac:dyDescent="0.3">
      <c r="A20" s="2" t="str">
        <f>"6C15580943272"</f>
        <v>6C15580943272</v>
      </c>
      <c r="B20" s="2"/>
      <c r="C20" s="2" t="str">
        <f>"0,700 kg"</f>
        <v>0,700 kg</v>
      </c>
      <c r="D20" s="2" t="str">
        <f>"0,700 kg"</f>
        <v>0,700 kg</v>
      </c>
      <c r="E20" s="2" t="str">
        <f t="shared" si="0"/>
        <v>Domicile</v>
      </c>
      <c r="F20" s="2" t="str">
        <f>"6C"</f>
        <v>6C</v>
      </c>
      <c r="G20" s="2" t="str">
        <f>"Colissimo  Domicile - avec signature -- FR (6C)"</f>
        <v>Colissimo  Domicile - avec signature -- FR (6C)</v>
      </c>
      <c r="H20" s="2"/>
      <c r="I20" s="2"/>
      <c r="J20" s="2"/>
      <c r="K20" s="2" t="str">
        <f t="shared" si="1"/>
        <v>986737</v>
      </c>
      <c r="L20" s="2" t="str">
        <f>"0,700 kg"</f>
        <v>0,700 kg</v>
      </c>
    </row>
    <row r="21" spans="1:12" x14ac:dyDescent="0.3">
      <c r="A21" s="2" t="str">
        <f>"6C15580896707"</f>
        <v>6C15580896707</v>
      </c>
      <c r="B21" s="2"/>
      <c r="C21" s="2" t="str">
        <f>"0,750 kg"</f>
        <v>0,750 kg</v>
      </c>
      <c r="D21" s="2" t="str">
        <f>"0,750 kg"</f>
        <v>0,750 kg</v>
      </c>
      <c r="E21" s="2" t="str">
        <f t="shared" si="0"/>
        <v>Domicile</v>
      </c>
      <c r="F21" s="2" t="str">
        <f>"6C"</f>
        <v>6C</v>
      </c>
      <c r="G21" s="2" t="str">
        <f>"Colissimo  Domicile - avec signature -- FR (6C)"</f>
        <v>Colissimo  Domicile - avec signature -- FR (6C)</v>
      </c>
      <c r="H21" s="2"/>
      <c r="I21" s="2"/>
      <c r="J21" s="2"/>
      <c r="K21" s="2" t="str">
        <f t="shared" si="1"/>
        <v>986737</v>
      </c>
      <c r="L21" s="2" t="str">
        <f>"0,750 kg"</f>
        <v>0,750 kg</v>
      </c>
    </row>
    <row r="22" spans="1:12" x14ac:dyDescent="0.3">
      <c r="A22" s="2" t="str">
        <f>"6A25289508641"</f>
        <v>6A25289508641</v>
      </c>
      <c r="B22" s="2" t="str">
        <f>"0,710 kg"</f>
        <v>0,710 kg</v>
      </c>
      <c r="C22" s="2" t="str">
        <f>"0,700 kg"</f>
        <v>0,700 kg</v>
      </c>
      <c r="D22" s="2" t="str">
        <f>"0,700 kg"</f>
        <v>0,700 kg</v>
      </c>
      <c r="E22" s="2" t="str">
        <f t="shared" si="0"/>
        <v>Domicile</v>
      </c>
      <c r="F22" s="2" t="str">
        <f>"6A"</f>
        <v>6A</v>
      </c>
      <c r="G22" s="2" t="str">
        <f>"Colissimo  Domicile - sans signature -- FR (6A)"</f>
        <v>Colissimo  Domicile - sans signature -- FR (6A)</v>
      </c>
      <c r="H22" s="2"/>
      <c r="I22" s="2"/>
      <c r="J22" s="2"/>
      <c r="K22" s="2" t="str">
        <f t="shared" si="1"/>
        <v>986737</v>
      </c>
      <c r="L22" s="2" t="str">
        <f>"0,700 kg"</f>
        <v>0,700 kg</v>
      </c>
    </row>
    <row r="23" spans="1:12" x14ac:dyDescent="0.3">
      <c r="A23" s="2" t="str">
        <f>"6A25284824272"</f>
        <v>6A25284824272</v>
      </c>
      <c r="B23" s="2" t="str">
        <f>"0,710 kg"</f>
        <v>0,710 kg</v>
      </c>
      <c r="C23" s="2" t="str">
        <f>"0,700 kg"</f>
        <v>0,700 kg</v>
      </c>
      <c r="D23" s="2" t="str">
        <f>"0,700 kg"</f>
        <v>0,700 kg</v>
      </c>
      <c r="E23" s="2" t="str">
        <f t="shared" si="0"/>
        <v>Domicile</v>
      </c>
      <c r="F23" s="2" t="str">
        <f>"6A"</f>
        <v>6A</v>
      </c>
      <c r="G23" s="2" t="str">
        <f>"Colissimo  Domicile - sans signature -- FR (6A)"</f>
        <v>Colissimo  Domicile - sans signature -- FR (6A)</v>
      </c>
      <c r="H23" s="2"/>
      <c r="I23" s="2"/>
      <c r="J23" s="2"/>
      <c r="K23" s="2" t="str">
        <f t="shared" si="1"/>
        <v>986737</v>
      </c>
      <c r="L23" s="2" t="str">
        <f>"0,700 kg"</f>
        <v>0,700 kg</v>
      </c>
    </row>
    <row r="24" spans="1:12" x14ac:dyDescent="0.3">
      <c r="A24" s="2" t="str">
        <f>"6C15602822899"</f>
        <v>6C15602822899</v>
      </c>
      <c r="B24" s="2" t="str">
        <f>"1,680 kg"</f>
        <v>1,680 kg</v>
      </c>
      <c r="C24" s="2" t="str">
        <f>"1,750 kg"</f>
        <v>1,750 kg</v>
      </c>
      <c r="D24" s="2" t="str">
        <f>"1,750 kg"</f>
        <v>1,750 kg</v>
      </c>
      <c r="E24" s="2" t="str">
        <f t="shared" si="0"/>
        <v>Domicile</v>
      </c>
      <c r="F24" s="2" t="str">
        <f>"6C"</f>
        <v>6C</v>
      </c>
      <c r="G24" s="2" t="str">
        <f>"Colissimo  Domicile - avec signature -- FR (6C)"</f>
        <v>Colissimo  Domicile - avec signature -- FR (6C)</v>
      </c>
      <c r="H24" s="2"/>
      <c r="I24" s="2"/>
      <c r="J24" s="2"/>
      <c r="K24" s="2" t="str">
        <f t="shared" si="1"/>
        <v>986737</v>
      </c>
      <c r="L24" s="2" t="str">
        <f>"1,750 kg"</f>
        <v>1,750 kg</v>
      </c>
    </row>
    <row r="25" spans="1:12" x14ac:dyDescent="0.3">
      <c r="A25" s="2" t="str">
        <f>"6C15599497667"</f>
        <v>6C15599497667</v>
      </c>
      <c r="B25" s="2" t="str">
        <f>"1,900 kg"</f>
        <v>1,900 kg</v>
      </c>
      <c r="C25" s="2" t="str">
        <f>"1,850 kg"</f>
        <v>1,850 kg</v>
      </c>
      <c r="D25" s="2" t="str">
        <f>"1,850 kg"</f>
        <v>1,850 kg</v>
      </c>
      <c r="E25" s="2" t="str">
        <f t="shared" si="0"/>
        <v>Domicile</v>
      </c>
      <c r="F25" s="2" t="str">
        <f>"6C"</f>
        <v>6C</v>
      </c>
      <c r="G25" s="2" t="str">
        <f>"Colissimo  Domicile - avec signature -- FR (6C)"</f>
        <v>Colissimo  Domicile - avec signature -- FR (6C)</v>
      </c>
      <c r="H25" s="2"/>
      <c r="I25" s="2"/>
      <c r="J25" s="2"/>
      <c r="K25" s="2" t="str">
        <f t="shared" si="1"/>
        <v>986737</v>
      </c>
      <c r="L25" s="2" t="str">
        <f>"1,850 kg"</f>
        <v>1,850 kg</v>
      </c>
    </row>
    <row r="26" spans="1:12" x14ac:dyDescent="0.3">
      <c r="A26" s="2" t="str">
        <f>"6C15580896745"</f>
        <v>6C15580896745</v>
      </c>
      <c r="B26" s="2" t="str">
        <f>"0,650 kg"</f>
        <v>0,650 kg</v>
      </c>
      <c r="C26" s="2" t="str">
        <f>"0,700 kg"</f>
        <v>0,700 kg</v>
      </c>
      <c r="D26" s="2" t="str">
        <f>"0,700 kg"</f>
        <v>0,700 kg</v>
      </c>
      <c r="E26" s="2" t="str">
        <f t="shared" si="0"/>
        <v>Domicile</v>
      </c>
      <c r="F26" s="2" t="str">
        <f>"6C"</f>
        <v>6C</v>
      </c>
      <c r="G26" s="2" t="str">
        <f>"Colissimo  Domicile - avec signature -- FR (6C)"</f>
        <v>Colissimo  Domicile - avec signature -- FR (6C)</v>
      </c>
      <c r="H26" s="2"/>
      <c r="I26" s="2"/>
      <c r="J26" s="2"/>
      <c r="K26" s="2" t="str">
        <f t="shared" si="1"/>
        <v>986737</v>
      </c>
      <c r="L26" s="2" t="str">
        <f>"0,700 kg"</f>
        <v>0,700 kg</v>
      </c>
    </row>
    <row r="27" spans="1:12" x14ac:dyDescent="0.3">
      <c r="A27" s="2" t="str">
        <f>"6A25291105388"</f>
        <v>6A25291105388</v>
      </c>
      <c r="B27" s="2"/>
      <c r="C27" s="2" t="str">
        <f>"0,700 kg"</f>
        <v>0,700 kg</v>
      </c>
      <c r="D27" s="2" t="str">
        <f>"0,700 kg"</f>
        <v>0,700 kg</v>
      </c>
      <c r="E27" s="2" t="str">
        <f t="shared" si="0"/>
        <v>Domicile</v>
      </c>
      <c r="F27" s="2" t="str">
        <f>"6A"</f>
        <v>6A</v>
      </c>
      <c r="G27" s="2" t="str">
        <f>"Colissimo  Domicile - sans signature -- FR (6A)"</f>
        <v>Colissimo  Domicile - sans signature -- FR (6A)</v>
      </c>
      <c r="H27" s="2"/>
      <c r="I27" s="2"/>
      <c r="J27" s="2"/>
      <c r="K27" s="2" t="str">
        <f t="shared" si="1"/>
        <v>986737</v>
      </c>
      <c r="L27" s="2" t="str">
        <f>"0,700 kg"</f>
        <v>0,700 kg</v>
      </c>
    </row>
    <row r="28" spans="1:12" x14ac:dyDescent="0.3">
      <c r="A28" s="2" t="str">
        <f>"6C15583756404"</f>
        <v>6C15583756404</v>
      </c>
      <c r="B28" s="2" t="str">
        <f>"2,320 kg"</f>
        <v>2,320 kg</v>
      </c>
      <c r="C28" s="2" t="str">
        <f>"2,300 kg"</f>
        <v>2,300 kg</v>
      </c>
      <c r="D28" s="2" t="str">
        <f>"2,300 kg"</f>
        <v>2,300 kg</v>
      </c>
      <c r="E28" s="2" t="str">
        <f t="shared" si="0"/>
        <v>Domicile</v>
      </c>
      <c r="F28" s="2" t="str">
        <f>"6C"</f>
        <v>6C</v>
      </c>
      <c r="G28" s="2" t="str">
        <f>"Colissimo  Domicile - avec signature -- FR (6C)"</f>
        <v>Colissimo  Domicile - avec signature -- FR (6C)</v>
      </c>
      <c r="H28" s="2"/>
      <c r="I28" s="2"/>
      <c r="J28" s="2"/>
      <c r="K28" s="2" t="str">
        <f t="shared" si="1"/>
        <v>986737</v>
      </c>
      <c r="L28" s="2" t="str">
        <f>"2,300 kg"</f>
        <v>2,300 kg</v>
      </c>
    </row>
    <row r="29" spans="1:12" x14ac:dyDescent="0.3">
      <c r="A29" s="2" t="str">
        <f>"6A25189170726"</f>
        <v>6A25189170726</v>
      </c>
      <c r="B29" s="2" t="str">
        <f>"0,710 kg"</f>
        <v>0,710 kg</v>
      </c>
      <c r="C29" s="2" t="str">
        <f>"0,700 kg"</f>
        <v>0,700 kg</v>
      </c>
      <c r="D29" s="2" t="str">
        <f>"0,700 kg"</f>
        <v>0,700 kg</v>
      </c>
      <c r="E29" s="2" t="str">
        <f t="shared" si="0"/>
        <v>Domicile</v>
      </c>
      <c r="F29" s="2" t="str">
        <f>"6A"</f>
        <v>6A</v>
      </c>
      <c r="G29" s="2" t="str">
        <f>"Colissimo  Domicile - sans signature -- FR (6A)"</f>
        <v>Colissimo  Domicile - sans signature -- FR (6A)</v>
      </c>
      <c r="H29" s="2"/>
      <c r="I29" s="2"/>
      <c r="J29" s="2"/>
      <c r="K29" s="2" t="str">
        <f t="shared" si="1"/>
        <v>986737</v>
      </c>
      <c r="L29" s="2" t="str">
        <f>"0,700 kg"</f>
        <v>0,700 kg</v>
      </c>
    </row>
    <row r="30" spans="1:12" x14ac:dyDescent="0.3">
      <c r="A30" s="2" t="str">
        <f>"6C15578984379"</f>
        <v>6C15578984379</v>
      </c>
      <c r="B30" s="2"/>
      <c r="C30" s="2" t="str">
        <f>"6,200 kg"</f>
        <v>6,200 kg</v>
      </c>
      <c r="D30" s="2" t="str">
        <f>"6,200 kg"</f>
        <v>6,200 kg</v>
      </c>
      <c r="E30" s="2" t="str">
        <f t="shared" si="0"/>
        <v>Domicile</v>
      </c>
      <c r="F30" s="2" t="str">
        <f>"6C"</f>
        <v>6C</v>
      </c>
      <c r="G30" s="2" t="str">
        <f>"Colissimo  Domicile - avec signature -- FR (6C)"</f>
        <v>Colissimo  Domicile - avec signature -- FR (6C)</v>
      </c>
      <c r="H30" s="2"/>
      <c r="I30" s="2"/>
      <c r="J30" s="2"/>
      <c r="K30" s="2" t="str">
        <f t="shared" si="1"/>
        <v>986737</v>
      </c>
      <c r="L30" s="2" t="str">
        <f>"6,200 kg"</f>
        <v>6,200 kg</v>
      </c>
    </row>
    <row r="31" spans="1:12" x14ac:dyDescent="0.3">
      <c r="A31" s="2" t="str">
        <f>"6A25291106170"</f>
        <v>6A25291106170</v>
      </c>
      <c r="B31" s="2" t="str">
        <f>"0,710 kg"</f>
        <v>0,710 kg</v>
      </c>
      <c r="C31" s="2" t="str">
        <f>"0,700 kg"</f>
        <v>0,700 kg</v>
      </c>
      <c r="D31" s="2" t="str">
        <f>"0,700 kg"</f>
        <v>0,700 kg</v>
      </c>
      <c r="E31" s="2" t="str">
        <f t="shared" si="0"/>
        <v>Domicile</v>
      </c>
      <c r="F31" s="2" t="str">
        <f>"6A"</f>
        <v>6A</v>
      </c>
      <c r="G31" s="2" t="str">
        <f>"Colissimo  Domicile - sans signature -- FR (6A)"</f>
        <v>Colissimo  Domicile - sans signature -- FR (6A)</v>
      </c>
      <c r="H31" s="2"/>
      <c r="I31" s="2"/>
      <c r="J31" s="2"/>
      <c r="K31" s="2" t="str">
        <f t="shared" si="1"/>
        <v>986737</v>
      </c>
      <c r="L31" s="2" t="str">
        <f>"0,700 kg"</f>
        <v>0,700 kg</v>
      </c>
    </row>
    <row r="32" spans="1:12" x14ac:dyDescent="0.3">
      <c r="A32" s="2" t="str">
        <f>"6A25285087799"</f>
        <v>6A25285087799</v>
      </c>
      <c r="B32" s="2" t="str">
        <f>"0,710 kg"</f>
        <v>0,710 kg</v>
      </c>
      <c r="C32" s="2" t="str">
        <f>"0,850 kg"</f>
        <v>0,850 kg</v>
      </c>
      <c r="D32" s="2" t="str">
        <f>"0,850 kg"</f>
        <v>0,850 kg</v>
      </c>
      <c r="E32" s="2" t="str">
        <f t="shared" si="0"/>
        <v>Domicile</v>
      </c>
      <c r="F32" s="2" t="str">
        <f>"6A"</f>
        <v>6A</v>
      </c>
      <c r="G32" s="2" t="str">
        <f>"Colissimo  Domicile - sans signature -- FR (6A)"</f>
        <v>Colissimo  Domicile - sans signature -- FR (6A)</v>
      </c>
      <c r="H32" s="2"/>
      <c r="I32" s="2"/>
      <c r="J32" s="2"/>
      <c r="K32" s="2" t="str">
        <f t="shared" si="1"/>
        <v>986737</v>
      </c>
      <c r="L32" s="2" t="str">
        <f>"0,850 kg"</f>
        <v>0,850 kg</v>
      </c>
    </row>
    <row r="33" spans="1:12" x14ac:dyDescent="0.3">
      <c r="A33" s="2" t="str">
        <f>"6C15674806148"</f>
        <v>6C15674806148</v>
      </c>
      <c r="B33" s="2"/>
      <c r="C33" s="2" t="str">
        <f>"7,450 kg"</f>
        <v>7,450 kg</v>
      </c>
      <c r="D33" s="2" t="str">
        <f>"7,450 kg"</f>
        <v>7,450 kg</v>
      </c>
      <c r="E33" s="2" t="str">
        <f t="shared" si="0"/>
        <v>Domicile</v>
      </c>
      <c r="F33" s="2" t="str">
        <f>"6C"</f>
        <v>6C</v>
      </c>
      <c r="G33" s="2" t="str">
        <f>"Colissimo  Domicile - avec signature -- FR (6C)"</f>
        <v>Colissimo  Domicile - avec signature -- FR (6C)</v>
      </c>
      <c r="H33" s="2"/>
      <c r="I33" s="2"/>
      <c r="J33" s="2"/>
      <c r="K33" s="2" t="str">
        <f t="shared" si="1"/>
        <v>986737</v>
      </c>
      <c r="L33" s="2" t="str">
        <f>"7,450 kg"</f>
        <v>7,450 kg</v>
      </c>
    </row>
    <row r="34" spans="1:12" x14ac:dyDescent="0.3">
      <c r="A34" s="2" t="str">
        <f>"6C15661103373"</f>
        <v>6C15661103373</v>
      </c>
      <c r="B34" s="2" t="str">
        <f>"7,490 kg"</f>
        <v>7,490 kg</v>
      </c>
      <c r="C34" s="2" t="str">
        <f>"7,500 kg"</f>
        <v>7,500 kg</v>
      </c>
      <c r="D34" s="2" t="str">
        <f>"7,500 kg"</f>
        <v>7,500 kg</v>
      </c>
      <c r="E34" s="2" t="str">
        <f t="shared" si="0"/>
        <v>Domicile</v>
      </c>
      <c r="F34" s="2" t="str">
        <f>"6C"</f>
        <v>6C</v>
      </c>
      <c r="G34" s="2" t="str">
        <f>"Colissimo  Domicile - avec signature -- FR (6C)"</f>
        <v>Colissimo  Domicile - avec signature -- FR (6C)</v>
      </c>
      <c r="H34" s="2"/>
      <c r="I34" s="2"/>
      <c r="J34" s="2"/>
      <c r="K34" s="2" t="str">
        <f t="shared" si="1"/>
        <v>986737</v>
      </c>
      <c r="L34" s="2" t="str">
        <f>"7,500 kg"</f>
        <v>7,500 kg</v>
      </c>
    </row>
    <row r="35" spans="1:12" x14ac:dyDescent="0.3">
      <c r="A35" s="2" t="str">
        <f>"6C15670825808"</f>
        <v>6C15670825808</v>
      </c>
      <c r="B35" s="2" t="str">
        <f>"0,730 kg"</f>
        <v>0,730 kg</v>
      </c>
      <c r="C35" s="2" t="str">
        <f>"0,800 kg"</f>
        <v>0,800 kg</v>
      </c>
      <c r="D35" s="2" t="str">
        <f>"0,800 kg"</f>
        <v>0,800 kg</v>
      </c>
      <c r="E35" s="2" t="str">
        <f t="shared" si="0"/>
        <v>Domicile</v>
      </c>
      <c r="F35" s="2" t="str">
        <f>"6C"</f>
        <v>6C</v>
      </c>
      <c r="G35" s="2" t="str">
        <f>"Colissimo  Domicile - avec signature -- FR (6C)"</f>
        <v>Colissimo  Domicile - avec signature -- FR (6C)</v>
      </c>
      <c r="H35" s="2"/>
      <c r="I35" s="2"/>
      <c r="J35" s="2"/>
      <c r="K35" s="2" t="str">
        <f t="shared" si="1"/>
        <v>986737</v>
      </c>
      <c r="L35" s="2" t="str">
        <f>"0,800 kg"</f>
        <v>0,800 kg</v>
      </c>
    </row>
    <row r="36" spans="1:12" x14ac:dyDescent="0.3">
      <c r="A36" s="2" t="str">
        <f>"6C15663584965"</f>
        <v>6C15663584965</v>
      </c>
      <c r="B36" s="2" t="str">
        <f>"8,420 kg"</f>
        <v>8,420 kg</v>
      </c>
      <c r="C36" s="2" t="str">
        <f>"8,450 kg"</f>
        <v>8,450 kg</v>
      </c>
      <c r="D36" s="2" t="str">
        <f>"8,450 kg"</f>
        <v>8,450 kg</v>
      </c>
      <c r="E36" s="2" t="str">
        <f t="shared" si="0"/>
        <v>Domicile</v>
      </c>
      <c r="F36" s="2" t="str">
        <f>"6C"</f>
        <v>6C</v>
      </c>
      <c r="G36" s="2" t="str">
        <f>"Colissimo  Domicile - avec signature -- FR (6C)"</f>
        <v>Colissimo  Domicile - avec signature -- FR (6C)</v>
      </c>
      <c r="H36" s="2"/>
      <c r="I36" s="2"/>
      <c r="J36" s="2"/>
      <c r="K36" s="2" t="str">
        <f t="shared" si="1"/>
        <v>986737</v>
      </c>
      <c r="L36" s="2" t="str">
        <f>"8,450 kg"</f>
        <v>8,450 kg</v>
      </c>
    </row>
    <row r="37" spans="1:12" x14ac:dyDescent="0.3">
      <c r="A37" s="2" t="str">
        <f>"6C15640932901"</f>
        <v>6C15640932901</v>
      </c>
      <c r="B37" s="2" t="str">
        <f>"4,720 kg"</f>
        <v>4,720 kg</v>
      </c>
      <c r="C37" s="2" t="str">
        <f>"4,700 kg"</f>
        <v>4,700 kg</v>
      </c>
      <c r="D37" s="2" t="str">
        <f>"4,700 kg"</f>
        <v>4,700 kg</v>
      </c>
      <c r="E37" s="2" t="str">
        <f t="shared" si="0"/>
        <v>Domicile</v>
      </c>
      <c r="F37" s="2" t="str">
        <f>"6C"</f>
        <v>6C</v>
      </c>
      <c r="G37" s="2" t="str">
        <f>"Colissimo  Domicile - avec signature -- FR (6C)"</f>
        <v>Colissimo  Domicile - avec signature -- FR (6C)</v>
      </c>
      <c r="H37" s="2"/>
      <c r="I37" s="2"/>
      <c r="J37" s="2"/>
      <c r="K37" s="2" t="str">
        <f t="shared" si="1"/>
        <v>986737</v>
      </c>
      <c r="L37" s="2" t="str">
        <f>"4,700 kg"</f>
        <v>4,700 kg</v>
      </c>
    </row>
    <row r="38" spans="1:12" x14ac:dyDescent="0.3">
      <c r="A38" s="2" t="str">
        <f>"6A25609669052"</f>
        <v>6A25609669052</v>
      </c>
      <c r="B38" s="2" t="str">
        <f>"3,900 kg"</f>
        <v>3,900 kg</v>
      </c>
      <c r="C38" s="2" t="str">
        <f>"3,800 kg"</f>
        <v>3,800 kg</v>
      </c>
      <c r="D38" s="2" t="str">
        <f>"3,800 kg"</f>
        <v>3,800 kg</v>
      </c>
      <c r="E38" s="2" t="str">
        <f t="shared" si="0"/>
        <v>Domicile</v>
      </c>
      <c r="F38" s="2" t="str">
        <f>"6A"</f>
        <v>6A</v>
      </c>
      <c r="G38" s="2" t="str">
        <f>"Colissimo  Domicile - sans signature -- FR (6A)"</f>
        <v>Colissimo  Domicile - sans signature -- FR (6A)</v>
      </c>
      <c r="H38" s="2"/>
      <c r="I38" s="2"/>
      <c r="J38" s="2"/>
      <c r="K38" s="2" t="str">
        <f t="shared" si="1"/>
        <v>986737</v>
      </c>
      <c r="L38" s="2" t="str">
        <f>"3,800 kg"</f>
        <v>3,800 kg</v>
      </c>
    </row>
    <row r="39" spans="1:12" x14ac:dyDescent="0.3">
      <c r="A39" s="2" t="str">
        <f>"6C15715269291"</f>
        <v>6C15715269291</v>
      </c>
      <c r="B39" s="2" t="str">
        <f>"2,910 kg"</f>
        <v>2,910 kg</v>
      </c>
      <c r="C39" s="2" t="str">
        <f>"3,000 kg"</f>
        <v>3,000 kg</v>
      </c>
      <c r="D39" s="2" t="str">
        <f>"3,000 kg"</f>
        <v>3,000 kg</v>
      </c>
      <c r="E39" s="2" t="str">
        <f t="shared" si="0"/>
        <v>Domicile</v>
      </c>
      <c r="F39" s="2" t="str">
        <f>"6C"</f>
        <v>6C</v>
      </c>
      <c r="G39" s="2" t="str">
        <f>"Colissimo  Domicile - avec signature -- FR (6C)"</f>
        <v>Colissimo  Domicile - avec signature -- FR (6C)</v>
      </c>
      <c r="H39" s="2"/>
      <c r="I39" s="2"/>
      <c r="J39" s="2"/>
      <c r="K39" s="2" t="str">
        <f t="shared" si="1"/>
        <v>986737</v>
      </c>
      <c r="L39" s="2" t="str">
        <f>"3,000 kg"</f>
        <v>3,000 kg</v>
      </c>
    </row>
    <row r="40" spans="1:12" x14ac:dyDescent="0.3">
      <c r="A40" s="2" t="str">
        <f>"6C15674976124"</f>
        <v>6C15674976124</v>
      </c>
      <c r="B40" s="2"/>
      <c r="C40" s="2" t="str">
        <f>"3,150 kg"</f>
        <v>3,150 kg</v>
      </c>
      <c r="D40" s="2" t="str">
        <f>"3,150 kg"</f>
        <v>3,150 kg</v>
      </c>
      <c r="E40" s="2" t="str">
        <f t="shared" si="0"/>
        <v>Domicile</v>
      </c>
      <c r="F40" s="2" t="str">
        <f>"6C"</f>
        <v>6C</v>
      </c>
      <c r="G40" s="2" t="str">
        <f>"Colissimo  Domicile - avec signature -- FR (6C)"</f>
        <v>Colissimo  Domicile - avec signature -- FR (6C)</v>
      </c>
      <c r="H40" s="2"/>
      <c r="I40" s="2"/>
      <c r="J40" s="2"/>
      <c r="K40" s="2" t="str">
        <f t="shared" si="1"/>
        <v>986737</v>
      </c>
      <c r="L40" s="2" t="str">
        <f>"3,150 kg"</f>
        <v>3,150 kg</v>
      </c>
    </row>
    <row r="41" spans="1:12" x14ac:dyDescent="0.3">
      <c r="A41" s="2" t="str">
        <f>"6C15715239126"</f>
        <v>6C15715239126</v>
      </c>
      <c r="B41" s="2"/>
      <c r="C41" s="2" t="str">
        <f>"8,600 kg"</f>
        <v>8,600 kg</v>
      </c>
      <c r="D41" s="2" t="str">
        <f>"8,600 kg"</f>
        <v>8,600 kg</v>
      </c>
      <c r="E41" s="2" t="str">
        <f t="shared" si="0"/>
        <v>Domicile</v>
      </c>
      <c r="F41" s="2" t="str">
        <f>"6C"</f>
        <v>6C</v>
      </c>
      <c r="G41" s="2" t="str">
        <f>"Colissimo  Domicile - avec signature -- FR (6C)"</f>
        <v>Colissimo  Domicile - avec signature -- FR (6C)</v>
      </c>
      <c r="H41" s="2"/>
      <c r="I41" s="2"/>
      <c r="J41" s="2"/>
      <c r="K41" s="2" t="str">
        <f t="shared" si="1"/>
        <v>986737</v>
      </c>
      <c r="L41" s="2" t="str">
        <f>"8,600 kg"</f>
        <v>8,600 kg</v>
      </c>
    </row>
    <row r="42" spans="1:12" x14ac:dyDescent="0.3">
      <c r="A42" s="2" t="str">
        <f>"6C15739561760"</f>
        <v>6C15739561760</v>
      </c>
      <c r="B42" s="2" t="str">
        <f>"4,750 kg"</f>
        <v>4,750 kg</v>
      </c>
      <c r="C42" s="2" t="str">
        <f>"4,950 kg"</f>
        <v>4,950 kg</v>
      </c>
      <c r="D42" s="2" t="str">
        <f>"4,950 kg"</f>
        <v>4,950 kg</v>
      </c>
      <c r="E42" s="2" t="str">
        <f t="shared" si="0"/>
        <v>Domicile</v>
      </c>
      <c r="F42" s="2" t="str">
        <f>"6C"</f>
        <v>6C</v>
      </c>
      <c r="G42" s="2" t="str">
        <f>"Colissimo  Domicile - avec signature -- FR (6C)"</f>
        <v>Colissimo  Domicile - avec signature -- FR (6C)</v>
      </c>
      <c r="H42" s="2"/>
      <c r="I42" s="2"/>
      <c r="J42" s="2"/>
      <c r="K42" s="2" t="str">
        <f t="shared" si="1"/>
        <v>986737</v>
      </c>
      <c r="L42" s="2" t="str">
        <f>"4,950 kg"</f>
        <v>4,950 kg</v>
      </c>
    </row>
    <row r="43" spans="1:12" x14ac:dyDescent="0.3">
      <c r="A43" s="2" t="str">
        <f>"6C15727463496"</f>
        <v>6C15727463496</v>
      </c>
      <c r="B43" s="2"/>
      <c r="C43" s="2" t="str">
        <f>"1,850 kg"</f>
        <v>1,850 kg</v>
      </c>
      <c r="D43" s="2" t="str">
        <f>"1,850 kg"</f>
        <v>1,850 kg</v>
      </c>
      <c r="E43" s="2" t="str">
        <f t="shared" si="0"/>
        <v>Domicile</v>
      </c>
      <c r="F43" s="2" t="str">
        <f>"6C"</f>
        <v>6C</v>
      </c>
      <c r="G43" s="2" t="str">
        <f>"Colissimo  Domicile - avec signature -- FR (6C)"</f>
        <v>Colissimo  Domicile - avec signature -- FR (6C)</v>
      </c>
      <c r="H43" s="2"/>
      <c r="I43" s="2"/>
      <c r="J43" s="2"/>
      <c r="K43" s="2" t="str">
        <f t="shared" si="1"/>
        <v>986737</v>
      </c>
      <c r="L43" s="2" t="str">
        <f>"1,850 kg"</f>
        <v>1,850 kg</v>
      </c>
    </row>
    <row r="44" spans="1:12" x14ac:dyDescent="0.3">
      <c r="A44" s="2" t="str">
        <f>"6A25939970644"</f>
        <v>6A25939970644</v>
      </c>
      <c r="B44" s="2"/>
      <c r="C44" s="2" t="str">
        <f>"3,650 kg"</f>
        <v>3,650 kg</v>
      </c>
      <c r="D44" s="2" t="str">
        <f>"3,650 kg"</f>
        <v>3,650 kg</v>
      </c>
      <c r="E44" s="2" t="str">
        <f t="shared" si="0"/>
        <v>Domicile</v>
      </c>
      <c r="F44" s="2" t="str">
        <f>"6A"</f>
        <v>6A</v>
      </c>
      <c r="G44" s="2" t="str">
        <f>"Colissimo  Domicile - sans signature -- FR (6A)"</f>
        <v>Colissimo  Domicile - sans signature -- FR (6A)</v>
      </c>
      <c r="H44" s="2"/>
      <c r="I44" s="2"/>
      <c r="J44" s="2"/>
      <c r="K44" s="2" t="str">
        <f t="shared" si="1"/>
        <v>986737</v>
      </c>
      <c r="L44" s="2" t="str">
        <f>"3,650 kg"</f>
        <v>3,650 kg</v>
      </c>
    </row>
    <row r="45" spans="1:12" x14ac:dyDescent="0.3">
      <c r="A45" s="2" t="str">
        <f>"6C15689140671"</f>
        <v>6C15689140671</v>
      </c>
      <c r="B45" s="2"/>
      <c r="C45" s="2" t="str">
        <f>"1,050 kg"</f>
        <v>1,050 kg</v>
      </c>
      <c r="D45" s="2" t="str">
        <f>"1,050 kg"</f>
        <v>1,050 kg</v>
      </c>
      <c r="E45" s="2" t="str">
        <f t="shared" si="0"/>
        <v>Domicile</v>
      </c>
      <c r="F45" s="2" t="str">
        <f>"6C"</f>
        <v>6C</v>
      </c>
      <c r="G45" s="2" t="str">
        <f>"Colissimo  Domicile - avec signature -- FR (6C)"</f>
        <v>Colissimo  Domicile - avec signature -- FR (6C)</v>
      </c>
      <c r="H45" s="2"/>
      <c r="I45" s="2"/>
      <c r="J45" s="2"/>
      <c r="K45" s="2" t="str">
        <f t="shared" si="1"/>
        <v>986737</v>
      </c>
      <c r="L45" s="2" t="str">
        <f>"1,050 kg"</f>
        <v>1,050 kg</v>
      </c>
    </row>
    <row r="46" spans="1:12" x14ac:dyDescent="0.3">
      <c r="A46" s="2" t="str">
        <f>"6A25935175289"</f>
        <v>6A25935175289</v>
      </c>
      <c r="B46" s="2" t="str">
        <f>"3,640 kg"</f>
        <v>3,640 kg</v>
      </c>
      <c r="C46" s="2" t="str">
        <f>"3,600 kg"</f>
        <v>3,600 kg</v>
      </c>
      <c r="D46" s="2" t="str">
        <f>"3,600 kg"</f>
        <v>3,600 kg</v>
      </c>
      <c r="E46" s="2" t="str">
        <f t="shared" si="0"/>
        <v>Domicile</v>
      </c>
      <c r="F46" s="2" t="str">
        <f>"6A"</f>
        <v>6A</v>
      </c>
      <c r="G46" s="2" t="str">
        <f>"Colissimo  Domicile - sans signature -- FR (6A)"</f>
        <v>Colissimo  Domicile - sans signature -- FR (6A)</v>
      </c>
      <c r="H46" s="2"/>
      <c r="I46" s="2"/>
      <c r="J46" s="2"/>
      <c r="K46" s="2" t="str">
        <f t="shared" si="1"/>
        <v>986737</v>
      </c>
      <c r="L46" s="2" t="str">
        <f>"3,600 kg"</f>
        <v>3,600 kg</v>
      </c>
    </row>
    <row r="47" spans="1:12" x14ac:dyDescent="0.3">
      <c r="A47" s="2" t="str">
        <f>"6C15688531630"</f>
        <v>6C15688531630</v>
      </c>
      <c r="B47" s="2"/>
      <c r="C47" s="2" t="str">
        <f>"2,850 kg"</f>
        <v>2,850 kg</v>
      </c>
      <c r="D47" s="2" t="str">
        <f>"2,850 kg"</f>
        <v>2,850 kg</v>
      </c>
      <c r="E47" s="2" t="str">
        <f t="shared" si="0"/>
        <v>Domicile</v>
      </c>
      <c r="F47" s="2" t="str">
        <f t="shared" ref="F47:F52" si="2">"6C"</f>
        <v>6C</v>
      </c>
      <c r="G47" s="2" t="str">
        <f t="shared" ref="G47:G52" si="3">"Colissimo  Domicile - avec signature -- FR (6C)"</f>
        <v>Colissimo  Domicile - avec signature -- FR (6C)</v>
      </c>
      <c r="H47" s="2"/>
      <c r="I47" s="2"/>
      <c r="J47" s="2"/>
      <c r="K47" s="2" t="str">
        <f t="shared" si="1"/>
        <v>986737</v>
      </c>
      <c r="L47" s="2" t="str">
        <f>"2,850 kg"</f>
        <v>2,850 kg</v>
      </c>
    </row>
    <row r="48" spans="1:12" x14ac:dyDescent="0.3">
      <c r="A48" s="2" t="str">
        <f>"6C15725225225"</f>
        <v>6C15725225225</v>
      </c>
      <c r="B48" s="2" t="str">
        <f>"6,430 kg"</f>
        <v>6,430 kg</v>
      </c>
      <c r="C48" s="2" t="str">
        <f>"6,450 kg"</f>
        <v>6,450 kg</v>
      </c>
      <c r="D48" s="2" t="str">
        <f>"6,450 kg"</f>
        <v>6,450 kg</v>
      </c>
      <c r="E48" s="2" t="str">
        <f t="shared" si="0"/>
        <v>Domicile</v>
      </c>
      <c r="F48" s="2" t="str">
        <f t="shared" si="2"/>
        <v>6C</v>
      </c>
      <c r="G48" s="2" t="str">
        <f t="shared" si="3"/>
        <v>Colissimo  Domicile - avec signature -- FR (6C)</v>
      </c>
      <c r="H48" s="2"/>
      <c r="I48" s="2"/>
      <c r="J48" s="2"/>
      <c r="K48" s="2" t="str">
        <f t="shared" si="1"/>
        <v>986737</v>
      </c>
      <c r="L48" s="2" t="str">
        <f>"6,450 kg"</f>
        <v>6,450 kg</v>
      </c>
    </row>
    <row r="49" spans="1:12" x14ac:dyDescent="0.3">
      <c r="A49" s="2" t="str">
        <f>"6C15739585223"</f>
        <v>6C15739585223</v>
      </c>
      <c r="B49" s="2" t="str">
        <f>"1,550 kg"</f>
        <v>1,550 kg</v>
      </c>
      <c r="C49" s="2" t="str">
        <f>"1,550 kg"</f>
        <v>1,550 kg</v>
      </c>
      <c r="D49" s="2" t="str">
        <f>"1,550 kg"</f>
        <v>1,550 kg</v>
      </c>
      <c r="E49" s="2" t="str">
        <f t="shared" si="0"/>
        <v>Domicile</v>
      </c>
      <c r="F49" s="2" t="str">
        <f t="shared" si="2"/>
        <v>6C</v>
      </c>
      <c r="G49" s="2" t="str">
        <f t="shared" si="3"/>
        <v>Colissimo  Domicile - avec signature -- FR (6C)</v>
      </c>
      <c r="H49" s="2"/>
      <c r="I49" s="2"/>
      <c r="J49" s="2"/>
      <c r="K49" s="2" t="str">
        <f t="shared" si="1"/>
        <v>986737</v>
      </c>
      <c r="L49" s="2" t="str">
        <f>"1,550 kg"</f>
        <v>1,550 kg</v>
      </c>
    </row>
    <row r="50" spans="1:12" x14ac:dyDescent="0.3">
      <c r="A50" s="2" t="str">
        <f>"6C15713440890"</f>
        <v>6C15713440890</v>
      </c>
      <c r="B50" s="2"/>
      <c r="C50" s="2" t="str">
        <f>"9,500 kg"</f>
        <v>9,500 kg</v>
      </c>
      <c r="D50" s="2" t="str">
        <f>"9,500 kg"</f>
        <v>9,500 kg</v>
      </c>
      <c r="E50" s="2" t="str">
        <f t="shared" si="0"/>
        <v>Domicile</v>
      </c>
      <c r="F50" s="2" t="str">
        <f t="shared" si="2"/>
        <v>6C</v>
      </c>
      <c r="G50" s="2" t="str">
        <f t="shared" si="3"/>
        <v>Colissimo  Domicile - avec signature -- FR (6C)</v>
      </c>
      <c r="H50" s="2"/>
      <c r="I50" s="2"/>
      <c r="J50" s="2"/>
      <c r="K50" s="2" t="str">
        <f t="shared" si="1"/>
        <v>986737</v>
      </c>
      <c r="L50" s="2" t="str">
        <f>"9,500 kg"</f>
        <v>9,500 kg</v>
      </c>
    </row>
    <row r="51" spans="1:12" x14ac:dyDescent="0.3">
      <c r="A51" s="2" t="str">
        <f>"6C15714663052"</f>
        <v>6C15714663052</v>
      </c>
      <c r="B51" s="2"/>
      <c r="C51" s="2" t="str">
        <f>"1,850 kg"</f>
        <v>1,850 kg</v>
      </c>
      <c r="D51" s="2" t="str">
        <f>"1,850 kg"</f>
        <v>1,850 kg</v>
      </c>
      <c r="E51" s="2" t="str">
        <f t="shared" si="0"/>
        <v>Domicile</v>
      </c>
      <c r="F51" s="2" t="str">
        <f t="shared" si="2"/>
        <v>6C</v>
      </c>
      <c r="G51" s="2" t="str">
        <f t="shared" si="3"/>
        <v>Colissimo  Domicile - avec signature -- FR (6C)</v>
      </c>
      <c r="H51" s="2"/>
      <c r="I51" s="2"/>
      <c r="J51" s="2"/>
      <c r="K51" s="2" t="str">
        <f t="shared" si="1"/>
        <v>986737</v>
      </c>
      <c r="L51" s="2" t="str">
        <f>"1,850 kg"</f>
        <v>1,850 kg</v>
      </c>
    </row>
    <row r="52" spans="1:12" x14ac:dyDescent="0.3">
      <c r="A52" s="2" t="str">
        <f>"6C15704729935"</f>
        <v>6C15704729935</v>
      </c>
      <c r="B52" s="2"/>
      <c r="C52" s="2" t="str">
        <f>"1,850 kg"</f>
        <v>1,850 kg</v>
      </c>
      <c r="D52" s="2" t="str">
        <f>"1,850 kg"</f>
        <v>1,850 kg</v>
      </c>
      <c r="E52" s="2" t="str">
        <f t="shared" si="0"/>
        <v>Domicile</v>
      </c>
      <c r="F52" s="2" t="str">
        <f t="shared" si="2"/>
        <v>6C</v>
      </c>
      <c r="G52" s="2" t="str">
        <f t="shared" si="3"/>
        <v>Colissimo  Domicile - avec signature -- FR (6C)</v>
      </c>
      <c r="H52" s="2"/>
      <c r="I52" s="2"/>
      <c r="J52" s="2"/>
      <c r="K52" s="2" t="str">
        <f t="shared" si="1"/>
        <v>986737</v>
      </c>
      <c r="L52" s="2" t="str">
        <f>"1,850 kg"</f>
        <v>1,850 kg</v>
      </c>
    </row>
    <row r="53" spans="1:12" x14ac:dyDescent="0.3">
      <c r="A53" s="2" t="str">
        <f>"6A25936774054"</f>
        <v>6A25936774054</v>
      </c>
      <c r="B53" s="2" t="str">
        <f>"3,640 kg"</f>
        <v>3,640 kg</v>
      </c>
      <c r="C53" s="2" t="str">
        <f>"3,650 kg"</f>
        <v>3,650 kg</v>
      </c>
      <c r="D53" s="2" t="str">
        <f>"3,650 kg"</f>
        <v>3,650 kg</v>
      </c>
      <c r="E53" s="2" t="str">
        <f t="shared" si="0"/>
        <v>Domicile</v>
      </c>
      <c r="F53" s="2" t="str">
        <f>"6A"</f>
        <v>6A</v>
      </c>
      <c r="G53" s="2" t="str">
        <f>"Colissimo  Domicile - sans signature -- FR (6A)"</f>
        <v>Colissimo  Domicile - sans signature -- FR (6A)</v>
      </c>
      <c r="H53" s="2"/>
      <c r="I53" s="2"/>
      <c r="J53" s="2"/>
      <c r="K53" s="2" t="str">
        <f t="shared" si="1"/>
        <v>986737</v>
      </c>
      <c r="L53" s="2" t="str">
        <f>"3,650 kg"</f>
        <v>3,650 kg</v>
      </c>
    </row>
    <row r="54" spans="1:12" x14ac:dyDescent="0.3">
      <c r="A54" s="2" t="str">
        <f>"6C15725225188"</f>
        <v>6C15725225188</v>
      </c>
      <c r="B54" s="2" t="str">
        <f>"6,430 kg"</f>
        <v>6,430 kg</v>
      </c>
      <c r="C54" s="2" t="str">
        <f>"4,900 kg"</f>
        <v>4,900 kg</v>
      </c>
      <c r="D54" s="2" t="str">
        <f>"4,900 kg"</f>
        <v>4,900 kg</v>
      </c>
      <c r="E54" s="2" t="str">
        <f t="shared" si="0"/>
        <v>Domicile</v>
      </c>
      <c r="F54" s="2" t="str">
        <f t="shared" ref="F54:F65" si="4">"6C"</f>
        <v>6C</v>
      </c>
      <c r="G54" s="2" t="str">
        <f t="shared" ref="G54:G65" si="5">"Colissimo  Domicile - avec signature -- FR (6C)"</f>
        <v>Colissimo  Domicile - avec signature -- FR (6C)</v>
      </c>
      <c r="H54" s="2"/>
      <c r="I54" s="2"/>
      <c r="J54" s="2"/>
      <c r="K54" s="2" t="str">
        <f t="shared" si="1"/>
        <v>986737</v>
      </c>
      <c r="L54" s="2" t="str">
        <f>"4,900 kg"</f>
        <v>4,900 kg</v>
      </c>
    </row>
    <row r="55" spans="1:12" x14ac:dyDescent="0.3">
      <c r="A55" s="2" t="str">
        <f>"6C15715251999"</f>
        <v>6C15715251999</v>
      </c>
      <c r="B55" s="2" t="str">
        <f>"1,340 kg"</f>
        <v>1,340 kg</v>
      </c>
      <c r="C55" s="2" t="str">
        <f>"1,350 kg"</f>
        <v>1,350 kg</v>
      </c>
      <c r="D55" s="2" t="str">
        <f>"1,350 kg"</f>
        <v>1,350 kg</v>
      </c>
      <c r="E55" s="2" t="str">
        <f t="shared" si="0"/>
        <v>Domicile</v>
      </c>
      <c r="F55" s="2" t="str">
        <f t="shared" si="4"/>
        <v>6C</v>
      </c>
      <c r="G55" s="2" t="str">
        <f t="shared" si="5"/>
        <v>Colissimo  Domicile - avec signature -- FR (6C)</v>
      </c>
      <c r="H55" s="2"/>
      <c r="I55" s="2"/>
      <c r="J55" s="2"/>
      <c r="K55" s="2" t="str">
        <f t="shared" si="1"/>
        <v>986737</v>
      </c>
      <c r="L55" s="2" t="str">
        <f>"1,350 kg"</f>
        <v>1,350 kg</v>
      </c>
    </row>
    <row r="56" spans="1:12" x14ac:dyDescent="0.3">
      <c r="A56" s="2" t="str">
        <f>"6C15758313661"</f>
        <v>6C15758313661</v>
      </c>
      <c r="B56" s="2"/>
      <c r="C56" s="2" t="str">
        <f>"7,100 kg"</f>
        <v>7,100 kg</v>
      </c>
      <c r="D56" s="2" t="str">
        <f>"7,100 kg"</f>
        <v>7,100 kg</v>
      </c>
      <c r="E56" s="2" t="str">
        <f t="shared" si="0"/>
        <v>Domicile</v>
      </c>
      <c r="F56" s="2" t="str">
        <f t="shared" si="4"/>
        <v>6C</v>
      </c>
      <c r="G56" s="2" t="str">
        <f t="shared" si="5"/>
        <v>Colissimo  Domicile - avec signature -- FR (6C)</v>
      </c>
      <c r="H56" s="2"/>
      <c r="I56" s="2"/>
      <c r="J56" s="2"/>
      <c r="K56" s="2" t="str">
        <f t="shared" si="1"/>
        <v>986737</v>
      </c>
      <c r="L56" s="2" t="str">
        <f>"7,100 kg"</f>
        <v>7,100 kg</v>
      </c>
    </row>
    <row r="57" spans="1:12" x14ac:dyDescent="0.3">
      <c r="A57" s="2" t="str">
        <f>"6C15758241018"</f>
        <v>6C15758241018</v>
      </c>
      <c r="B57" s="2" t="str">
        <f>"1,870 kg"</f>
        <v>1,870 kg</v>
      </c>
      <c r="C57" s="2" t="str">
        <f>"1,850 kg"</f>
        <v>1,850 kg</v>
      </c>
      <c r="D57" s="2" t="str">
        <f>"1,850 kg"</f>
        <v>1,850 kg</v>
      </c>
      <c r="E57" s="2" t="str">
        <f t="shared" si="0"/>
        <v>Domicile</v>
      </c>
      <c r="F57" s="2" t="str">
        <f t="shared" si="4"/>
        <v>6C</v>
      </c>
      <c r="G57" s="2" t="str">
        <f t="shared" si="5"/>
        <v>Colissimo  Domicile - avec signature -- FR (6C)</v>
      </c>
      <c r="H57" s="2"/>
      <c r="I57" s="2"/>
      <c r="J57" s="2"/>
      <c r="K57" s="2" t="str">
        <f t="shared" si="1"/>
        <v>986737</v>
      </c>
      <c r="L57" s="2" t="str">
        <f>"1,850 kg"</f>
        <v>1,850 kg</v>
      </c>
    </row>
    <row r="58" spans="1:12" x14ac:dyDescent="0.3">
      <c r="A58" s="2" t="str">
        <f>"6C15714034630"</f>
        <v>6C15714034630</v>
      </c>
      <c r="B58" s="2"/>
      <c r="C58" s="2" t="str">
        <f>"9,100 kg"</f>
        <v>9,100 kg</v>
      </c>
      <c r="D58" s="2" t="str">
        <f>"9,150 kg"</f>
        <v>9,150 kg</v>
      </c>
      <c r="E58" s="2" t="str">
        <f t="shared" si="0"/>
        <v>Domicile</v>
      </c>
      <c r="F58" s="2" t="str">
        <f t="shared" si="4"/>
        <v>6C</v>
      </c>
      <c r="G58" s="2" t="str">
        <f t="shared" si="5"/>
        <v>Colissimo  Domicile - avec signature -- FR (6C)</v>
      </c>
      <c r="H58" s="2"/>
      <c r="I58" s="2"/>
      <c r="J58" s="2"/>
      <c r="K58" s="2" t="str">
        <f t="shared" si="1"/>
        <v>986737</v>
      </c>
      <c r="L58" s="2" t="str">
        <f>"9,150 kg"</f>
        <v>9,150 kg</v>
      </c>
    </row>
    <row r="59" spans="1:12" x14ac:dyDescent="0.3">
      <c r="A59" s="2" t="str">
        <f>"6C15839801209"</f>
        <v>6C15839801209</v>
      </c>
      <c r="B59" s="2" t="str">
        <f>"1,670 kg"</f>
        <v>1,670 kg</v>
      </c>
      <c r="C59" s="2" t="str">
        <f>"1,700 kg"</f>
        <v>1,700 kg</v>
      </c>
      <c r="D59" s="2" t="str">
        <f>"1,700 kg"</f>
        <v>1,700 kg</v>
      </c>
      <c r="E59" s="2" t="str">
        <f t="shared" si="0"/>
        <v>Domicile</v>
      </c>
      <c r="F59" s="2" t="str">
        <f t="shared" si="4"/>
        <v>6C</v>
      </c>
      <c r="G59" s="2" t="str">
        <f t="shared" si="5"/>
        <v>Colissimo  Domicile - avec signature -- FR (6C)</v>
      </c>
      <c r="H59" s="2"/>
      <c r="I59" s="2"/>
      <c r="J59" s="2"/>
      <c r="K59" s="2" t="str">
        <f t="shared" si="1"/>
        <v>986737</v>
      </c>
      <c r="L59" s="2" t="str">
        <f>"1,700 kg"</f>
        <v>1,700 kg</v>
      </c>
    </row>
    <row r="60" spans="1:12" x14ac:dyDescent="0.3">
      <c r="A60" s="2" t="str">
        <f>"6C15788264179"</f>
        <v>6C15788264179</v>
      </c>
      <c r="B60" s="2" t="str">
        <f>"0,230 kg"</f>
        <v>0,230 kg</v>
      </c>
      <c r="C60" s="2" t="str">
        <f>"0,200 kg"</f>
        <v>0,200 kg</v>
      </c>
      <c r="D60" s="2" t="str">
        <f>"0,250 kg"</f>
        <v>0,250 kg</v>
      </c>
      <c r="E60" s="2" t="str">
        <f t="shared" si="0"/>
        <v>Domicile</v>
      </c>
      <c r="F60" s="2" t="str">
        <f t="shared" si="4"/>
        <v>6C</v>
      </c>
      <c r="G60" s="2" t="str">
        <f t="shared" si="5"/>
        <v>Colissimo  Domicile - avec signature -- FR (6C)</v>
      </c>
      <c r="H60" s="2"/>
      <c r="I60" s="2"/>
      <c r="J60" s="2"/>
      <c r="K60" s="2" t="str">
        <f t="shared" si="1"/>
        <v>986737</v>
      </c>
      <c r="L60" s="2" t="str">
        <f>"0,250 kg"</f>
        <v>0,250 kg</v>
      </c>
    </row>
    <row r="61" spans="1:12" x14ac:dyDescent="0.3">
      <c r="A61" s="2" t="str">
        <f>"6C15840760458"</f>
        <v>6C15840760458</v>
      </c>
      <c r="B61" s="2" t="str">
        <f>"1,870 kg"</f>
        <v>1,870 kg</v>
      </c>
      <c r="C61" s="2" t="str">
        <f>"1,850 kg"</f>
        <v>1,850 kg</v>
      </c>
      <c r="D61" s="2" t="str">
        <f>"1,900 kg"</f>
        <v>1,900 kg</v>
      </c>
      <c r="E61" s="2" t="str">
        <f t="shared" si="0"/>
        <v>Domicile</v>
      </c>
      <c r="F61" s="2" t="str">
        <f t="shared" si="4"/>
        <v>6C</v>
      </c>
      <c r="G61" s="2" t="str">
        <f t="shared" si="5"/>
        <v>Colissimo  Domicile - avec signature -- FR (6C)</v>
      </c>
      <c r="H61" s="2"/>
      <c r="I61" s="2"/>
      <c r="J61" s="2"/>
      <c r="K61" s="2" t="str">
        <f t="shared" si="1"/>
        <v>986737</v>
      </c>
      <c r="L61" s="2" t="str">
        <f>"1,900 kg"</f>
        <v>1,900 kg</v>
      </c>
    </row>
    <row r="62" spans="1:12" x14ac:dyDescent="0.3">
      <c r="A62" s="2" t="str">
        <f>"6C15794822530"</f>
        <v>6C15794822530</v>
      </c>
      <c r="B62" s="2"/>
      <c r="C62" s="2" t="str">
        <f>"0,480 kg"</f>
        <v>0,480 kg</v>
      </c>
      <c r="D62" s="2" t="str">
        <f>"0,500 kg"</f>
        <v>0,500 kg</v>
      </c>
      <c r="E62" s="2" t="str">
        <f t="shared" si="0"/>
        <v>Domicile</v>
      </c>
      <c r="F62" s="2" t="str">
        <f t="shared" si="4"/>
        <v>6C</v>
      </c>
      <c r="G62" s="2" t="str">
        <f t="shared" si="5"/>
        <v>Colissimo  Domicile - avec signature -- FR (6C)</v>
      </c>
      <c r="H62" s="2"/>
      <c r="I62" s="2"/>
      <c r="J62" s="2"/>
      <c r="K62" s="2" t="str">
        <f t="shared" si="1"/>
        <v>986737</v>
      </c>
      <c r="L62" s="2" t="str">
        <f>"0,500 kg"</f>
        <v>0,500 kg</v>
      </c>
    </row>
    <row r="63" spans="1:12" x14ac:dyDescent="0.3">
      <c r="A63" s="2" t="str">
        <f>"6C15785931197"</f>
        <v>6C15785931197</v>
      </c>
      <c r="B63" s="2"/>
      <c r="C63" s="2" t="str">
        <f>"0,500 kg"</f>
        <v>0,500 kg</v>
      </c>
      <c r="D63" s="2" t="str">
        <f>"0,500 kg"</f>
        <v>0,500 kg</v>
      </c>
      <c r="E63" s="2" t="str">
        <f t="shared" si="0"/>
        <v>Domicile</v>
      </c>
      <c r="F63" s="2" t="str">
        <f t="shared" si="4"/>
        <v>6C</v>
      </c>
      <c r="G63" s="2" t="str">
        <f t="shared" si="5"/>
        <v>Colissimo  Domicile - avec signature -- FR (6C)</v>
      </c>
      <c r="H63" s="2"/>
      <c r="I63" s="2"/>
      <c r="J63" s="2"/>
      <c r="K63" s="2" t="str">
        <f t="shared" si="1"/>
        <v>986737</v>
      </c>
      <c r="L63" s="2" t="str">
        <f>"0,500 kg"</f>
        <v>0,500 kg</v>
      </c>
    </row>
    <row r="64" spans="1:12" x14ac:dyDescent="0.3">
      <c r="A64" s="2" t="str">
        <f>"6C15787132493"</f>
        <v>6C15787132493</v>
      </c>
      <c r="B64" s="2" t="str">
        <f>"0,520 kg"</f>
        <v>0,520 kg</v>
      </c>
      <c r="C64" s="2" t="str">
        <f>"0,450 kg"</f>
        <v>0,450 kg</v>
      </c>
      <c r="D64" s="2" t="str">
        <f>"0,450 kg"</f>
        <v>0,450 kg</v>
      </c>
      <c r="E64" s="2" t="str">
        <f t="shared" si="0"/>
        <v>Domicile</v>
      </c>
      <c r="F64" s="2" t="str">
        <f t="shared" si="4"/>
        <v>6C</v>
      </c>
      <c r="G64" s="2" t="str">
        <f t="shared" si="5"/>
        <v>Colissimo  Domicile - avec signature -- FR (6C)</v>
      </c>
      <c r="H64" s="2"/>
      <c r="I64" s="2"/>
      <c r="J64" s="2"/>
      <c r="K64" s="2" t="str">
        <f t="shared" si="1"/>
        <v>986737</v>
      </c>
      <c r="L64" s="2" t="str">
        <f>"0,450 kg"</f>
        <v>0,450 kg</v>
      </c>
    </row>
    <row r="65" spans="1:12" x14ac:dyDescent="0.3">
      <c r="A65" s="2" t="str">
        <f>"6C15789534448"</f>
        <v>6C15789534448</v>
      </c>
      <c r="B65" s="2" t="str">
        <f>"0,520 kg"</f>
        <v>0,520 kg</v>
      </c>
      <c r="C65" s="2" t="str">
        <f>"0,450 kg"</f>
        <v>0,450 kg</v>
      </c>
      <c r="D65" s="2" t="str">
        <f>"0,450 kg"</f>
        <v>0,450 kg</v>
      </c>
      <c r="E65" s="2" t="str">
        <f t="shared" si="0"/>
        <v>Domicile</v>
      </c>
      <c r="F65" s="2" t="str">
        <f t="shared" si="4"/>
        <v>6C</v>
      </c>
      <c r="G65" s="2" t="str">
        <f t="shared" si="5"/>
        <v>Colissimo  Domicile - avec signature -- FR (6C)</v>
      </c>
      <c r="H65" s="2"/>
      <c r="I65" s="2"/>
      <c r="J65" s="2"/>
      <c r="K65" s="2" t="str">
        <f t="shared" si="1"/>
        <v>986737</v>
      </c>
      <c r="L65" s="2" t="str">
        <f>"0,450 kg"</f>
        <v>0,450 kg</v>
      </c>
    </row>
    <row r="66" spans="1:12" x14ac:dyDescent="0.3">
      <c r="A66" s="2" t="str">
        <f>"6A26171754795"</f>
        <v>6A26171754795</v>
      </c>
      <c r="B66" s="2" t="str">
        <f>"10,240 kg"</f>
        <v>10,240 kg</v>
      </c>
      <c r="C66" s="2" t="str">
        <f>"10,280 kg"</f>
        <v>10,280 kg</v>
      </c>
      <c r="D66" s="2" t="str">
        <f>"10,300 kg"</f>
        <v>10,300 kg</v>
      </c>
      <c r="E66" s="2" t="str">
        <f t="shared" ref="E66:E129" si="6">"Domicile"</f>
        <v>Domicile</v>
      </c>
      <c r="F66" s="2" t="str">
        <f>"6A"</f>
        <v>6A</v>
      </c>
      <c r="G66" s="2" t="str">
        <f>"Colissimo  Domicile - sans signature -- FR (6A)"</f>
        <v>Colissimo  Domicile - sans signature -- FR (6A)</v>
      </c>
      <c r="H66" s="2"/>
      <c r="I66" s="2"/>
      <c r="J66" s="2"/>
      <c r="K66" s="2" t="str">
        <f t="shared" ref="K66:K129" si="7">"986737"</f>
        <v>986737</v>
      </c>
      <c r="L66" s="2" t="str">
        <f>"10,300 kg"</f>
        <v>10,300 kg</v>
      </c>
    </row>
    <row r="67" spans="1:12" x14ac:dyDescent="0.3">
      <c r="A67" s="2" t="str">
        <f>"6C15757953691"</f>
        <v>6C15757953691</v>
      </c>
      <c r="B67" s="2" t="str">
        <f>"2,050 kg"</f>
        <v>2,050 kg</v>
      </c>
      <c r="C67" s="2" t="str">
        <f>"2,000 kg"</f>
        <v>2,000 kg</v>
      </c>
      <c r="D67" s="2" t="str">
        <f>"2,000 kg"</f>
        <v>2,000 kg</v>
      </c>
      <c r="E67" s="2" t="str">
        <f t="shared" si="6"/>
        <v>Domicile</v>
      </c>
      <c r="F67" s="2" t="str">
        <f>"6C"</f>
        <v>6C</v>
      </c>
      <c r="G67" s="2" t="str">
        <f>"Colissimo  Domicile - avec signature -- FR (6C)"</f>
        <v>Colissimo  Domicile - avec signature -- FR (6C)</v>
      </c>
      <c r="H67" s="2"/>
      <c r="I67" s="2"/>
      <c r="J67" s="2"/>
      <c r="K67" s="2" t="str">
        <f t="shared" si="7"/>
        <v>986737</v>
      </c>
      <c r="L67" s="2" t="str">
        <f>"2,000 kg"</f>
        <v>2,000 kg</v>
      </c>
    </row>
    <row r="68" spans="1:12" x14ac:dyDescent="0.3">
      <c r="A68" s="2" t="str">
        <f>"6A26135747245"</f>
        <v>6A26135747245</v>
      </c>
      <c r="B68" s="2"/>
      <c r="C68" s="2" t="str">
        <f>"5,400 kg"</f>
        <v>5,400 kg</v>
      </c>
      <c r="D68" s="2" t="str">
        <f>"5,400 kg"</f>
        <v>5,400 kg</v>
      </c>
      <c r="E68" s="2" t="str">
        <f t="shared" si="6"/>
        <v>Domicile</v>
      </c>
      <c r="F68" s="2" t="str">
        <f>"6A"</f>
        <v>6A</v>
      </c>
      <c r="G68" s="2" t="str">
        <f>"Colissimo  Domicile - sans signature -- FR (6A)"</f>
        <v>Colissimo  Domicile - sans signature -- FR (6A)</v>
      </c>
      <c r="H68" s="2"/>
      <c r="I68" s="2"/>
      <c r="J68" s="2"/>
      <c r="K68" s="2" t="str">
        <f t="shared" si="7"/>
        <v>986737</v>
      </c>
      <c r="L68" s="2" t="str">
        <f>"5,400 kg"</f>
        <v>5,400 kg</v>
      </c>
    </row>
    <row r="69" spans="1:12" x14ac:dyDescent="0.3">
      <c r="A69" s="2" t="str">
        <f>"6C15785931555"</f>
        <v>6C15785931555</v>
      </c>
      <c r="B69" s="2" t="str">
        <f>"0,520 kg"</f>
        <v>0,520 kg</v>
      </c>
      <c r="C69" s="2" t="str">
        <f>"0,440 kg"</f>
        <v>0,440 kg</v>
      </c>
      <c r="D69" s="2" t="str">
        <f>"0,450 kg"</f>
        <v>0,450 kg</v>
      </c>
      <c r="E69" s="2" t="str">
        <f t="shared" si="6"/>
        <v>Domicile</v>
      </c>
      <c r="F69" s="2" t="str">
        <f t="shared" ref="F69:F75" si="8">"6C"</f>
        <v>6C</v>
      </c>
      <c r="G69" s="2" t="str">
        <f t="shared" ref="G69:G75" si="9">"Colissimo  Domicile - avec signature -- FR (6C)"</f>
        <v>Colissimo  Domicile - avec signature -- FR (6C)</v>
      </c>
      <c r="H69" s="2"/>
      <c r="I69" s="2"/>
      <c r="J69" s="2"/>
      <c r="K69" s="2" t="str">
        <f t="shared" si="7"/>
        <v>986737</v>
      </c>
      <c r="L69" s="2" t="str">
        <f>"0,450 kg"</f>
        <v>0,450 kg</v>
      </c>
    </row>
    <row r="70" spans="1:12" x14ac:dyDescent="0.3">
      <c r="A70" s="2" t="str">
        <f>"6C15785864006"</f>
        <v>6C15785864006</v>
      </c>
      <c r="B70" s="2"/>
      <c r="C70" s="2" t="str">
        <f>"0,210 kg"</f>
        <v>0,210 kg</v>
      </c>
      <c r="D70" s="2" t="str">
        <f>"0,210 kg"</f>
        <v>0,210 kg</v>
      </c>
      <c r="E70" s="2" t="str">
        <f t="shared" si="6"/>
        <v>Domicile</v>
      </c>
      <c r="F70" s="2" t="str">
        <f t="shared" si="8"/>
        <v>6C</v>
      </c>
      <c r="G70" s="2" t="str">
        <f t="shared" si="9"/>
        <v>Colissimo  Domicile - avec signature -- FR (6C)</v>
      </c>
      <c r="H70" s="2"/>
      <c r="I70" s="2"/>
      <c r="J70" s="2"/>
      <c r="K70" s="2" t="str">
        <f t="shared" si="7"/>
        <v>986737</v>
      </c>
      <c r="L70" s="2" t="str">
        <f>"0,210 kg"</f>
        <v>0,210 kg</v>
      </c>
    </row>
    <row r="71" spans="1:12" x14ac:dyDescent="0.3">
      <c r="A71" s="2" t="str">
        <f>"6C15777395983"</f>
        <v>6C15777395983</v>
      </c>
      <c r="B71" s="2"/>
      <c r="C71" s="2" t="str">
        <f>"2,000 kg"</f>
        <v>2,000 kg</v>
      </c>
      <c r="D71" s="2" t="str">
        <f>"2,000 kg"</f>
        <v>2,000 kg</v>
      </c>
      <c r="E71" s="2" t="str">
        <f t="shared" si="6"/>
        <v>Domicile</v>
      </c>
      <c r="F71" s="2" t="str">
        <f t="shared" si="8"/>
        <v>6C</v>
      </c>
      <c r="G71" s="2" t="str">
        <f t="shared" si="9"/>
        <v>Colissimo  Domicile - avec signature -- FR (6C)</v>
      </c>
      <c r="H71" s="2"/>
      <c r="I71" s="2"/>
      <c r="J71" s="2"/>
      <c r="K71" s="2" t="str">
        <f t="shared" si="7"/>
        <v>986737</v>
      </c>
      <c r="L71" s="2" t="str">
        <f>"2,000 kg"</f>
        <v>2,000 kg</v>
      </c>
    </row>
    <row r="72" spans="1:12" x14ac:dyDescent="0.3">
      <c r="A72" s="2" t="str">
        <f>"6C15759055041"</f>
        <v>6C15759055041</v>
      </c>
      <c r="B72" s="2" t="str">
        <f>"1,870 kg"</f>
        <v>1,870 kg</v>
      </c>
      <c r="C72" s="2" t="str">
        <f>"1,850 kg"</f>
        <v>1,850 kg</v>
      </c>
      <c r="D72" s="2" t="str">
        <f>"1,850 kg"</f>
        <v>1,850 kg</v>
      </c>
      <c r="E72" s="2" t="str">
        <f t="shared" si="6"/>
        <v>Domicile</v>
      </c>
      <c r="F72" s="2" t="str">
        <f t="shared" si="8"/>
        <v>6C</v>
      </c>
      <c r="G72" s="2" t="str">
        <f t="shared" si="9"/>
        <v>Colissimo  Domicile - avec signature -- FR (6C)</v>
      </c>
      <c r="H72" s="2"/>
      <c r="I72" s="2"/>
      <c r="J72" s="2"/>
      <c r="K72" s="2" t="str">
        <f t="shared" si="7"/>
        <v>986737</v>
      </c>
      <c r="L72" s="2" t="str">
        <f>"1,850 kg"</f>
        <v>1,850 kg</v>
      </c>
    </row>
    <row r="73" spans="1:12" x14ac:dyDescent="0.3">
      <c r="A73" s="2" t="str">
        <f>"6C15842148551"</f>
        <v>6C15842148551</v>
      </c>
      <c r="B73" s="2" t="str">
        <f>"1,720 kg"</f>
        <v>1,720 kg</v>
      </c>
      <c r="C73" s="2" t="str">
        <f>"1,700 kg"</f>
        <v>1,700 kg</v>
      </c>
      <c r="D73" s="2" t="str">
        <f>"1,700 kg"</f>
        <v>1,700 kg</v>
      </c>
      <c r="E73" s="2" t="str">
        <f t="shared" si="6"/>
        <v>Domicile</v>
      </c>
      <c r="F73" s="2" t="str">
        <f t="shared" si="8"/>
        <v>6C</v>
      </c>
      <c r="G73" s="2" t="str">
        <f t="shared" si="9"/>
        <v>Colissimo  Domicile - avec signature -- FR (6C)</v>
      </c>
      <c r="H73" s="2"/>
      <c r="I73" s="2"/>
      <c r="J73" s="2"/>
      <c r="K73" s="2" t="str">
        <f t="shared" si="7"/>
        <v>986737</v>
      </c>
      <c r="L73" s="2" t="str">
        <f>"1,700 kg"</f>
        <v>1,700 kg</v>
      </c>
    </row>
    <row r="74" spans="1:12" x14ac:dyDescent="0.3">
      <c r="A74" s="2" t="str">
        <f>"6C15794822271"</f>
        <v>6C15794822271</v>
      </c>
      <c r="B74" s="2" t="str">
        <f>"0,520 kg"</f>
        <v>0,520 kg</v>
      </c>
      <c r="C74" s="2" t="str">
        <f>"0,450 kg"</f>
        <v>0,450 kg</v>
      </c>
      <c r="D74" s="2" t="str">
        <f>"0,450 kg"</f>
        <v>0,450 kg</v>
      </c>
      <c r="E74" s="2" t="str">
        <f t="shared" si="6"/>
        <v>Domicile</v>
      </c>
      <c r="F74" s="2" t="str">
        <f t="shared" si="8"/>
        <v>6C</v>
      </c>
      <c r="G74" s="2" t="str">
        <f t="shared" si="9"/>
        <v>Colissimo  Domicile - avec signature -- FR (6C)</v>
      </c>
      <c r="H74" s="2"/>
      <c r="I74" s="2"/>
      <c r="J74" s="2"/>
      <c r="K74" s="2" t="str">
        <f t="shared" si="7"/>
        <v>986737</v>
      </c>
      <c r="L74" s="2" t="str">
        <f>"0,450 kg"</f>
        <v>0,450 kg</v>
      </c>
    </row>
    <row r="75" spans="1:12" x14ac:dyDescent="0.3">
      <c r="A75" s="2" t="str">
        <f>"6C15775596405"</f>
        <v>6C15775596405</v>
      </c>
      <c r="B75" s="2"/>
      <c r="C75" s="2" t="str">
        <f>"1,930 kg"</f>
        <v>1,930 kg</v>
      </c>
      <c r="D75" s="2" t="str">
        <f>"1,950 kg"</f>
        <v>1,950 kg</v>
      </c>
      <c r="E75" s="2" t="str">
        <f t="shared" si="6"/>
        <v>Domicile</v>
      </c>
      <c r="F75" s="2" t="str">
        <f t="shared" si="8"/>
        <v>6C</v>
      </c>
      <c r="G75" s="2" t="str">
        <f t="shared" si="9"/>
        <v>Colissimo  Domicile - avec signature -- FR (6C)</v>
      </c>
      <c r="H75" s="2"/>
      <c r="I75" s="2"/>
      <c r="J75" s="2"/>
      <c r="K75" s="2" t="str">
        <f t="shared" si="7"/>
        <v>986737</v>
      </c>
      <c r="L75" s="2" t="str">
        <f>"1,950 kg"</f>
        <v>1,950 kg</v>
      </c>
    </row>
    <row r="76" spans="1:12" x14ac:dyDescent="0.3">
      <c r="A76" s="2" t="str">
        <f>"6A26093042543"</f>
        <v>6A26093042543</v>
      </c>
      <c r="B76" s="2"/>
      <c r="C76" s="2" t="str">
        <f>"5,150 kg"</f>
        <v>5,150 kg</v>
      </c>
      <c r="D76" s="2" t="str">
        <f>"5,150 kg"</f>
        <v>5,150 kg</v>
      </c>
      <c r="E76" s="2" t="str">
        <f t="shared" si="6"/>
        <v>Domicile</v>
      </c>
      <c r="F76" s="2" t="str">
        <f>"6A"</f>
        <v>6A</v>
      </c>
      <c r="G76" s="2" t="str">
        <f>"Colissimo  Domicile - sans signature -- FR (6A)"</f>
        <v>Colissimo  Domicile - sans signature -- FR (6A)</v>
      </c>
      <c r="H76" s="2"/>
      <c r="I76" s="2"/>
      <c r="J76" s="2"/>
      <c r="K76" s="2" t="str">
        <f t="shared" si="7"/>
        <v>986737</v>
      </c>
      <c r="L76" s="2" t="str">
        <f>"5,150 kg"</f>
        <v>5,150 kg</v>
      </c>
    </row>
    <row r="77" spans="1:12" x14ac:dyDescent="0.3">
      <c r="A77" s="2" t="str">
        <f>"6C15840996208"</f>
        <v>6C15840996208</v>
      </c>
      <c r="B77" s="2"/>
      <c r="C77" s="2" t="str">
        <f>"1,700 kg"</f>
        <v>1,700 kg</v>
      </c>
      <c r="D77" s="2" t="str">
        <f>"1,700 kg"</f>
        <v>1,700 kg</v>
      </c>
      <c r="E77" s="2" t="str">
        <f t="shared" si="6"/>
        <v>Domicile</v>
      </c>
      <c r="F77" s="2" t="str">
        <f>"6C"</f>
        <v>6C</v>
      </c>
      <c r="G77" s="2" t="str">
        <f>"Colissimo  Domicile - avec signature -- FR (6C)"</f>
        <v>Colissimo  Domicile - avec signature -- FR (6C)</v>
      </c>
      <c r="H77" s="2"/>
      <c r="I77" s="2"/>
      <c r="J77" s="2"/>
      <c r="K77" s="2" t="str">
        <f t="shared" si="7"/>
        <v>986737</v>
      </c>
      <c r="L77" s="2" t="str">
        <f>"1,700 kg"</f>
        <v>1,700 kg</v>
      </c>
    </row>
    <row r="78" spans="1:12" x14ac:dyDescent="0.3">
      <c r="A78" s="2" t="str">
        <f>"6C15789463243"</f>
        <v>6C15789463243</v>
      </c>
      <c r="B78" s="2" t="str">
        <f>"0,200 kg"</f>
        <v>0,200 kg</v>
      </c>
      <c r="C78" s="2"/>
      <c r="D78" s="2" t="str">
        <f>"0,200 kg"</f>
        <v>0,200 kg</v>
      </c>
      <c r="E78" s="2" t="str">
        <f t="shared" si="6"/>
        <v>Domicile</v>
      </c>
      <c r="F78" s="2" t="str">
        <f>"6C"</f>
        <v>6C</v>
      </c>
      <c r="G78" s="2" t="str">
        <f>"Colissimo  Domicile - avec signature -- FR (6C)"</f>
        <v>Colissimo  Domicile - avec signature -- FR (6C)</v>
      </c>
      <c r="H78" s="2"/>
      <c r="I78" s="2"/>
      <c r="J78" s="2"/>
      <c r="K78" s="2" t="str">
        <f t="shared" si="7"/>
        <v>986737</v>
      </c>
      <c r="L78" s="2"/>
    </row>
    <row r="79" spans="1:12" x14ac:dyDescent="0.3">
      <c r="A79" s="2" t="str">
        <f>"6A26088241821"</f>
        <v>6A26088241821</v>
      </c>
      <c r="B79" s="2" t="str">
        <f>"4,250 kg"</f>
        <v>4,250 kg</v>
      </c>
      <c r="C79" s="2" t="str">
        <f>"4,200 kg"</f>
        <v>4,200 kg</v>
      </c>
      <c r="D79" s="2" t="str">
        <f>"4,200 kg"</f>
        <v>4,200 kg</v>
      </c>
      <c r="E79" s="2" t="str">
        <f t="shared" si="6"/>
        <v>Domicile</v>
      </c>
      <c r="F79" s="2" t="str">
        <f>"6A"</f>
        <v>6A</v>
      </c>
      <c r="G79" s="2" t="str">
        <f>"Colissimo  Domicile - sans signature -- FR (6A)"</f>
        <v>Colissimo  Domicile - sans signature -- FR (6A)</v>
      </c>
      <c r="H79" s="2"/>
      <c r="I79" s="2"/>
      <c r="J79" s="2"/>
      <c r="K79" s="2" t="str">
        <f t="shared" si="7"/>
        <v>986737</v>
      </c>
      <c r="L79" s="2" t="str">
        <f>"4,200 kg"</f>
        <v>4,200 kg</v>
      </c>
    </row>
    <row r="80" spans="1:12" x14ac:dyDescent="0.3">
      <c r="A80" s="2" t="str">
        <f>"6C15842334909"</f>
        <v>6C15842334909</v>
      </c>
      <c r="B80" s="2"/>
      <c r="C80" s="2" t="str">
        <f>"0,340 kg"</f>
        <v>0,340 kg</v>
      </c>
      <c r="D80" s="2" t="str">
        <f>"0,350 kg"</f>
        <v>0,350 kg</v>
      </c>
      <c r="E80" s="2" t="str">
        <f t="shared" si="6"/>
        <v>Domicile</v>
      </c>
      <c r="F80" s="2" t="str">
        <f t="shared" ref="F80:F90" si="10">"6C"</f>
        <v>6C</v>
      </c>
      <c r="G80" s="2" t="str">
        <f t="shared" ref="G80:G90" si="11">"Colissimo  Domicile - avec signature -- FR (6C)"</f>
        <v>Colissimo  Domicile - avec signature -- FR (6C)</v>
      </c>
      <c r="H80" s="2"/>
      <c r="I80" s="2"/>
      <c r="J80" s="2"/>
      <c r="K80" s="2" t="str">
        <f t="shared" si="7"/>
        <v>986737</v>
      </c>
      <c r="L80" s="2" t="str">
        <f>"0,350 kg"</f>
        <v>0,350 kg</v>
      </c>
    </row>
    <row r="81" spans="1:12" x14ac:dyDescent="0.3">
      <c r="A81" s="2" t="str">
        <f>"6C15838600148"</f>
        <v>6C15838600148</v>
      </c>
      <c r="B81" s="2" t="str">
        <f>"1,670 kg"</f>
        <v>1,670 kg</v>
      </c>
      <c r="C81" s="2" t="str">
        <f>"1,700 kg"</f>
        <v>1,700 kg</v>
      </c>
      <c r="D81" s="2" t="str">
        <f>"1,700 kg"</f>
        <v>1,700 kg</v>
      </c>
      <c r="E81" s="2" t="str">
        <f t="shared" si="6"/>
        <v>Domicile</v>
      </c>
      <c r="F81" s="2" t="str">
        <f t="shared" si="10"/>
        <v>6C</v>
      </c>
      <c r="G81" s="2" t="str">
        <f t="shared" si="11"/>
        <v>Colissimo  Domicile - avec signature -- FR (6C)</v>
      </c>
      <c r="H81" s="2"/>
      <c r="I81" s="2"/>
      <c r="J81" s="2" t="str">
        <f>"PARIS 14 PPDC"</f>
        <v>PARIS 14 PPDC</v>
      </c>
      <c r="K81" s="2" t="str">
        <f t="shared" si="7"/>
        <v>986737</v>
      </c>
      <c r="L81" s="2" t="str">
        <f>"1,700 kg"</f>
        <v>1,700 kg</v>
      </c>
    </row>
    <row r="82" spans="1:12" x14ac:dyDescent="0.3">
      <c r="A82" s="2" t="str">
        <f>"6C15873033901"</f>
        <v>6C15873033901</v>
      </c>
      <c r="B82" s="2"/>
      <c r="C82" s="2" t="str">
        <f>"3,550 kg"</f>
        <v>3,550 kg</v>
      </c>
      <c r="D82" s="2" t="str">
        <f>"3,550 kg"</f>
        <v>3,550 kg</v>
      </c>
      <c r="E82" s="2" t="str">
        <f t="shared" si="6"/>
        <v>Domicile</v>
      </c>
      <c r="F82" s="2" t="str">
        <f t="shared" si="10"/>
        <v>6C</v>
      </c>
      <c r="G82" s="2" t="str">
        <f t="shared" si="11"/>
        <v>Colissimo  Domicile - avec signature -- FR (6C)</v>
      </c>
      <c r="H82" s="2"/>
      <c r="I82" s="2"/>
      <c r="J82" s="2"/>
      <c r="K82" s="2" t="str">
        <f t="shared" si="7"/>
        <v>986737</v>
      </c>
      <c r="L82" s="2" t="str">
        <f>"3,550 kg"</f>
        <v>3,550 kg</v>
      </c>
    </row>
    <row r="83" spans="1:12" x14ac:dyDescent="0.3">
      <c r="A83" s="2" t="str">
        <f>"6C15862677666"</f>
        <v>6C15862677666</v>
      </c>
      <c r="B83" s="2" t="str">
        <f>"1,880 kg"</f>
        <v>1,880 kg</v>
      </c>
      <c r="C83" s="2" t="str">
        <f>"1,880 kg"</f>
        <v>1,880 kg</v>
      </c>
      <c r="D83" s="2" t="str">
        <f>"1,900 kg"</f>
        <v>1,900 kg</v>
      </c>
      <c r="E83" s="2" t="str">
        <f t="shared" si="6"/>
        <v>Domicile</v>
      </c>
      <c r="F83" s="2" t="str">
        <f t="shared" si="10"/>
        <v>6C</v>
      </c>
      <c r="G83" s="2" t="str">
        <f t="shared" si="11"/>
        <v>Colissimo  Domicile - avec signature -- FR (6C)</v>
      </c>
      <c r="H83" s="2"/>
      <c r="I83" s="2"/>
      <c r="J83" s="2"/>
      <c r="K83" s="2" t="str">
        <f t="shared" si="7"/>
        <v>986737</v>
      </c>
      <c r="L83" s="2" t="str">
        <f>"1,900 kg"</f>
        <v>1,900 kg</v>
      </c>
    </row>
    <row r="84" spans="1:12" x14ac:dyDescent="0.3">
      <c r="A84" s="2" t="str">
        <f>"6C15864556549"</f>
        <v>6C15864556549</v>
      </c>
      <c r="B84" s="2" t="str">
        <f>"1,870 kg"</f>
        <v>1,870 kg</v>
      </c>
      <c r="C84" s="2" t="str">
        <f>"1,800 kg"</f>
        <v>1,800 kg</v>
      </c>
      <c r="D84" s="2" t="str">
        <f>"1,900 kg"</f>
        <v>1,900 kg</v>
      </c>
      <c r="E84" s="2" t="str">
        <f t="shared" si="6"/>
        <v>Domicile</v>
      </c>
      <c r="F84" s="2" t="str">
        <f t="shared" si="10"/>
        <v>6C</v>
      </c>
      <c r="G84" s="2" t="str">
        <f t="shared" si="11"/>
        <v>Colissimo  Domicile - avec signature -- FR (6C)</v>
      </c>
      <c r="H84" s="2"/>
      <c r="I84" s="2"/>
      <c r="J84" s="2"/>
      <c r="K84" s="2" t="str">
        <f t="shared" si="7"/>
        <v>986737</v>
      </c>
      <c r="L84" s="2" t="str">
        <f>"1,900 kg"</f>
        <v>1,900 kg</v>
      </c>
    </row>
    <row r="85" spans="1:12" x14ac:dyDescent="0.3">
      <c r="A85" s="2" t="str">
        <f>"6C15841241970"</f>
        <v>6C15841241970</v>
      </c>
      <c r="B85" s="2"/>
      <c r="C85" s="2" t="str">
        <f>"1,750 kg"</f>
        <v>1,750 kg</v>
      </c>
      <c r="D85" s="2" t="str">
        <f>"1,750 kg"</f>
        <v>1,750 kg</v>
      </c>
      <c r="E85" s="2" t="str">
        <f t="shared" si="6"/>
        <v>Domicile</v>
      </c>
      <c r="F85" s="2" t="str">
        <f t="shared" si="10"/>
        <v>6C</v>
      </c>
      <c r="G85" s="2" t="str">
        <f t="shared" si="11"/>
        <v>Colissimo  Domicile - avec signature -- FR (6C)</v>
      </c>
      <c r="H85" s="2"/>
      <c r="I85" s="2"/>
      <c r="J85" s="2"/>
      <c r="K85" s="2" t="str">
        <f t="shared" si="7"/>
        <v>986737</v>
      </c>
      <c r="L85" s="2" t="str">
        <f>"1,750 kg"</f>
        <v>1,750 kg</v>
      </c>
    </row>
    <row r="86" spans="1:12" x14ac:dyDescent="0.3">
      <c r="A86" s="2" t="str">
        <f>"6C15874800342"</f>
        <v>6C15874800342</v>
      </c>
      <c r="B86" s="2"/>
      <c r="C86" s="2" t="str">
        <f>"1,850 kg"</f>
        <v>1,850 kg</v>
      </c>
      <c r="D86" s="2" t="str">
        <f>"1,850 kg"</f>
        <v>1,850 kg</v>
      </c>
      <c r="E86" s="2" t="str">
        <f t="shared" si="6"/>
        <v>Domicile</v>
      </c>
      <c r="F86" s="2" t="str">
        <f t="shared" si="10"/>
        <v>6C</v>
      </c>
      <c r="G86" s="2" t="str">
        <f t="shared" si="11"/>
        <v>Colissimo  Domicile - avec signature -- FR (6C)</v>
      </c>
      <c r="H86" s="2"/>
      <c r="I86" s="2"/>
      <c r="J86" s="2"/>
      <c r="K86" s="2" t="str">
        <f t="shared" si="7"/>
        <v>986737</v>
      </c>
      <c r="L86" s="2" t="str">
        <f>"1,850 kg"</f>
        <v>1,850 kg</v>
      </c>
    </row>
    <row r="87" spans="1:12" x14ac:dyDescent="0.3">
      <c r="A87" s="2" t="str">
        <f>"6C15862714330"</f>
        <v>6C15862714330</v>
      </c>
      <c r="B87" s="2"/>
      <c r="C87" s="2" t="str">
        <f>"4,650 kg"</f>
        <v>4,650 kg</v>
      </c>
      <c r="D87" s="2" t="str">
        <f>"5,450 kg"</f>
        <v>5,450 kg</v>
      </c>
      <c r="E87" s="2" t="str">
        <f t="shared" si="6"/>
        <v>Domicile</v>
      </c>
      <c r="F87" s="2" t="str">
        <f t="shared" si="10"/>
        <v>6C</v>
      </c>
      <c r="G87" s="2" t="str">
        <f t="shared" si="11"/>
        <v>Colissimo  Domicile - avec signature -- FR (6C)</v>
      </c>
      <c r="H87" s="2"/>
      <c r="I87" s="2"/>
      <c r="J87" s="2"/>
      <c r="K87" s="2" t="str">
        <f t="shared" si="7"/>
        <v>986737</v>
      </c>
      <c r="L87" s="2" t="str">
        <f>"5,450 kg"</f>
        <v>5,450 kg</v>
      </c>
    </row>
    <row r="88" spans="1:12" x14ac:dyDescent="0.3">
      <c r="A88" s="2" t="str">
        <f>"6C15872281495"</f>
        <v>6C15872281495</v>
      </c>
      <c r="B88" s="2"/>
      <c r="C88" s="2" t="str">
        <f>"2,850 kg"</f>
        <v>2,850 kg</v>
      </c>
      <c r="D88" s="2" t="str">
        <f>"2,850 kg"</f>
        <v>2,850 kg</v>
      </c>
      <c r="E88" s="2" t="str">
        <f t="shared" si="6"/>
        <v>Domicile</v>
      </c>
      <c r="F88" s="2" t="str">
        <f t="shared" si="10"/>
        <v>6C</v>
      </c>
      <c r="G88" s="2" t="str">
        <f t="shared" si="11"/>
        <v>Colissimo  Domicile - avec signature -- FR (6C)</v>
      </c>
      <c r="H88" s="2"/>
      <c r="I88" s="2"/>
      <c r="J88" s="2"/>
      <c r="K88" s="2" t="str">
        <f t="shared" si="7"/>
        <v>986737</v>
      </c>
      <c r="L88" s="2" t="str">
        <f>"2,850 kg"</f>
        <v>2,850 kg</v>
      </c>
    </row>
    <row r="89" spans="1:12" x14ac:dyDescent="0.3">
      <c r="A89" s="2" t="str">
        <f>"6C15872281907"</f>
        <v>6C15872281907</v>
      </c>
      <c r="B89" s="2"/>
      <c r="C89" s="2" t="str">
        <f>"2,850 kg"</f>
        <v>2,850 kg</v>
      </c>
      <c r="D89" s="2" t="str">
        <f>"2,850 kg"</f>
        <v>2,850 kg</v>
      </c>
      <c r="E89" s="2" t="str">
        <f t="shared" si="6"/>
        <v>Domicile</v>
      </c>
      <c r="F89" s="2" t="str">
        <f t="shared" si="10"/>
        <v>6C</v>
      </c>
      <c r="G89" s="2" t="str">
        <f t="shared" si="11"/>
        <v>Colissimo  Domicile - avec signature -- FR (6C)</v>
      </c>
      <c r="H89" s="2"/>
      <c r="I89" s="2"/>
      <c r="J89" s="2"/>
      <c r="K89" s="2" t="str">
        <f t="shared" si="7"/>
        <v>986737</v>
      </c>
      <c r="L89" s="2" t="str">
        <f>"2,850 kg"</f>
        <v>2,850 kg</v>
      </c>
    </row>
    <row r="90" spans="1:12" x14ac:dyDescent="0.3">
      <c r="A90" s="2" t="str">
        <f>"6C15873971555"</f>
        <v>6C15873971555</v>
      </c>
      <c r="B90" s="2"/>
      <c r="C90" s="2" t="str">
        <f>"10,600 kg"</f>
        <v>10,600 kg</v>
      </c>
      <c r="D90" s="2" t="str">
        <f>"10,600 kg"</f>
        <v>10,600 kg</v>
      </c>
      <c r="E90" s="2" t="str">
        <f t="shared" si="6"/>
        <v>Domicile</v>
      </c>
      <c r="F90" s="2" t="str">
        <f t="shared" si="10"/>
        <v>6C</v>
      </c>
      <c r="G90" s="2" t="str">
        <f t="shared" si="11"/>
        <v>Colissimo  Domicile - avec signature -- FR (6C)</v>
      </c>
      <c r="H90" s="2"/>
      <c r="I90" s="2"/>
      <c r="J90" s="2"/>
      <c r="K90" s="2" t="str">
        <f t="shared" si="7"/>
        <v>986737</v>
      </c>
      <c r="L90" s="2" t="str">
        <f>"10,600 kg"</f>
        <v>10,600 kg</v>
      </c>
    </row>
    <row r="91" spans="1:12" x14ac:dyDescent="0.3">
      <c r="A91" s="2" t="str">
        <f>"6A26484458298"</f>
        <v>6A26484458298</v>
      </c>
      <c r="B91" s="2"/>
      <c r="C91" s="2" t="str">
        <f>"1,140 kg"</f>
        <v>1,140 kg</v>
      </c>
      <c r="D91" s="2" t="str">
        <f>"1,140 kg"</f>
        <v>1,140 kg</v>
      </c>
      <c r="E91" s="2" t="str">
        <f t="shared" si="6"/>
        <v>Domicile</v>
      </c>
      <c r="F91" s="2" t="str">
        <f>"6A"</f>
        <v>6A</v>
      </c>
      <c r="G91" s="2" t="str">
        <f>"Colissimo  Domicile - sans signature -- FR (6A)"</f>
        <v>Colissimo  Domicile - sans signature -- FR (6A)</v>
      </c>
      <c r="H91" s="2"/>
      <c r="I91" s="2"/>
      <c r="J91" s="2" t="str">
        <f>"FECAMP"</f>
        <v>FECAMP</v>
      </c>
      <c r="K91" s="2" t="str">
        <f t="shared" si="7"/>
        <v>986737</v>
      </c>
      <c r="L91" s="2" t="str">
        <f>"1,140 kg"</f>
        <v>1,140 kg</v>
      </c>
    </row>
    <row r="92" spans="1:12" x14ac:dyDescent="0.3">
      <c r="A92" s="2" t="str">
        <f>"6C15891499284"</f>
        <v>6C15891499284</v>
      </c>
      <c r="B92" s="2"/>
      <c r="C92" s="2" t="str">
        <f>"1,850 kg"</f>
        <v>1,850 kg</v>
      </c>
      <c r="D92" s="2" t="str">
        <f>"1,850 kg"</f>
        <v>1,850 kg</v>
      </c>
      <c r="E92" s="2" t="str">
        <f t="shared" si="6"/>
        <v>Domicile</v>
      </c>
      <c r="F92" s="2" t="str">
        <f t="shared" ref="F92:F104" si="12">"6C"</f>
        <v>6C</v>
      </c>
      <c r="G92" s="2" t="str">
        <f t="shared" ref="G92:G104" si="13">"Colissimo  Domicile - avec signature -- FR (6C)"</f>
        <v>Colissimo  Domicile - avec signature -- FR (6C)</v>
      </c>
      <c r="H92" s="2"/>
      <c r="I92" s="2"/>
      <c r="J92" s="2"/>
      <c r="K92" s="2" t="str">
        <f t="shared" si="7"/>
        <v>986737</v>
      </c>
      <c r="L92" s="2" t="str">
        <f>"1,850 kg"</f>
        <v>1,850 kg</v>
      </c>
    </row>
    <row r="93" spans="1:12" x14ac:dyDescent="0.3">
      <c r="A93" s="2" t="str">
        <f>"6C15902961571"</f>
        <v>6C15902961571</v>
      </c>
      <c r="B93" s="2" t="str">
        <f>"5,460 kg"</f>
        <v>5,460 kg</v>
      </c>
      <c r="C93" s="2" t="str">
        <f>"5,350 kg"</f>
        <v>5,350 kg</v>
      </c>
      <c r="D93" s="2" t="str">
        <f>"5,350 kg"</f>
        <v>5,350 kg</v>
      </c>
      <c r="E93" s="2" t="str">
        <f t="shared" si="6"/>
        <v>Domicile</v>
      </c>
      <c r="F93" s="2" t="str">
        <f t="shared" si="12"/>
        <v>6C</v>
      </c>
      <c r="G93" s="2" t="str">
        <f t="shared" si="13"/>
        <v>Colissimo  Domicile - avec signature -- FR (6C)</v>
      </c>
      <c r="H93" s="2"/>
      <c r="I93" s="2"/>
      <c r="J93" s="2"/>
      <c r="K93" s="2" t="str">
        <f t="shared" si="7"/>
        <v>986737</v>
      </c>
      <c r="L93" s="2" t="str">
        <f>"5,350 kg"</f>
        <v>5,350 kg</v>
      </c>
    </row>
    <row r="94" spans="1:12" x14ac:dyDescent="0.3">
      <c r="A94" s="2" t="str">
        <f>"6C15888315160"</f>
        <v>6C15888315160</v>
      </c>
      <c r="B94" s="2" t="str">
        <f>"1,410 kg"</f>
        <v>1,410 kg</v>
      </c>
      <c r="C94" s="2" t="str">
        <f>"1,380 kg"</f>
        <v>1,380 kg</v>
      </c>
      <c r="D94" s="2" t="str">
        <f>"1,400 kg"</f>
        <v>1,400 kg</v>
      </c>
      <c r="E94" s="2" t="str">
        <f t="shared" si="6"/>
        <v>Domicile</v>
      </c>
      <c r="F94" s="2" t="str">
        <f t="shared" si="12"/>
        <v>6C</v>
      </c>
      <c r="G94" s="2" t="str">
        <f t="shared" si="13"/>
        <v>Colissimo  Domicile - avec signature -- FR (6C)</v>
      </c>
      <c r="H94" s="2"/>
      <c r="I94" s="2"/>
      <c r="J94" s="2"/>
      <c r="K94" s="2" t="str">
        <f t="shared" si="7"/>
        <v>986737</v>
      </c>
      <c r="L94" s="2" t="str">
        <f>"1,400 kg"</f>
        <v>1,400 kg</v>
      </c>
    </row>
    <row r="95" spans="1:12" x14ac:dyDescent="0.3">
      <c r="A95" s="2" t="str">
        <f>"6C15902160912"</f>
        <v>6C15902160912</v>
      </c>
      <c r="B95" s="2" t="str">
        <f>"0,580 kg"</f>
        <v>0,580 kg</v>
      </c>
      <c r="C95" s="2" t="str">
        <f>"0,600 kg"</f>
        <v>0,600 kg</v>
      </c>
      <c r="D95" s="2" t="str">
        <f>"0,600 kg"</f>
        <v>0,600 kg</v>
      </c>
      <c r="E95" s="2" t="str">
        <f t="shared" si="6"/>
        <v>Domicile</v>
      </c>
      <c r="F95" s="2" t="str">
        <f t="shared" si="12"/>
        <v>6C</v>
      </c>
      <c r="G95" s="2" t="str">
        <f t="shared" si="13"/>
        <v>Colissimo  Domicile - avec signature -- FR (6C)</v>
      </c>
      <c r="H95" s="2"/>
      <c r="I95" s="2"/>
      <c r="J95" s="2"/>
      <c r="K95" s="2" t="str">
        <f t="shared" si="7"/>
        <v>986737</v>
      </c>
      <c r="L95" s="2" t="str">
        <f>"0,600 kg"</f>
        <v>0,600 kg</v>
      </c>
    </row>
    <row r="96" spans="1:12" x14ac:dyDescent="0.3">
      <c r="A96" s="2" t="str">
        <f>"6C15903189851"</f>
        <v>6C15903189851</v>
      </c>
      <c r="B96" s="2" t="str">
        <f>"8,700 kg"</f>
        <v>8,700 kg</v>
      </c>
      <c r="C96" s="2" t="str">
        <f>"8,700 kg"</f>
        <v>8,700 kg</v>
      </c>
      <c r="D96" s="2" t="str">
        <f>"8,700 kg"</f>
        <v>8,700 kg</v>
      </c>
      <c r="E96" s="2" t="str">
        <f t="shared" si="6"/>
        <v>Domicile</v>
      </c>
      <c r="F96" s="2" t="str">
        <f t="shared" si="12"/>
        <v>6C</v>
      </c>
      <c r="G96" s="2" t="str">
        <f t="shared" si="13"/>
        <v>Colissimo  Domicile - avec signature -- FR (6C)</v>
      </c>
      <c r="H96" s="2"/>
      <c r="I96" s="2"/>
      <c r="J96" s="2"/>
      <c r="K96" s="2" t="str">
        <f t="shared" si="7"/>
        <v>986737</v>
      </c>
      <c r="L96" s="2" t="str">
        <f>"8,700 kg"</f>
        <v>8,700 kg</v>
      </c>
    </row>
    <row r="97" spans="1:12" x14ac:dyDescent="0.3">
      <c r="A97" s="2" t="str">
        <f>"6C15890322903"</f>
        <v>6C15890322903</v>
      </c>
      <c r="B97" s="2"/>
      <c r="C97" s="2" t="str">
        <f>"4,650 kg"</f>
        <v>4,650 kg</v>
      </c>
      <c r="D97" s="2" t="str">
        <f>"4,650 kg"</f>
        <v>4,650 kg</v>
      </c>
      <c r="E97" s="2" t="str">
        <f t="shared" si="6"/>
        <v>Domicile</v>
      </c>
      <c r="F97" s="2" t="str">
        <f t="shared" si="12"/>
        <v>6C</v>
      </c>
      <c r="G97" s="2" t="str">
        <f t="shared" si="13"/>
        <v>Colissimo  Domicile - avec signature -- FR (6C)</v>
      </c>
      <c r="H97" s="2"/>
      <c r="I97" s="2"/>
      <c r="J97" s="2"/>
      <c r="K97" s="2" t="str">
        <f t="shared" si="7"/>
        <v>986737</v>
      </c>
      <c r="L97" s="2" t="str">
        <f>"4,650 kg"</f>
        <v>4,650 kg</v>
      </c>
    </row>
    <row r="98" spans="1:12" x14ac:dyDescent="0.3">
      <c r="A98" s="2" t="str">
        <f>"6C16040642322"</f>
        <v>6C16040642322</v>
      </c>
      <c r="B98" s="2" t="str">
        <f>"1,050 kg"</f>
        <v>1,050 kg</v>
      </c>
      <c r="C98" s="2" t="str">
        <f>"1,050 kg"</f>
        <v>1,050 kg</v>
      </c>
      <c r="D98" s="2" t="str">
        <f>"1,050 kg"</f>
        <v>1,050 kg</v>
      </c>
      <c r="E98" s="2" t="str">
        <f t="shared" si="6"/>
        <v>Domicile</v>
      </c>
      <c r="F98" s="2" t="str">
        <f t="shared" si="12"/>
        <v>6C</v>
      </c>
      <c r="G98" s="2" t="str">
        <f t="shared" si="13"/>
        <v>Colissimo  Domicile - avec signature -- FR (6C)</v>
      </c>
      <c r="H98" s="2"/>
      <c r="I98" s="2"/>
      <c r="J98" s="2"/>
      <c r="K98" s="2" t="str">
        <f t="shared" si="7"/>
        <v>986737</v>
      </c>
      <c r="L98" s="2" t="str">
        <f>"1,050 kg"</f>
        <v>1,050 kg</v>
      </c>
    </row>
    <row r="99" spans="1:12" x14ac:dyDescent="0.3">
      <c r="A99" s="2" t="str">
        <f>"6C15918598761"</f>
        <v>6C15918598761</v>
      </c>
      <c r="B99" s="2" t="str">
        <f>"1,860 kg"</f>
        <v>1,860 kg</v>
      </c>
      <c r="C99" s="2" t="str">
        <f>"1,870 kg"</f>
        <v>1,870 kg</v>
      </c>
      <c r="D99" s="2" t="str">
        <f>"1,900 kg"</f>
        <v>1,900 kg</v>
      </c>
      <c r="E99" s="2" t="str">
        <f t="shared" si="6"/>
        <v>Domicile</v>
      </c>
      <c r="F99" s="2" t="str">
        <f t="shared" si="12"/>
        <v>6C</v>
      </c>
      <c r="G99" s="2" t="str">
        <f t="shared" si="13"/>
        <v>Colissimo  Domicile - avec signature -- FR (6C)</v>
      </c>
      <c r="H99" s="2"/>
      <c r="I99" s="2"/>
      <c r="J99" s="2"/>
      <c r="K99" s="2" t="str">
        <f t="shared" si="7"/>
        <v>986737</v>
      </c>
      <c r="L99" s="2" t="str">
        <f>"1,900 kg"</f>
        <v>1,900 kg</v>
      </c>
    </row>
    <row r="100" spans="1:12" x14ac:dyDescent="0.3">
      <c r="A100" s="2" t="str">
        <f>"6C15917540532"</f>
        <v>6C15917540532</v>
      </c>
      <c r="B100" s="2" t="str">
        <f>"5,990 kg"</f>
        <v>5,990 kg</v>
      </c>
      <c r="C100" s="2" t="str">
        <f>"5,950 kg"</f>
        <v>5,950 kg</v>
      </c>
      <c r="D100" s="2" t="str">
        <f>"5,950 kg"</f>
        <v>5,950 kg</v>
      </c>
      <c r="E100" s="2" t="str">
        <f t="shared" si="6"/>
        <v>Domicile</v>
      </c>
      <c r="F100" s="2" t="str">
        <f t="shared" si="12"/>
        <v>6C</v>
      </c>
      <c r="G100" s="2" t="str">
        <f t="shared" si="13"/>
        <v>Colissimo  Domicile - avec signature -- FR (6C)</v>
      </c>
      <c r="H100" s="2"/>
      <c r="I100" s="2"/>
      <c r="J100" s="2"/>
      <c r="K100" s="2" t="str">
        <f t="shared" si="7"/>
        <v>986737</v>
      </c>
      <c r="L100" s="2" t="str">
        <f>"5,950 kg"</f>
        <v>5,950 kg</v>
      </c>
    </row>
    <row r="101" spans="1:12" x14ac:dyDescent="0.3">
      <c r="A101" s="2" t="str">
        <f>"6C15917379491"</f>
        <v>6C15917379491</v>
      </c>
      <c r="B101" s="2"/>
      <c r="C101" s="2" t="str">
        <f>"1,850 kg"</f>
        <v>1,850 kg</v>
      </c>
      <c r="D101" s="2" t="str">
        <f>"1,850 kg"</f>
        <v>1,850 kg</v>
      </c>
      <c r="E101" s="2" t="str">
        <f t="shared" si="6"/>
        <v>Domicile</v>
      </c>
      <c r="F101" s="2" t="str">
        <f t="shared" si="12"/>
        <v>6C</v>
      </c>
      <c r="G101" s="2" t="str">
        <f t="shared" si="13"/>
        <v>Colissimo  Domicile - avec signature -- FR (6C)</v>
      </c>
      <c r="H101" s="2"/>
      <c r="I101" s="2"/>
      <c r="J101" s="2"/>
      <c r="K101" s="2" t="str">
        <f t="shared" si="7"/>
        <v>986737</v>
      </c>
      <c r="L101" s="2" t="str">
        <f>"1,850 kg"</f>
        <v>1,850 kg</v>
      </c>
    </row>
    <row r="102" spans="1:12" x14ac:dyDescent="0.3">
      <c r="A102" s="2" t="str">
        <f>"6C15917595419"</f>
        <v>6C15917595419</v>
      </c>
      <c r="B102" s="2"/>
      <c r="C102" s="2" t="str">
        <f>"8,200 kg"</f>
        <v>8,200 kg</v>
      </c>
      <c r="D102" s="2" t="str">
        <f>"8,200 kg"</f>
        <v>8,200 kg</v>
      </c>
      <c r="E102" s="2" t="str">
        <f t="shared" si="6"/>
        <v>Domicile</v>
      </c>
      <c r="F102" s="2" t="str">
        <f t="shared" si="12"/>
        <v>6C</v>
      </c>
      <c r="G102" s="2" t="str">
        <f t="shared" si="13"/>
        <v>Colissimo  Domicile - avec signature -- FR (6C)</v>
      </c>
      <c r="H102" s="2"/>
      <c r="I102" s="2"/>
      <c r="J102" s="2"/>
      <c r="K102" s="2" t="str">
        <f t="shared" si="7"/>
        <v>986737</v>
      </c>
      <c r="L102" s="2" t="str">
        <f>"8,200 kg"</f>
        <v>8,200 kg</v>
      </c>
    </row>
    <row r="103" spans="1:12" x14ac:dyDescent="0.3">
      <c r="A103" s="2" t="str">
        <f>"6C16315578882"</f>
        <v>6C16315578882</v>
      </c>
      <c r="B103" s="2" t="str">
        <f>"1,880 kg"</f>
        <v>1,880 kg</v>
      </c>
      <c r="C103" s="2" t="str">
        <f>"1,900 kg"</f>
        <v>1,900 kg</v>
      </c>
      <c r="D103" s="2" t="str">
        <f>"1,900 kg"</f>
        <v>1,900 kg</v>
      </c>
      <c r="E103" s="2" t="str">
        <f t="shared" si="6"/>
        <v>Domicile</v>
      </c>
      <c r="F103" s="2" t="str">
        <f t="shared" si="12"/>
        <v>6C</v>
      </c>
      <c r="G103" s="2" t="str">
        <f t="shared" si="13"/>
        <v>Colissimo  Domicile - avec signature -- FR (6C)</v>
      </c>
      <c r="H103" s="2"/>
      <c r="I103" s="2"/>
      <c r="J103" s="2"/>
      <c r="K103" s="2" t="str">
        <f t="shared" si="7"/>
        <v>986737</v>
      </c>
      <c r="L103" s="2" t="str">
        <f>"1,900 kg"</f>
        <v>1,900 kg</v>
      </c>
    </row>
    <row r="104" spans="1:12" x14ac:dyDescent="0.3">
      <c r="A104" s="2" t="str">
        <f>"6C15917540952"</f>
        <v>6C15917540952</v>
      </c>
      <c r="B104" s="2" t="str">
        <f>"1,770 kg"</f>
        <v>1,770 kg</v>
      </c>
      <c r="C104" s="2" t="str">
        <f>"1,750 kg"</f>
        <v>1,750 kg</v>
      </c>
      <c r="D104" s="2" t="str">
        <f>"1,750 kg"</f>
        <v>1,750 kg</v>
      </c>
      <c r="E104" s="2" t="str">
        <f t="shared" si="6"/>
        <v>Domicile</v>
      </c>
      <c r="F104" s="2" t="str">
        <f t="shared" si="12"/>
        <v>6C</v>
      </c>
      <c r="G104" s="2" t="str">
        <f t="shared" si="13"/>
        <v>Colissimo  Domicile - avec signature -- FR (6C)</v>
      </c>
      <c r="H104" s="2"/>
      <c r="I104" s="2"/>
      <c r="J104" s="2"/>
      <c r="K104" s="2" t="str">
        <f t="shared" si="7"/>
        <v>986737</v>
      </c>
      <c r="L104" s="2" t="str">
        <f>"1,750 kg"</f>
        <v>1,750 kg</v>
      </c>
    </row>
    <row r="105" spans="1:12" x14ac:dyDescent="0.3">
      <c r="A105" s="2" t="str">
        <f>"6A27561698712"</f>
        <v>6A27561698712</v>
      </c>
      <c r="B105" s="2"/>
      <c r="C105" s="2" t="str">
        <f>"1,440 kg"</f>
        <v>1,440 kg</v>
      </c>
      <c r="D105" s="2" t="str">
        <f>"1,450 kg"</f>
        <v>1,450 kg</v>
      </c>
      <c r="E105" s="2" t="str">
        <f t="shared" si="6"/>
        <v>Domicile</v>
      </c>
      <c r="F105" s="2" t="str">
        <f>"6A"</f>
        <v>6A</v>
      </c>
      <c r="G105" s="2" t="str">
        <f>"Colissimo  Domicile - sans signature -- FR (6A)"</f>
        <v>Colissimo  Domicile - sans signature -- FR (6A)</v>
      </c>
      <c r="H105" s="2"/>
      <c r="I105" s="2"/>
      <c r="J105" s="2"/>
      <c r="K105" s="2" t="str">
        <f t="shared" si="7"/>
        <v>986737</v>
      </c>
      <c r="L105" s="2" t="str">
        <f>"1,450 kg"</f>
        <v>1,450 kg</v>
      </c>
    </row>
    <row r="106" spans="1:12" x14ac:dyDescent="0.3">
      <c r="A106" s="2" t="str">
        <f>"6C16726580825"</f>
        <v>6C16726580825</v>
      </c>
      <c r="B106" s="2" t="str">
        <f>"5,020 kg"</f>
        <v>5,020 kg</v>
      </c>
      <c r="C106" s="2" t="str">
        <f>"5,050 kg"</f>
        <v>5,050 kg</v>
      </c>
      <c r="D106" s="2" t="str">
        <f>"5,050 kg"</f>
        <v>5,050 kg</v>
      </c>
      <c r="E106" s="2" t="str">
        <f t="shared" si="6"/>
        <v>Domicile</v>
      </c>
      <c r="F106" s="2" t="str">
        <f t="shared" ref="F106:F118" si="14">"6C"</f>
        <v>6C</v>
      </c>
      <c r="G106" s="2" t="str">
        <f t="shared" ref="G106:G118" si="15">"Colissimo  Domicile - avec signature -- FR (6C)"</f>
        <v>Colissimo  Domicile - avec signature -- FR (6C)</v>
      </c>
      <c r="H106" s="2"/>
      <c r="I106" s="2"/>
      <c r="J106" s="2"/>
      <c r="K106" s="2" t="str">
        <f t="shared" si="7"/>
        <v>986737</v>
      </c>
      <c r="L106" s="2" t="str">
        <f>"5,050 kg"</f>
        <v>5,050 kg</v>
      </c>
    </row>
    <row r="107" spans="1:12" x14ac:dyDescent="0.3">
      <c r="A107" s="2" t="str">
        <f>"6C17245703160"</f>
        <v>6C17245703160</v>
      </c>
      <c r="B107" s="2" t="str">
        <f>"1,840 kg"</f>
        <v>1,840 kg</v>
      </c>
      <c r="C107" s="2" t="str">
        <f>"1,840 kg"</f>
        <v>1,840 kg</v>
      </c>
      <c r="D107" s="2" t="str">
        <f>"1,850 kg"</f>
        <v>1,850 kg</v>
      </c>
      <c r="E107" s="2" t="str">
        <f t="shared" si="6"/>
        <v>Domicile</v>
      </c>
      <c r="F107" s="2" t="str">
        <f t="shared" si="14"/>
        <v>6C</v>
      </c>
      <c r="G107" s="2" t="str">
        <f t="shared" si="15"/>
        <v>Colissimo  Domicile - avec signature -- FR (6C)</v>
      </c>
      <c r="H107" s="2"/>
      <c r="I107" s="2"/>
      <c r="J107" s="2"/>
      <c r="K107" s="2" t="str">
        <f t="shared" si="7"/>
        <v>986737</v>
      </c>
      <c r="L107" s="2" t="str">
        <f>"1,850 kg"</f>
        <v>1,850 kg</v>
      </c>
    </row>
    <row r="108" spans="1:12" x14ac:dyDescent="0.3">
      <c r="A108" s="2" t="str">
        <f>"6C17245006896"</f>
        <v>6C17245006896</v>
      </c>
      <c r="B108" s="2" t="str">
        <f>"11,530 kg"</f>
        <v>11,530 kg</v>
      </c>
      <c r="C108" s="2" t="str">
        <f>"11,550 kg"</f>
        <v>11,550 kg</v>
      </c>
      <c r="D108" s="2" t="str">
        <f>"11,550 kg"</f>
        <v>11,550 kg</v>
      </c>
      <c r="E108" s="2" t="str">
        <f t="shared" si="6"/>
        <v>Domicile</v>
      </c>
      <c r="F108" s="2" t="str">
        <f t="shared" si="14"/>
        <v>6C</v>
      </c>
      <c r="G108" s="2" t="str">
        <f t="shared" si="15"/>
        <v>Colissimo  Domicile - avec signature -- FR (6C)</v>
      </c>
      <c r="H108" s="2"/>
      <c r="I108" s="2"/>
      <c r="J108" s="2"/>
      <c r="K108" s="2" t="str">
        <f t="shared" si="7"/>
        <v>986737</v>
      </c>
      <c r="L108" s="2" t="str">
        <f>"11,550 kg"</f>
        <v>11,550 kg</v>
      </c>
    </row>
    <row r="109" spans="1:12" x14ac:dyDescent="0.3">
      <c r="A109" s="2" t="str">
        <f>"6C17245059229"</f>
        <v>6C17245059229</v>
      </c>
      <c r="B109" s="2"/>
      <c r="C109" s="2" t="str">
        <f>"11,580 kg"</f>
        <v>11,580 kg</v>
      </c>
      <c r="D109" s="2" t="str">
        <f>"11,600 kg"</f>
        <v>11,600 kg</v>
      </c>
      <c r="E109" s="2" t="str">
        <f t="shared" si="6"/>
        <v>Domicile</v>
      </c>
      <c r="F109" s="2" t="str">
        <f t="shared" si="14"/>
        <v>6C</v>
      </c>
      <c r="G109" s="2" t="str">
        <f t="shared" si="15"/>
        <v>Colissimo  Domicile - avec signature -- FR (6C)</v>
      </c>
      <c r="H109" s="2"/>
      <c r="I109" s="2"/>
      <c r="J109" s="2"/>
      <c r="K109" s="2" t="str">
        <f t="shared" si="7"/>
        <v>986737</v>
      </c>
      <c r="L109" s="2" t="str">
        <f>"11,600 kg"</f>
        <v>11,600 kg</v>
      </c>
    </row>
    <row r="110" spans="1:12" x14ac:dyDescent="0.3">
      <c r="A110" s="2" t="str">
        <f>"6C17245014501"</f>
        <v>6C17245014501</v>
      </c>
      <c r="B110" s="2" t="str">
        <f>"11,530 kg"</f>
        <v>11,530 kg</v>
      </c>
      <c r="C110" s="2" t="str">
        <f>"11,550 kg"</f>
        <v>11,550 kg</v>
      </c>
      <c r="D110" s="2" t="str">
        <f>"11,550 kg"</f>
        <v>11,550 kg</v>
      </c>
      <c r="E110" s="2" t="str">
        <f t="shared" si="6"/>
        <v>Domicile</v>
      </c>
      <c r="F110" s="2" t="str">
        <f t="shared" si="14"/>
        <v>6C</v>
      </c>
      <c r="G110" s="2" t="str">
        <f t="shared" si="15"/>
        <v>Colissimo  Domicile - avec signature -- FR (6C)</v>
      </c>
      <c r="H110" s="2"/>
      <c r="I110" s="2"/>
      <c r="J110" s="2"/>
      <c r="K110" s="2" t="str">
        <f t="shared" si="7"/>
        <v>986737</v>
      </c>
      <c r="L110" s="2" t="str">
        <f>"11,550 kg"</f>
        <v>11,550 kg</v>
      </c>
    </row>
    <row r="111" spans="1:12" x14ac:dyDescent="0.3">
      <c r="A111" s="2" t="str">
        <f>"6C17245606690"</f>
        <v>6C17245606690</v>
      </c>
      <c r="B111" s="2"/>
      <c r="C111" s="2" t="str">
        <f>"5,800 kg"</f>
        <v>5,800 kg</v>
      </c>
      <c r="D111" s="2" t="str">
        <f>"5,800 kg"</f>
        <v>5,800 kg</v>
      </c>
      <c r="E111" s="2" t="str">
        <f t="shared" si="6"/>
        <v>Domicile</v>
      </c>
      <c r="F111" s="2" t="str">
        <f t="shared" si="14"/>
        <v>6C</v>
      </c>
      <c r="G111" s="2" t="str">
        <f t="shared" si="15"/>
        <v>Colissimo  Domicile - avec signature -- FR (6C)</v>
      </c>
      <c r="H111" s="2"/>
      <c r="I111" s="2"/>
      <c r="J111" s="2"/>
      <c r="K111" s="2" t="str">
        <f t="shared" si="7"/>
        <v>986737</v>
      </c>
      <c r="L111" s="2" t="str">
        <f>"5,800 kg"</f>
        <v>5,800 kg</v>
      </c>
    </row>
    <row r="112" spans="1:12" x14ac:dyDescent="0.3">
      <c r="A112" s="2" t="str">
        <f>"6C16982640738"</f>
        <v>6C16982640738</v>
      </c>
      <c r="B112" s="2"/>
      <c r="C112" s="2" t="str">
        <f>"1,840 kg"</f>
        <v>1,840 kg</v>
      </c>
      <c r="D112" s="2" t="str">
        <f>"1,850 kg"</f>
        <v>1,850 kg</v>
      </c>
      <c r="E112" s="2" t="str">
        <f t="shared" si="6"/>
        <v>Domicile</v>
      </c>
      <c r="F112" s="2" t="str">
        <f t="shared" si="14"/>
        <v>6C</v>
      </c>
      <c r="G112" s="2" t="str">
        <f t="shared" si="15"/>
        <v>Colissimo  Domicile - avec signature -- FR (6C)</v>
      </c>
      <c r="H112" s="2"/>
      <c r="I112" s="2"/>
      <c r="J112" s="2"/>
      <c r="K112" s="2" t="str">
        <f t="shared" si="7"/>
        <v>986737</v>
      </c>
      <c r="L112" s="2" t="str">
        <f>"1,850 kg"</f>
        <v>1,850 kg</v>
      </c>
    </row>
    <row r="113" spans="1:12" x14ac:dyDescent="0.3">
      <c r="A113" s="2" t="str">
        <f>"6C17160880618"</f>
        <v>6C17160880618</v>
      </c>
      <c r="B113" s="2" t="str">
        <f>"7,900 kg"</f>
        <v>7,900 kg</v>
      </c>
      <c r="C113" s="2" t="str">
        <f>"8,000 kg"</f>
        <v>8,000 kg</v>
      </c>
      <c r="D113" s="2" t="str">
        <f>"8,000 kg"</f>
        <v>8,000 kg</v>
      </c>
      <c r="E113" s="2" t="str">
        <f t="shared" si="6"/>
        <v>Domicile</v>
      </c>
      <c r="F113" s="2" t="str">
        <f t="shared" si="14"/>
        <v>6C</v>
      </c>
      <c r="G113" s="2" t="str">
        <f t="shared" si="15"/>
        <v>Colissimo  Domicile - avec signature -- FR (6C)</v>
      </c>
      <c r="H113" s="2"/>
      <c r="I113" s="2"/>
      <c r="J113" s="2"/>
      <c r="K113" s="2" t="str">
        <f t="shared" si="7"/>
        <v>986737</v>
      </c>
      <c r="L113" s="2" t="str">
        <f>"8,000 kg"</f>
        <v>8,000 kg</v>
      </c>
    </row>
    <row r="114" spans="1:12" x14ac:dyDescent="0.3">
      <c r="A114" s="2" t="str">
        <f>"6C17161054391"</f>
        <v>6C17161054391</v>
      </c>
      <c r="B114" s="2"/>
      <c r="C114" s="2" t="str">
        <f>"1,850 kg"</f>
        <v>1,850 kg</v>
      </c>
      <c r="D114" s="2" t="str">
        <f>"1,850 kg"</f>
        <v>1,850 kg</v>
      </c>
      <c r="E114" s="2" t="str">
        <f t="shared" si="6"/>
        <v>Domicile</v>
      </c>
      <c r="F114" s="2" t="str">
        <f t="shared" si="14"/>
        <v>6C</v>
      </c>
      <c r="G114" s="2" t="str">
        <f t="shared" si="15"/>
        <v>Colissimo  Domicile - avec signature -- FR (6C)</v>
      </c>
      <c r="H114" s="2"/>
      <c r="I114" s="2"/>
      <c r="J114" s="2"/>
      <c r="K114" s="2" t="str">
        <f t="shared" si="7"/>
        <v>986737</v>
      </c>
      <c r="L114" s="2" t="str">
        <f>"1,850 kg"</f>
        <v>1,850 kg</v>
      </c>
    </row>
    <row r="115" spans="1:12" x14ac:dyDescent="0.3">
      <c r="A115" s="2" t="str">
        <f>"6C17245616019"</f>
        <v>6C17245616019</v>
      </c>
      <c r="B115" s="2" t="str">
        <f>"11,530 kg"</f>
        <v>11,530 kg</v>
      </c>
      <c r="C115" s="2" t="str">
        <f>"11,550 kg"</f>
        <v>11,550 kg</v>
      </c>
      <c r="D115" s="2" t="str">
        <f>"11,550 kg"</f>
        <v>11,550 kg</v>
      </c>
      <c r="E115" s="2" t="str">
        <f t="shared" si="6"/>
        <v>Domicile</v>
      </c>
      <c r="F115" s="2" t="str">
        <f t="shared" si="14"/>
        <v>6C</v>
      </c>
      <c r="G115" s="2" t="str">
        <f t="shared" si="15"/>
        <v>Colissimo  Domicile - avec signature -- FR (6C)</v>
      </c>
      <c r="H115" s="2"/>
      <c r="I115" s="2"/>
      <c r="J115" s="2"/>
      <c r="K115" s="2" t="str">
        <f t="shared" si="7"/>
        <v>986737</v>
      </c>
      <c r="L115" s="2" t="str">
        <f>"11,550 kg"</f>
        <v>11,550 kg</v>
      </c>
    </row>
    <row r="116" spans="1:12" x14ac:dyDescent="0.3">
      <c r="A116" s="2" t="str">
        <f>"6C17215181622"</f>
        <v>6C17215181622</v>
      </c>
      <c r="B116" s="2" t="str">
        <f>"1,840 kg"</f>
        <v>1,840 kg</v>
      </c>
      <c r="C116" s="2" t="str">
        <f>"1,850 kg"</f>
        <v>1,850 kg</v>
      </c>
      <c r="D116" s="2" t="str">
        <f>"1,850 kg"</f>
        <v>1,850 kg</v>
      </c>
      <c r="E116" s="2" t="str">
        <f t="shared" si="6"/>
        <v>Domicile</v>
      </c>
      <c r="F116" s="2" t="str">
        <f t="shared" si="14"/>
        <v>6C</v>
      </c>
      <c r="G116" s="2" t="str">
        <f t="shared" si="15"/>
        <v>Colissimo  Domicile - avec signature -- FR (6C)</v>
      </c>
      <c r="H116" s="2"/>
      <c r="I116" s="2"/>
      <c r="J116" s="2"/>
      <c r="K116" s="2" t="str">
        <f t="shared" si="7"/>
        <v>986737</v>
      </c>
      <c r="L116" s="2" t="str">
        <f>"1,850 kg"</f>
        <v>1,850 kg</v>
      </c>
    </row>
    <row r="117" spans="1:12" x14ac:dyDescent="0.3">
      <c r="A117" s="2" t="str">
        <f>"6C17320976250"</f>
        <v>6C17320976250</v>
      </c>
      <c r="B117" s="2"/>
      <c r="C117" s="2" t="str">
        <f>"1,850 kg"</f>
        <v>1,850 kg</v>
      </c>
      <c r="D117" s="2" t="str">
        <f>"1,850 kg"</f>
        <v>1,850 kg</v>
      </c>
      <c r="E117" s="2" t="str">
        <f t="shared" si="6"/>
        <v>Domicile</v>
      </c>
      <c r="F117" s="2" t="str">
        <f t="shared" si="14"/>
        <v>6C</v>
      </c>
      <c r="G117" s="2" t="str">
        <f t="shared" si="15"/>
        <v>Colissimo  Domicile - avec signature -- FR (6C)</v>
      </c>
      <c r="H117" s="2"/>
      <c r="I117" s="2"/>
      <c r="J117" s="2"/>
      <c r="K117" s="2" t="str">
        <f t="shared" si="7"/>
        <v>986737</v>
      </c>
      <c r="L117" s="2"/>
    </row>
    <row r="118" spans="1:12" x14ac:dyDescent="0.3">
      <c r="A118" s="2" t="str">
        <f>"6C15627873128"</f>
        <v>6C15627873128</v>
      </c>
      <c r="B118" s="2" t="str">
        <f>"0,490 kg"</f>
        <v>0,490 kg</v>
      </c>
      <c r="C118" s="2" t="str">
        <f>"0,500 kg"</f>
        <v>0,500 kg</v>
      </c>
      <c r="D118" s="2" t="str">
        <f>"0,500 kg"</f>
        <v>0,500 kg</v>
      </c>
      <c r="E118" s="2" t="str">
        <f t="shared" si="6"/>
        <v>Domicile</v>
      </c>
      <c r="F118" s="2" t="str">
        <f t="shared" si="14"/>
        <v>6C</v>
      </c>
      <c r="G118" s="2" t="str">
        <f t="shared" si="15"/>
        <v>Colissimo  Domicile - avec signature -- FR (6C)</v>
      </c>
      <c r="H118" s="2"/>
      <c r="I118" s="2"/>
      <c r="J118" s="2"/>
      <c r="K118" s="2" t="str">
        <f t="shared" si="7"/>
        <v>986737</v>
      </c>
      <c r="L118" s="2" t="str">
        <f>"0,500 kg"</f>
        <v>0,500 kg</v>
      </c>
    </row>
    <row r="119" spans="1:12" x14ac:dyDescent="0.3">
      <c r="A119" s="2" t="str">
        <f>"6A25285087447"</f>
        <v>6A25285087447</v>
      </c>
      <c r="B119" s="2" t="str">
        <f>"0,710 kg"</f>
        <v>0,710 kg</v>
      </c>
      <c r="C119" s="2" t="str">
        <f>"0,850 kg"</f>
        <v>0,850 kg</v>
      </c>
      <c r="D119" s="2" t="str">
        <f>"0,850 kg"</f>
        <v>0,850 kg</v>
      </c>
      <c r="E119" s="2" t="str">
        <f t="shared" si="6"/>
        <v>Domicile</v>
      </c>
      <c r="F119" s="2" t="str">
        <f>"6A"</f>
        <v>6A</v>
      </c>
      <c r="G119" s="2" t="str">
        <f>"Colissimo  Domicile - sans signature -- FR (6A)"</f>
        <v>Colissimo  Domicile - sans signature -- FR (6A)</v>
      </c>
      <c r="H119" s="2"/>
      <c r="I119" s="2"/>
      <c r="J119" s="2"/>
      <c r="K119" s="2" t="str">
        <f t="shared" si="7"/>
        <v>986737</v>
      </c>
      <c r="L119" s="2" t="str">
        <f>"0,850 kg"</f>
        <v>0,850 kg</v>
      </c>
    </row>
    <row r="120" spans="1:12" x14ac:dyDescent="0.3">
      <c r="A120" s="2" t="str">
        <f>"6A25288024586"</f>
        <v>6A25288024586</v>
      </c>
      <c r="B120" s="2" t="str">
        <f>"0,710 kg"</f>
        <v>0,710 kg</v>
      </c>
      <c r="C120" s="2" t="str">
        <f>"0,700 kg"</f>
        <v>0,700 kg</v>
      </c>
      <c r="D120" s="2" t="str">
        <f>"0,700 kg"</f>
        <v>0,700 kg</v>
      </c>
      <c r="E120" s="2" t="str">
        <f t="shared" si="6"/>
        <v>Domicile</v>
      </c>
      <c r="F120" s="2" t="str">
        <f>"6A"</f>
        <v>6A</v>
      </c>
      <c r="G120" s="2" t="str">
        <f>"Colissimo  Domicile - sans signature -- FR (6A)"</f>
        <v>Colissimo  Domicile - sans signature -- FR (6A)</v>
      </c>
      <c r="H120" s="2"/>
      <c r="I120" s="2"/>
      <c r="J120" s="2"/>
      <c r="K120" s="2" t="str">
        <f t="shared" si="7"/>
        <v>986737</v>
      </c>
      <c r="L120" s="2" t="str">
        <f>"0,700 kg"</f>
        <v>0,700 kg</v>
      </c>
    </row>
    <row r="121" spans="1:12" x14ac:dyDescent="0.3">
      <c r="A121" s="2" t="str">
        <f>"6C15580782048"</f>
        <v>6C15580782048</v>
      </c>
      <c r="B121" s="2" t="str">
        <f>"6,210 kg"</f>
        <v>6,210 kg</v>
      </c>
      <c r="C121" s="2" t="str">
        <f>"6,200 kg"</f>
        <v>6,200 kg</v>
      </c>
      <c r="D121" s="2" t="str">
        <f>"6,200 kg"</f>
        <v>6,200 kg</v>
      </c>
      <c r="E121" s="2" t="str">
        <f t="shared" si="6"/>
        <v>Domicile</v>
      </c>
      <c r="F121" s="2" t="str">
        <f>"6C"</f>
        <v>6C</v>
      </c>
      <c r="G121" s="2" t="str">
        <f>"Colissimo  Domicile - avec signature -- FR (6C)"</f>
        <v>Colissimo  Domicile - avec signature -- FR (6C)</v>
      </c>
      <c r="H121" s="2"/>
      <c r="I121" s="2"/>
      <c r="J121" s="2"/>
      <c r="K121" s="2" t="str">
        <f t="shared" si="7"/>
        <v>986737</v>
      </c>
      <c r="L121" s="2" t="str">
        <f>"6,200 kg"</f>
        <v>6,200 kg</v>
      </c>
    </row>
    <row r="122" spans="1:12" x14ac:dyDescent="0.3">
      <c r="A122" s="2" t="str">
        <f>"6A25192370403"</f>
        <v>6A25192370403</v>
      </c>
      <c r="B122" s="2" t="str">
        <f>"0,710 kg"</f>
        <v>0,710 kg</v>
      </c>
      <c r="C122" s="2" t="str">
        <f>"0,700 kg"</f>
        <v>0,700 kg</v>
      </c>
      <c r="D122" s="2" t="str">
        <f>"0,700 kg"</f>
        <v>0,700 kg</v>
      </c>
      <c r="E122" s="2" t="str">
        <f t="shared" si="6"/>
        <v>Domicile</v>
      </c>
      <c r="F122" s="2" t="str">
        <f>"6A"</f>
        <v>6A</v>
      </c>
      <c r="G122" s="2" t="str">
        <f>"Colissimo  Domicile - sans signature -- FR (6A)"</f>
        <v>Colissimo  Domicile - sans signature -- FR (6A)</v>
      </c>
      <c r="H122" s="2"/>
      <c r="I122" s="2"/>
      <c r="J122" s="2"/>
      <c r="K122" s="2" t="str">
        <f t="shared" si="7"/>
        <v>986737</v>
      </c>
      <c r="L122" s="2" t="str">
        <f>"0,700 kg"</f>
        <v>0,700 kg</v>
      </c>
    </row>
    <row r="123" spans="1:12" x14ac:dyDescent="0.3">
      <c r="A123" s="2" t="str">
        <f>"6A25192370410"</f>
        <v>6A25192370410</v>
      </c>
      <c r="B123" s="2" t="str">
        <f>"0,710 kg"</f>
        <v>0,710 kg</v>
      </c>
      <c r="C123" s="2" t="str">
        <f>"0,700 kg"</f>
        <v>0,700 kg</v>
      </c>
      <c r="D123" s="2" t="str">
        <f>"0,700 kg"</f>
        <v>0,700 kg</v>
      </c>
      <c r="E123" s="2" t="str">
        <f t="shared" si="6"/>
        <v>Domicile</v>
      </c>
      <c r="F123" s="2" t="str">
        <f>"6A"</f>
        <v>6A</v>
      </c>
      <c r="G123" s="2" t="str">
        <f>"Colissimo  Domicile - sans signature -- FR (6A)"</f>
        <v>Colissimo  Domicile - sans signature -- FR (6A)</v>
      </c>
      <c r="H123" s="2"/>
      <c r="I123" s="2"/>
      <c r="J123" s="2"/>
      <c r="K123" s="2" t="str">
        <f t="shared" si="7"/>
        <v>986737</v>
      </c>
      <c r="L123" s="2" t="str">
        <f>"0,700 kg"</f>
        <v>0,700 kg</v>
      </c>
    </row>
    <row r="124" spans="1:12" x14ac:dyDescent="0.3">
      <c r="A124" s="2" t="str">
        <f>"6C15577943896"</f>
        <v>6C15577943896</v>
      </c>
      <c r="B124" s="2" t="str">
        <f>"0,650 kg"</f>
        <v>0,650 kg</v>
      </c>
      <c r="C124" s="2" t="str">
        <f>"0,750 kg"</f>
        <v>0,750 kg</v>
      </c>
      <c r="D124" s="2" t="str">
        <f>"0,750 kg"</f>
        <v>0,750 kg</v>
      </c>
      <c r="E124" s="2" t="str">
        <f t="shared" si="6"/>
        <v>Domicile</v>
      </c>
      <c r="F124" s="2" t="str">
        <f>"6C"</f>
        <v>6C</v>
      </c>
      <c r="G124" s="2" t="str">
        <f>"Colissimo  Domicile - avec signature -- FR (6C)"</f>
        <v>Colissimo  Domicile - avec signature -- FR (6C)</v>
      </c>
      <c r="H124" s="2"/>
      <c r="I124" s="2"/>
      <c r="J124" s="2"/>
      <c r="K124" s="2" t="str">
        <f t="shared" si="7"/>
        <v>986737</v>
      </c>
      <c r="L124" s="2" t="str">
        <f>"0,750 kg"</f>
        <v>0,750 kg</v>
      </c>
    </row>
    <row r="125" spans="1:12" x14ac:dyDescent="0.3">
      <c r="A125" s="2" t="str">
        <f>"6C15603040056"</f>
        <v>6C15603040056</v>
      </c>
      <c r="B125" s="2" t="str">
        <f>"1,320 kg"</f>
        <v>1,320 kg</v>
      </c>
      <c r="C125" s="2" t="str">
        <f>"1,300 kg"</f>
        <v>1,300 kg</v>
      </c>
      <c r="D125" s="2" t="str">
        <f>"1,300 kg"</f>
        <v>1,300 kg</v>
      </c>
      <c r="E125" s="2" t="str">
        <f t="shared" si="6"/>
        <v>Domicile</v>
      </c>
      <c r="F125" s="2" t="str">
        <f>"6C"</f>
        <v>6C</v>
      </c>
      <c r="G125" s="2" t="str">
        <f>"Colissimo  Domicile - avec signature -- FR (6C)"</f>
        <v>Colissimo  Domicile - avec signature -- FR (6C)</v>
      </c>
      <c r="H125" s="2"/>
      <c r="I125" s="2"/>
      <c r="J125" s="2"/>
      <c r="K125" s="2" t="str">
        <f t="shared" si="7"/>
        <v>986737</v>
      </c>
      <c r="L125" s="2" t="str">
        <f>"1,300 kg"</f>
        <v>1,300 kg</v>
      </c>
    </row>
    <row r="126" spans="1:12" x14ac:dyDescent="0.3">
      <c r="A126" s="2" t="str">
        <f>"6A25192370298"</f>
        <v>6A25192370298</v>
      </c>
      <c r="B126" s="2" t="str">
        <f>"0,710 kg"</f>
        <v>0,710 kg</v>
      </c>
      <c r="C126" s="2" t="str">
        <f t="shared" ref="C126:D128" si="16">"0,700 kg"</f>
        <v>0,700 kg</v>
      </c>
      <c r="D126" s="2" t="str">
        <f t="shared" si="16"/>
        <v>0,700 kg</v>
      </c>
      <c r="E126" s="2" t="str">
        <f t="shared" si="6"/>
        <v>Domicile</v>
      </c>
      <c r="F126" s="2" t="str">
        <f>"6A"</f>
        <v>6A</v>
      </c>
      <c r="G126" s="2" t="str">
        <f>"Colissimo  Domicile - sans signature -- FR (6A)"</f>
        <v>Colissimo  Domicile - sans signature -- FR (6A)</v>
      </c>
      <c r="H126" s="2"/>
      <c r="I126" s="2"/>
      <c r="J126" s="2"/>
      <c r="K126" s="2" t="str">
        <f t="shared" si="7"/>
        <v>986737</v>
      </c>
      <c r="L126" s="2" t="str">
        <f>"0,700 kg"</f>
        <v>0,700 kg</v>
      </c>
    </row>
    <row r="127" spans="1:12" x14ac:dyDescent="0.3">
      <c r="A127" s="2" t="str">
        <f>"6C15580943135"</f>
        <v>6C15580943135</v>
      </c>
      <c r="B127" s="2" t="str">
        <f>"0,650 kg"</f>
        <v>0,650 kg</v>
      </c>
      <c r="C127" s="2" t="str">
        <f t="shared" si="16"/>
        <v>0,700 kg</v>
      </c>
      <c r="D127" s="2" t="str">
        <f t="shared" si="16"/>
        <v>0,700 kg</v>
      </c>
      <c r="E127" s="2" t="str">
        <f t="shared" si="6"/>
        <v>Domicile</v>
      </c>
      <c r="F127" s="2" t="str">
        <f>"6C"</f>
        <v>6C</v>
      </c>
      <c r="G127" s="2" t="str">
        <f>"Colissimo  Domicile - avec signature -- FR (6C)"</f>
        <v>Colissimo  Domicile - avec signature -- FR (6C)</v>
      </c>
      <c r="H127" s="2"/>
      <c r="I127" s="2"/>
      <c r="J127" s="2"/>
      <c r="K127" s="2" t="str">
        <f t="shared" si="7"/>
        <v>986737</v>
      </c>
      <c r="L127" s="2" t="str">
        <f>"0,700 kg"</f>
        <v>0,700 kg</v>
      </c>
    </row>
    <row r="128" spans="1:12" x14ac:dyDescent="0.3">
      <c r="A128" s="2" t="str">
        <f>"6A25287909884"</f>
        <v>6A25287909884</v>
      </c>
      <c r="B128" s="2" t="str">
        <f>"0,710 kg"</f>
        <v>0,710 kg</v>
      </c>
      <c r="C128" s="2" t="str">
        <f t="shared" si="16"/>
        <v>0,700 kg</v>
      </c>
      <c r="D128" s="2" t="str">
        <f t="shared" si="16"/>
        <v>0,700 kg</v>
      </c>
      <c r="E128" s="2" t="str">
        <f t="shared" si="6"/>
        <v>Domicile</v>
      </c>
      <c r="F128" s="2" t="str">
        <f>"6A"</f>
        <v>6A</v>
      </c>
      <c r="G128" s="2" t="str">
        <f>"Colissimo  Domicile - sans signature -- FR (6A)"</f>
        <v>Colissimo  Domicile - sans signature -- FR (6A)</v>
      </c>
      <c r="H128" s="2"/>
      <c r="I128" s="2"/>
      <c r="J128" s="2"/>
      <c r="K128" s="2" t="str">
        <f t="shared" si="7"/>
        <v>986737</v>
      </c>
      <c r="L128" s="2" t="str">
        <f>"0,700 kg"</f>
        <v>0,700 kg</v>
      </c>
    </row>
    <row r="129" spans="1:12" x14ac:dyDescent="0.3">
      <c r="A129" s="2" t="str">
        <f>"6C15583649225"</f>
        <v>6C15583649225</v>
      </c>
      <c r="B129" s="2" t="str">
        <f>"5,050 kg"</f>
        <v>5,050 kg</v>
      </c>
      <c r="C129" s="2" t="str">
        <f>"4,980 kg"</f>
        <v>4,980 kg</v>
      </c>
      <c r="D129" s="2" t="str">
        <f>"5,000 kg"</f>
        <v>5,000 kg</v>
      </c>
      <c r="E129" s="2" t="str">
        <f t="shared" si="6"/>
        <v>Domicile</v>
      </c>
      <c r="F129" s="2" t="str">
        <f>"6C"</f>
        <v>6C</v>
      </c>
      <c r="G129" s="2" t="str">
        <f>"Colissimo  Domicile - avec signature -- FR (6C)"</f>
        <v>Colissimo  Domicile - avec signature -- FR (6C)</v>
      </c>
      <c r="H129" s="2"/>
      <c r="I129" s="2"/>
      <c r="J129" s="2"/>
      <c r="K129" s="2" t="str">
        <f t="shared" si="7"/>
        <v>986737</v>
      </c>
      <c r="L129" s="2" t="str">
        <f>"5,000 kg"</f>
        <v>5,000 kg</v>
      </c>
    </row>
    <row r="130" spans="1:12" x14ac:dyDescent="0.3">
      <c r="A130" s="2" t="str">
        <f>"6A25193922069"</f>
        <v>6A25193922069</v>
      </c>
      <c r="B130" s="2" t="str">
        <f>"0,710 kg"</f>
        <v>0,710 kg</v>
      </c>
      <c r="C130" s="2" t="str">
        <f t="shared" ref="C130:D132" si="17">"0,700 kg"</f>
        <v>0,700 kg</v>
      </c>
      <c r="D130" s="2" t="str">
        <f t="shared" si="17"/>
        <v>0,700 kg</v>
      </c>
      <c r="E130" s="2" t="str">
        <f t="shared" ref="E130:E193" si="18">"Domicile"</f>
        <v>Domicile</v>
      </c>
      <c r="F130" s="2" t="str">
        <f>"6A"</f>
        <v>6A</v>
      </c>
      <c r="G130" s="2" t="str">
        <f>"Colissimo  Domicile - sans signature -- FR (6A)"</f>
        <v>Colissimo  Domicile - sans signature -- FR (6A)</v>
      </c>
      <c r="H130" s="2"/>
      <c r="I130" s="2"/>
      <c r="J130" s="2"/>
      <c r="K130" s="2" t="str">
        <f t="shared" ref="K130:K193" si="19">"986737"</f>
        <v>986737</v>
      </c>
      <c r="L130" s="2" t="str">
        <f>"0,700 kg"</f>
        <v>0,700 kg</v>
      </c>
    </row>
    <row r="131" spans="1:12" x14ac:dyDescent="0.3">
      <c r="A131" s="2" t="str">
        <f>"6A25287910088"</f>
        <v>6A25287910088</v>
      </c>
      <c r="B131" s="2" t="str">
        <f>"0,710 kg"</f>
        <v>0,710 kg</v>
      </c>
      <c r="C131" s="2" t="str">
        <f t="shared" si="17"/>
        <v>0,700 kg</v>
      </c>
      <c r="D131" s="2" t="str">
        <f t="shared" si="17"/>
        <v>0,700 kg</v>
      </c>
      <c r="E131" s="2" t="str">
        <f t="shared" si="18"/>
        <v>Domicile</v>
      </c>
      <c r="F131" s="2" t="str">
        <f>"6A"</f>
        <v>6A</v>
      </c>
      <c r="G131" s="2" t="str">
        <f>"Colissimo  Domicile - sans signature -- FR (6A)"</f>
        <v>Colissimo  Domicile - sans signature -- FR (6A)</v>
      </c>
      <c r="H131" s="2"/>
      <c r="I131" s="2"/>
      <c r="J131" s="2"/>
      <c r="K131" s="2" t="str">
        <f t="shared" si="19"/>
        <v>986737</v>
      </c>
      <c r="L131" s="2" t="str">
        <f>"0,700 kg"</f>
        <v>0,700 kg</v>
      </c>
    </row>
    <row r="132" spans="1:12" x14ac:dyDescent="0.3">
      <c r="A132" s="2" t="str">
        <f>"6C15580294213"</f>
        <v>6C15580294213</v>
      </c>
      <c r="B132" s="2" t="str">
        <f>"0,650 kg"</f>
        <v>0,650 kg</v>
      </c>
      <c r="C132" s="2" t="str">
        <f t="shared" si="17"/>
        <v>0,700 kg</v>
      </c>
      <c r="D132" s="2" t="str">
        <f t="shared" si="17"/>
        <v>0,700 kg</v>
      </c>
      <c r="E132" s="2" t="str">
        <f t="shared" si="18"/>
        <v>Domicile</v>
      </c>
      <c r="F132" s="2" t="str">
        <f>"6C"</f>
        <v>6C</v>
      </c>
      <c r="G132" s="2" t="str">
        <f>"Colissimo  Domicile - avec signature -- FR (6C)"</f>
        <v>Colissimo  Domicile - avec signature -- FR (6C)</v>
      </c>
      <c r="H132" s="2"/>
      <c r="I132" s="2"/>
      <c r="J132" s="2"/>
      <c r="K132" s="2" t="str">
        <f t="shared" si="19"/>
        <v>986737</v>
      </c>
      <c r="L132" s="2" t="str">
        <f>"0,700 kg"</f>
        <v>0,700 kg</v>
      </c>
    </row>
    <row r="133" spans="1:12" x14ac:dyDescent="0.3">
      <c r="A133" s="2" t="str">
        <f>"6A25189805161"</f>
        <v>6A25189805161</v>
      </c>
      <c r="B133" s="2" t="str">
        <f>"0,010 kg"</f>
        <v>0,010 kg</v>
      </c>
      <c r="C133" s="2" t="str">
        <f>"6,200 kg"</f>
        <v>6,200 kg</v>
      </c>
      <c r="D133" s="2" t="str">
        <f>"6,200 kg"</f>
        <v>6,200 kg</v>
      </c>
      <c r="E133" s="2" t="str">
        <f t="shared" si="18"/>
        <v>Domicile</v>
      </c>
      <c r="F133" s="2" t="str">
        <f>"6A"</f>
        <v>6A</v>
      </c>
      <c r="G133" s="2" t="str">
        <f>"Colissimo  Domicile - sans signature -- FR (6A)"</f>
        <v>Colissimo  Domicile - sans signature -- FR (6A)</v>
      </c>
      <c r="H133" s="2"/>
      <c r="I133" s="2"/>
      <c r="J133" s="2"/>
      <c r="K133" s="2" t="str">
        <f t="shared" si="19"/>
        <v>986737</v>
      </c>
      <c r="L133" s="2" t="str">
        <f>"6,200 kg"</f>
        <v>6,200 kg</v>
      </c>
    </row>
    <row r="134" spans="1:12" x14ac:dyDescent="0.3">
      <c r="A134" s="2" t="str">
        <f>"6A25289886299"</f>
        <v>6A25289886299</v>
      </c>
      <c r="B134" s="2" t="str">
        <f>"0,710 kg"</f>
        <v>0,710 kg</v>
      </c>
      <c r="C134" s="2" t="str">
        <f>"0,850 kg"</f>
        <v>0,850 kg</v>
      </c>
      <c r="D134" s="2" t="str">
        <f>"0,850 kg"</f>
        <v>0,850 kg</v>
      </c>
      <c r="E134" s="2" t="str">
        <f t="shared" si="18"/>
        <v>Domicile</v>
      </c>
      <c r="F134" s="2" t="str">
        <f>"6A"</f>
        <v>6A</v>
      </c>
      <c r="G134" s="2" t="str">
        <f>"Colissimo  Domicile - sans signature -- FR (6A)"</f>
        <v>Colissimo  Domicile - sans signature -- FR (6A)</v>
      </c>
      <c r="H134" s="2"/>
      <c r="I134" s="2"/>
      <c r="J134" s="2"/>
      <c r="K134" s="2" t="str">
        <f t="shared" si="19"/>
        <v>986737</v>
      </c>
      <c r="L134" s="2" t="str">
        <f>"0,850 kg"</f>
        <v>0,850 kg</v>
      </c>
    </row>
    <row r="135" spans="1:12" x14ac:dyDescent="0.3">
      <c r="A135" s="2" t="str">
        <f>"6C15577943643"</f>
        <v>6C15577943643</v>
      </c>
      <c r="B135" s="2" t="str">
        <f>"0,650 kg"</f>
        <v>0,650 kg</v>
      </c>
      <c r="C135" s="2" t="str">
        <f>"0,700 kg"</f>
        <v>0,700 kg</v>
      </c>
      <c r="D135" s="2" t="str">
        <f>"0,700 kg"</f>
        <v>0,700 kg</v>
      </c>
      <c r="E135" s="2" t="str">
        <f t="shared" si="18"/>
        <v>Domicile</v>
      </c>
      <c r="F135" s="2" t="str">
        <f>"6C"</f>
        <v>6C</v>
      </c>
      <c r="G135" s="2" t="str">
        <f>"Colissimo  Domicile - avec signature -- FR (6C)"</f>
        <v>Colissimo  Domicile - avec signature -- FR (6C)</v>
      </c>
      <c r="H135" s="2"/>
      <c r="I135" s="2"/>
      <c r="J135" s="2"/>
      <c r="K135" s="2" t="str">
        <f t="shared" si="19"/>
        <v>986737</v>
      </c>
      <c r="L135" s="2" t="str">
        <f>"0,700 kg"</f>
        <v>0,700 kg</v>
      </c>
    </row>
    <row r="136" spans="1:12" x14ac:dyDescent="0.3">
      <c r="A136" s="2" t="str">
        <f>"6C15578984362"</f>
        <v>6C15578984362</v>
      </c>
      <c r="B136" s="2" t="str">
        <f>"6,210 kg"</f>
        <v>6,210 kg</v>
      </c>
      <c r="C136" s="2" t="str">
        <f>"6,200 kg"</f>
        <v>6,200 kg</v>
      </c>
      <c r="D136" s="2" t="str">
        <f>"6,200 kg"</f>
        <v>6,200 kg</v>
      </c>
      <c r="E136" s="2" t="str">
        <f t="shared" si="18"/>
        <v>Domicile</v>
      </c>
      <c r="F136" s="2" t="str">
        <f>"6C"</f>
        <v>6C</v>
      </c>
      <c r="G136" s="2" t="str">
        <f>"Colissimo  Domicile - avec signature -- FR (6C)"</f>
        <v>Colissimo  Domicile - avec signature -- FR (6C)</v>
      </c>
      <c r="H136" s="2"/>
      <c r="I136" s="2"/>
      <c r="J136" s="2"/>
      <c r="K136" s="2" t="str">
        <f t="shared" si="19"/>
        <v>986737</v>
      </c>
      <c r="L136" s="2" t="str">
        <f>"6,200 kg"</f>
        <v>6,200 kg</v>
      </c>
    </row>
    <row r="137" spans="1:12" x14ac:dyDescent="0.3">
      <c r="A137" s="2" t="str">
        <f>"6A25192370175"</f>
        <v>6A25192370175</v>
      </c>
      <c r="B137" s="2" t="str">
        <f>"0,710 kg"</f>
        <v>0,710 kg</v>
      </c>
      <c r="C137" s="2" t="str">
        <f>"0,700 kg"</f>
        <v>0,700 kg</v>
      </c>
      <c r="D137" s="2" t="str">
        <f>"0,700 kg"</f>
        <v>0,700 kg</v>
      </c>
      <c r="E137" s="2" t="str">
        <f t="shared" si="18"/>
        <v>Domicile</v>
      </c>
      <c r="F137" s="2" t="str">
        <f>"6A"</f>
        <v>6A</v>
      </c>
      <c r="G137" s="2" t="str">
        <f>"Colissimo  Domicile - sans signature -- FR (6A)"</f>
        <v>Colissimo  Domicile - sans signature -- FR (6A)</v>
      </c>
      <c r="H137" s="2"/>
      <c r="I137" s="2"/>
      <c r="J137" s="2"/>
      <c r="K137" s="2" t="str">
        <f t="shared" si="19"/>
        <v>986737</v>
      </c>
      <c r="L137" s="2" t="str">
        <f>"0,700 kg"</f>
        <v>0,700 kg</v>
      </c>
    </row>
    <row r="138" spans="1:12" x14ac:dyDescent="0.3">
      <c r="A138" s="2" t="str">
        <f>"6A25233222180"</f>
        <v>6A25233222180</v>
      </c>
      <c r="B138" s="2" t="str">
        <f>"10,220 kg"</f>
        <v>10,220 kg</v>
      </c>
      <c r="C138" s="2" t="str">
        <f>"10,150 kg"</f>
        <v>10,150 kg</v>
      </c>
      <c r="D138" s="2" t="str">
        <f>"10,150 kg"</f>
        <v>10,150 kg</v>
      </c>
      <c r="E138" s="2" t="str">
        <f t="shared" si="18"/>
        <v>Domicile</v>
      </c>
      <c r="F138" s="2" t="str">
        <f>"6A"</f>
        <v>6A</v>
      </c>
      <c r="G138" s="2" t="str">
        <f>"Colissimo  Domicile - sans signature -- FR (6A)"</f>
        <v>Colissimo  Domicile - sans signature -- FR (6A)</v>
      </c>
      <c r="H138" s="2"/>
      <c r="I138" s="2"/>
      <c r="J138" s="2"/>
      <c r="K138" s="2" t="str">
        <f t="shared" si="19"/>
        <v>986737</v>
      </c>
      <c r="L138" s="2" t="str">
        <f>"10,150 kg"</f>
        <v>10,150 kg</v>
      </c>
    </row>
    <row r="139" spans="1:12" x14ac:dyDescent="0.3">
      <c r="A139" s="2" t="str">
        <f>"6C15605415753"</f>
        <v>6C15605415753</v>
      </c>
      <c r="B139" s="2" t="str">
        <f>"1,850 kg"</f>
        <v>1,850 kg</v>
      </c>
      <c r="C139" s="2" t="str">
        <f>"1,850 kg"</f>
        <v>1,850 kg</v>
      </c>
      <c r="D139" s="2" t="str">
        <f>"1,850 kg"</f>
        <v>1,850 kg</v>
      </c>
      <c r="E139" s="2" t="str">
        <f t="shared" si="18"/>
        <v>Domicile</v>
      </c>
      <c r="F139" s="2" t="str">
        <f>"6C"</f>
        <v>6C</v>
      </c>
      <c r="G139" s="2" t="str">
        <f>"Colissimo  Domicile - avec signature -- FR (6C)"</f>
        <v>Colissimo  Domicile - avec signature -- FR (6C)</v>
      </c>
      <c r="H139" s="2"/>
      <c r="I139" s="2"/>
      <c r="J139" s="2"/>
      <c r="K139" s="2" t="str">
        <f t="shared" si="19"/>
        <v>986737</v>
      </c>
      <c r="L139" s="2" t="str">
        <f>"1,850 kg"</f>
        <v>1,850 kg</v>
      </c>
    </row>
    <row r="140" spans="1:12" x14ac:dyDescent="0.3">
      <c r="A140" s="2" t="str">
        <f>"6C15627873043"</f>
        <v>6C15627873043</v>
      </c>
      <c r="B140" s="2" t="str">
        <f>"0,490 kg"</f>
        <v>0,490 kg</v>
      </c>
      <c r="C140" s="2" t="str">
        <f>"0,530 kg"</f>
        <v>0,530 kg</v>
      </c>
      <c r="D140" s="2" t="str">
        <f>"0,490 kg"</f>
        <v>0,490 kg</v>
      </c>
      <c r="E140" s="2" t="str">
        <f t="shared" si="18"/>
        <v>Domicile</v>
      </c>
      <c r="F140" s="2" t="str">
        <f>"6C"</f>
        <v>6C</v>
      </c>
      <c r="G140" s="2" t="str">
        <f>"Colissimo  Domicile - avec signature -- FR (6C)"</f>
        <v>Colissimo  Domicile - avec signature -- FR (6C)</v>
      </c>
      <c r="H140" s="2"/>
      <c r="I140" s="2"/>
      <c r="J140" s="2"/>
      <c r="K140" s="2" t="str">
        <f t="shared" si="19"/>
        <v>986737</v>
      </c>
      <c r="L140" s="2"/>
    </row>
    <row r="141" spans="1:12" x14ac:dyDescent="0.3">
      <c r="A141" s="2" t="str">
        <f>"6C15579098037"</f>
        <v>6C15579098037</v>
      </c>
      <c r="B141" s="2" t="str">
        <f>"0,650 kg"</f>
        <v>0,650 kg</v>
      </c>
      <c r="C141" s="2" t="str">
        <f>"0,750 kg"</f>
        <v>0,750 kg</v>
      </c>
      <c r="D141" s="2" t="str">
        <f>"0,750 kg"</f>
        <v>0,750 kg</v>
      </c>
      <c r="E141" s="2" t="str">
        <f t="shared" si="18"/>
        <v>Domicile</v>
      </c>
      <c r="F141" s="2" t="str">
        <f>"6C"</f>
        <v>6C</v>
      </c>
      <c r="G141" s="2" t="str">
        <f>"Colissimo  Domicile - avec signature -- FR (6C)"</f>
        <v>Colissimo  Domicile - avec signature -- FR (6C)</v>
      </c>
      <c r="H141" s="2"/>
      <c r="I141" s="2"/>
      <c r="J141" s="2"/>
      <c r="K141" s="2" t="str">
        <f t="shared" si="19"/>
        <v>986737</v>
      </c>
      <c r="L141" s="2" t="str">
        <f>"0,750 kg"</f>
        <v>0,750 kg</v>
      </c>
    </row>
    <row r="142" spans="1:12" x14ac:dyDescent="0.3">
      <c r="A142" s="2" t="str">
        <f>"6C15586621655"</f>
        <v>6C15586621655</v>
      </c>
      <c r="B142" s="2" t="str">
        <f>"5,470 kg"</f>
        <v>5,470 kg</v>
      </c>
      <c r="C142" s="2" t="str">
        <f>"4,980 kg"</f>
        <v>4,980 kg</v>
      </c>
      <c r="D142" s="2" t="str">
        <f>"5,000 kg"</f>
        <v>5,000 kg</v>
      </c>
      <c r="E142" s="2" t="str">
        <f t="shared" si="18"/>
        <v>Domicile</v>
      </c>
      <c r="F142" s="2" t="str">
        <f>"6C"</f>
        <v>6C</v>
      </c>
      <c r="G142" s="2" t="str">
        <f>"Colissimo  Domicile - avec signature -- FR (6C)"</f>
        <v>Colissimo  Domicile - avec signature -- FR (6C)</v>
      </c>
      <c r="H142" s="2"/>
      <c r="I142" s="2"/>
      <c r="J142" s="2"/>
      <c r="K142" s="2" t="str">
        <f t="shared" si="19"/>
        <v>986737</v>
      </c>
      <c r="L142" s="2" t="str">
        <f>"5,000 kg"</f>
        <v>5,000 kg</v>
      </c>
    </row>
    <row r="143" spans="1:12" x14ac:dyDescent="0.3">
      <c r="A143" s="2" t="str">
        <f>"6A25192370458"</f>
        <v>6A25192370458</v>
      </c>
      <c r="B143" s="2" t="str">
        <f>"0,710 kg"</f>
        <v>0,710 kg</v>
      </c>
      <c r="C143" s="2" t="str">
        <f>"0,700 kg"</f>
        <v>0,700 kg</v>
      </c>
      <c r="D143" s="2" t="str">
        <f>"0,700 kg"</f>
        <v>0,700 kg</v>
      </c>
      <c r="E143" s="2" t="str">
        <f t="shared" si="18"/>
        <v>Domicile</v>
      </c>
      <c r="F143" s="2" t="str">
        <f t="shared" ref="F143:F149" si="20">"6A"</f>
        <v>6A</v>
      </c>
      <c r="G143" s="2" t="str">
        <f t="shared" ref="G143:G149" si="21">"Colissimo  Domicile - sans signature -- FR (6A)"</f>
        <v>Colissimo  Domicile - sans signature -- FR (6A)</v>
      </c>
      <c r="H143" s="2"/>
      <c r="I143" s="2"/>
      <c r="J143" s="2"/>
      <c r="K143" s="2" t="str">
        <f t="shared" si="19"/>
        <v>986737</v>
      </c>
      <c r="L143" s="2" t="str">
        <f>"0,700 kg"</f>
        <v>0,700 kg</v>
      </c>
    </row>
    <row r="144" spans="1:12" x14ac:dyDescent="0.3">
      <c r="A144" s="2" t="str">
        <f>"6A25192370182"</f>
        <v>6A25192370182</v>
      </c>
      <c r="B144" s="2" t="str">
        <f>"0,710 kg"</f>
        <v>0,710 kg</v>
      </c>
      <c r="C144" s="2" t="str">
        <f>"0,700 kg"</f>
        <v>0,700 kg</v>
      </c>
      <c r="D144" s="2" t="str">
        <f>"0,700 kg"</f>
        <v>0,700 kg</v>
      </c>
      <c r="E144" s="2" t="str">
        <f t="shared" si="18"/>
        <v>Domicile</v>
      </c>
      <c r="F144" s="2" t="str">
        <f t="shared" si="20"/>
        <v>6A</v>
      </c>
      <c r="G144" s="2" t="str">
        <f t="shared" si="21"/>
        <v>Colissimo  Domicile - sans signature -- FR (6A)</v>
      </c>
      <c r="H144" s="2"/>
      <c r="I144" s="2"/>
      <c r="J144" s="2"/>
      <c r="K144" s="2" t="str">
        <f t="shared" si="19"/>
        <v>986737</v>
      </c>
      <c r="L144" s="2" t="str">
        <f>"0,700 kg"</f>
        <v>0,700 kg</v>
      </c>
    </row>
    <row r="145" spans="1:12" x14ac:dyDescent="0.3">
      <c r="A145" s="2" t="str">
        <f>"6A25289886114"</f>
        <v>6A25289886114</v>
      </c>
      <c r="B145" s="2" t="str">
        <f>"0,710 kg"</f>
        <v>0,710 kg</v>
      </c>
      <c r="C145" s="2" t="str">
        <f>"0,850 kg"</f>
        <v>0,850 kg</v>
      </c>
      <c r="D145" s="2" t="str">
        <f>"0,850 kg"</f>
        <v>0,850 kg</v>
      </c>
      <c r="E145" s="2" t="str">
        <f t="shared" si="18"/>
        <v>Domicile</v>
      </c>
      <c r="F145" s="2" t="str">
        <f t="shared" si="20"/>
        <v>6A</v>
      </c>
      <c r="G145" s="2" t="str">
        <f t="shared" si="21"/>
        <v>Colissimo  Domicile - sans signature -- FR (6A)</v>
      </c>
      <c r="H145" s="2"/>
      <c r="I145" s="2"/>
      <c r="J145" s="2"/>
      <c r="K145" s="2" t="str">
        <f t="shared" si="19"/>
        <v>986737</v>
      </c>
      <c r="L145" s="2" t="str">
        <f>"0,850 kg"</f>
        <v>0,850 kg</v>
      </c>
    </row>
    <row r="146" spans="1:12" x14ac:dyDescent="0.3">
      <c r="A146" s="2" t="str">
        <f>"6A25288289121"</f>
        <v>6A25288289121</v>
      </c>
      <c r="B146" s="2" t="str">
        <f>"0,710 kg"</f>
        <v>0,710 kg</v>
      </c>
      <c r="C146" s="2" t="str">
        <f>"0,850 kg"</f>
        <v>0,850 kg</v>
      </c>
      <c r="D146" s="2" t="str">
        <f>"0,850 kg"</f>
        <v>0,850 kg</v>
      </c>
      <c r="E146" s="2" t="str">
        <f t="shared" si="18"/>
        <v>Domicile</v>
      </c>
      <c r="F146" s="2" t="str">
        <f t="shared" si="20"/>
        <v>6A</v>
      </c>
      <c r="G146" s="2" t="str">
        <f t="shared" si="21"/>
        <v>Colissimo  Domicile - sans signature -- FR (6A)</v>
      </c>
      <c r="H146" s="2"/>
      <c r="I146" s="2"/>
      <c r="J146" s="2"/>
      <c r="K146" s="2" t="str">
        <f t="shared" si="19"/>
        <v>986737</v>
      </c>
      <c r="L146" s="2" t="str">
        <f>"0,850 kg"</f>
        <v>0,850 kg</v>
      </c>
    </row>
    <row r="147" spans="1:12" x14ac:dyDescent="0.3">
      <c r="A147" s="2" t="str">
        <f>"6A25193161918"</f>
        <v>6A25193161918</v>
      </c>
      <c r="B147" s="2" t="str">
        <f>"6,210 kg"</f>
        <v>6,210 kg</v>
      </c>
      <c r="C147" s="2" t="str">
        <f>"6,200 kg"</f>
        <v>6,200 kg</v>
      </c>
      <c r="D147" s="2" t="str">
        <f>"6,200 kg"</f>
        <v>6,200 kg</v>
      </c>
      <c r="E147" s="2" t="str">
        <f t="shared" si="18"/>
        <v>Domicile</v>
      </c>
      <c r="F147" s="2" t="str">
        <f t="shared" si="20"/>
        <v>6A</v>
      </c>
      <c r="G147" s="2" t="str">
        <f t="shared" si="21"/>
        <v>Colissimo  Domicile - sans signature -- FR (6A)</v>
      </c>
      <c r="H147" s="2"/>
      <c r="I147" s="2"/>
      <c r="J147" s="2"/>
      <c r="K147" s="2" t="str">
        <f t="shared" si="19"/>
        <v>986737</v>
      </c>
      <c r="L147" s="2" t="str">
        <f>"6,200 kg"</f>
        <v>6,200 kg</v>
      </c>
    </row>
    <row r="148" spans="1:12" x14ac:dyDescent="0.3">
      <c r="A148" s="2" t="str">
        <f>"6A25284710476"</f>
        <v>6A25284710476</v>
      </c>
      <c r="B148" s="2"/>
      <c r="C148" s="2" t="str">
        <f>"0,700 kg"</f>
        <v>0,700 kg</v>
      </c>
      <c r="D148" s="2" t="str">
        <f>"0,700 kg"</f>
        <v>0,700 kg</v>
      </c>
      <c r="E148" s="2" t="str">
        <f t="shared" si="18"/>
        <v>Domicile</v>
      </c>
      <c r="F148" s="2" t="str">
        <f t="shared" si="20"/>
        <v>6A</v>
      </c>
      <c r="G148" s="2" t="str">
        <f t="shared" si="21"/>
        <v>Colissimo  Domicile - sans signature -- FR (6A)</v>
      </c>
      <c r="H148" s="2"/>
      <c r="I148" s="2"/>
      <c r="J148" s="2"/>
      <c r="K148" s="2" t="str">
        <f t="shared" si="19"/>
        <v>986737</v>
      </c>
      <c r="L148" s="2" t="str">
        <f>"0,700 kg"</f>
        <v>0,700 kg</v>
      </c>
    </row>
    <row r="149" spans="1:12" x14ac:dyDescent="0.3">
      <c r="A149" s="2" t="str">
        <f>"6A25284711176"</f>
        <v>6A25284711176</v>
      </c>
      <c r="B149" s="2" t="str">
        <f>"0,710 kg"</f>
        <v>0,710 kg</v>
      </c>
      <c r="C149" s="2" t="str">
        <f>"0,700 kg"</f>
        <v>0,700 kg</v>
      </c>
      <c r="D149" s="2" t="str">
        <f>"0,700 kg"</f>
        <v>0,700 kg</v>
      </c>
      <c r="E149" s="2" t="str">
        <f t="shared" si="18"/>
        <v>Domicile</v>
      </c>
      <c r="F149" s="2" t="str">
        <f t="shared" si="20"/>
        <v>6A</v>
      </c>
      <c r="G149" s="2" t="str">
        <f t="shared" si="21"/>
        <v>Colissimo  Domicile - sans signature -- FR (6A)</v>
      </c>
      <c r="H149" s="2"/>
      <c r="I149" s="2"/>
      <c r="J149" s="2"/>
      <c r="K149" s="2" t="str">
        <f t="shared" si="19"/>
        <v>986737</v>
      </c>
      <c r="L149" s="2" t="str">
        <f>"0,700 kg"</f>
        <v>0,700 kg</v>
      </c>
    </row>
    <row r="150" spans="1:12" x14ac:dyDescent="0.3">
      <c r="A150" s="2" t="str">
        <f>"6C15572057376"</f>
        <v>6C15572057376</v>
      </c>
      <c r="B150" s="2" t="str">
        <f>"1,950 kg"</f>
        <v>1,950 kg</v>
      </c>
      <c r="C150" s="2" t="str">
        <f>"1,950 kg"</f>
        <v>1,950 kg</v>
      </c>
      <c r="D150" s="2" t="str">
        <f>"1,950 kg"</f>
        <v>1,950 kg</v>
      </c>
      <c r="E150" s="2" t="str">
        <f t="shared" si="18"/>
        <v>Domicile</v>
      </c>
      <c r="F150" s="2" t="str">
        <f>"6C"</f>
        <v>6C</v>
      </c>
      <c r="G150" s="2" t="str">
        <f>"Colissimo  Domicile - avec signature -- FR (6C)"</f>
        <v>Colissimo  Domicile - avec signature -- FR (6C)</v>
      </c>
      <c r="H150" s="2"/>
      <c r="I150" s="2"/>
      <c r="J150" s="2"/>
      <c r="K150" s="2" t="str">
        <f t="shared" si="19"/>
        <v>986737</v>
      </c>
      <c r="L150" s="2" t="str">
        <f>"1,950 kg"</f>
        <v>1,950 kg</v>
      </c>
    </row>
    <row r="151" spans="1:12" x14ac:dyDescent="0.3">
      <c r="A151" s="2" t="str">
        <f>"6A25285087560"</f>
        <v>6A25285087560</v>
      </c>
      <c r="B151" s="2" t="str">
        <f>"0,710 kg"</f>
        <v>0,710 kg</v>
      </c>
      <c r="C151" s="2" t="str">
        <f>"0,850 kg"</f>
        <v>0,850 kg</v>
      </c>
      <c r="D151" s="2" t="str">
        <f>"0,850 kg"</f>
        <v>0,850 kg</v>
      </c>
      <c r="E151" s="2" t="str">
        <f t="shared" si="18"/>
        <v>Domicile</v>
      </c>
      <c r="F151" s="2" t="str">
        <f>"6A"</f>
        <v>6A</v>
      </c>
      <c r="G151" s="2" t="str">
        <f>"Colissimo  Domicile - sans signature -- FR (6A)"</f>
        <v>Colissimo  Domicile - sans signature -- FR (6A)</v>
      </c>
      <c r="H151" s="2"/>
      <c r="I151" s="2"/>
      <c r="J151" s="2"/>
      <c r="K151" s="2" t="str">
        <f t="shared" si="19"/>
        <v>986737</v>
      </c>
      <c r="L151" s="2" t="str">
        <f>"0,850 kg"</f>
        <v>0,850 kg</v>
      </c>
    </row>
    <row r="152" spans="1:12" x14ac:dyDescent="0.3">
      <c r="A152" s="2" t="str">
        <f>"6A25289621814"</f>
        <v>6A25289621814</v>
      </c>
      <c r="B152" s="2" t="str">
        <f>"0,710 kg"</f>
        <v>0,710 kg</v>
      </c>
      <c r="C152" s="2" t="str">
        <f>"0,700 kg"</f>
        <v>0,700 kg</v>
      </c>
      <c r="D152" s="2" t="str">
        <f>"0,700 kg"</f>
        <v>0,700 kg</v>
      </c>
      <c r="E152" s="2" t="str">
        <f t="shared" si="18"/>
        <v>Domicile</v>
      </c>
      <c r="F152" s="2" t="str">
        <f>"6A"</f>
        <v>6A</v>
      </c>
      <c r="G152" s="2" t="str">
        <f>"Colissimo  Domicile - sans signature -- FR (6A)"</f>
        <v>Colissimo  Domicile - sans signature -- FR (6A)</v>
      </c>
      <c r="H152" s="2"/>
      <c r="I152" s="2"/>
      <c r="J152" s="2"/>
      <c r="K152" s="2" t="str">
        <f t="shared" si="19"/>
        <v>986737</v>
      </c>
      <c r="L152" s="2" t="str">
        <f>"0,700 kg"</f>
        <v>0,700 kg</v>
      </c>
    </row>
    <row r="153" spans="1:12" x14ac:dyDescent="0.3">
      <c r="A153" s="2" t="str">
        <f>"6C15656117262"</f>
        <v>6C15656117262</v>
      </c>
      <c r="B153" s="2" t="str">
        <f>"1,850 kg"</f>
        <v>1,850 kg</v>
      </c>
      <c r="C153" s="2" t="str">
        <f>"1,850 kg"</f>
        <v>1,850 kg</v>
      </c>
      <c r="D153" s="2" t="str">
        <f>"1,850 kg"</f>
        <v>1,850 kg</v>
      </c>
      <c r="E153" s="2" t="str">
        <f t="shared" si="18"/>
        <v>Domicile</v>
      </c>
      <c r="F153" s="2" t="str">
        <f t="shared" ref="F153:F168" si="22">"6C"</f>
        <v>6C</v>
      </c>
      <c r="G153" s="2" t="str">
        <f t="shared" ref="G153:G168" si="23">"Colissimo  Domicile - avec signature -- FR (6C)"</f>
        <v>Colissimo  Domicile - avec signature -- FR (6C)</v>
      </c>
      <c r="H153" s="2"/>
      <c r="I153" s="2"/>
      <c r="J153" s="2"/>
      <c r="K153" s="2" t="str">
        <f t="shared" si="19"/>
        <v>986737</v>
      </c>
      <c r="L153" s="2" t="str">
        <f>"1,850 kg"</f>
        <v>1,850 kg</v>
      </c>
    </row>
    <row r="154" spans="1:12" x14ac:dyDescent="0.3">
      <c r="A154" s="2" t="str">
        <f>"6C15661103519"</f>
        <v>6C15661103519</v>
      </c>
      <c r="B154" s="2" t="str">
        <f>"7,490 kg"</f>
        <v>7,490 kg</v>
      </c>
      <c r="C154" s="2" t="str">
        <f>"7,500 kg"</f>
        <v>7,500 kg</v>
      </c>
      <c r="D154" s="2" t="str">
        <f>"7,500 kg"</f>
        <v>7,500 kg</v>
      </c>
      <c r="E154" s="2" t="str">
        <f t="shared" si="18"/>
        <v>Domicile</v>
      </c>
      <c r="F154" s="2" t="str">
        <f t="shared" si="22"/>
        <v>6C</v>
      </c>
      <c r="G154" s="2" t="str">
        <f t="shared" si="23"/>
        <v>Colissimo  Domicile - avec signature -- FR (6C)</v>
      </c>
      <c r="H154" s="2"/>
      <c r="I154" s="2"/>
      <c r="J154" s="2"/>
      <c r="K154" s="2" t="str">
        <f t="shared" si="19"/>
        <v>986737</v>
      </c>
      <c r="L154" s="2" t="str">
        <f>"7,500 kg"</f>
        <v>7,500 kg</v>
      </c>
    </row>
    <row r="155" spans="1:12" x14ac:dyDescent="0.3">
      <c r="A155" s="2" t="str">
        <f>"6C15638303522"</f>
        <v>6C15638303522</v>
      </c>
      <c r="B155" s="2" t="str">
        <f>"0,100 kg"</f>
        <v>0,100 kg</v>
      </c>
      <c r="C155" s="2"/>
      <c r="D155" s="2" t="str">
        <f>"0,100 kg"</f>
        <v>0,100 kg</v>
      </c>
      <c r="E155" s="2" t="str">
        <f t="shared" si="18"/>
        <v>Domicile</v>
      </c>
      <c r="F155" s="2" t="str">
        <f t="shared" si="22"/>
        <v>6C</v>
      </c>
      <c r="G155" s="2" t="str">
        <f t="shared" si="23"/>
        <v>Colissimo  Domicile - avec signature -- FR (6C)</v>
      </c>
      <c r="H155" s="2"/>
      <c r="I155" s="2"/>
      <c r="J155" s="2"/>
      <c r="K155" s="2" t="str">
        <f t="shared" si="19"/>
        <v>986737</v>
      </c>
      <c r="L155" s="2"/>
    </row>
    <row r="156" spans="1:12" x14ac:dyDescent="0.3">
      <c r="A156" s="2" t="str">
        <f>"6C15639552011"</f>
        <v>6C15639552011</v>
      </c>
      <c r="B156" s="2" t="str">
        <f>"4,980 kg"</f>
        <v>4,980 kg</v>
      </c>
      <c r="C156" s="2" t="str">
        <f>"4,950 kg"</f>
        <v>4,950 kg</v>
      </c>
      <c r="D156" s="2" t="str">
        <f>"4,950 kg"</f>
        <v>4,950 kg</v>
      </c>
      <c r="E156" s="2" t="str">
        <f t="shared" si="18"/>
        <v>Domicile</v>
      </c>
      <c r="F156" s="2" t="str">
        <f t="shared" si="22"/>
        <v>6C</v>
      </c>
      <c r="G156" s="2" t="str">
        <f t="shared" si="23"/>
        <v>Colissimo  Domicile - avec signature -- FR (6C)</v>
      </c>
      <c r="H156" s="2"/>
      <c r="I156" s="2"/>
      <c r="J156" s="2"/>
      <c r="K156" s="2" t="str">
        <f t="shared" si="19"/>
        <v>986737</v>
      </c>
      <c r="L156" s="2" t="str">
        <f>"4,950 kg"</f>
        <v>4,950 kg</v>
      </c>
    </row>
    <row r="157" spans="1:12" x14ac:dyDescent="0.3">
      <c r="A157" s="2" t="str">
        <f>"6C15659300371"</f>
        <v>6C15659300371</v>
      </c>
      <c r="B157" s="2"/>
      <c r="C157" s="2" t="str">
        <f>"4,100 kg"</f>
        <v>4,100 kg</v>
      </c>
      <c r="D157" s="2" t="str">
        <f>"4,100 kg"</f>
        <v>4,100 kg</v>
      </c>
      <c r="E157" s="2" t="str">
        <f t="shared" si="18"/>
        <v>Domicile</v>
      </c>
      <c r="F157" s="2" t="str">
        <f t="shared" si="22"/>
        <v>6C</v>
      </c>
      <c r="G157" s="2" t="str">
        <f t="shared" si="23"/>
        <v>Colissimo  Domicile - avec signature -- FR (6C)</v>
      </c>
      <c r="H157" s="2"/>
      <c r="I157" s="2"/>
      <c r="J157" s="2"/>
      <c r="K157" s="2" t="str">
        <f t="shared" si="19"/>
        <v>986737</v>
      </c>
      <c r="L157" s="2" t="str">
        <f>"4,100 kg"</f>
        <v>4,100 kg</v>
      </c>
    </row>
    <row r="158" spans="1:12" x14ac:dyDescent="0.3">
      <c r="A158" s="2" t="str">
        <f>"6C15640493914"</f>
        <v>6C15640493914</v>
      </c>
      <c r="B158" s="2" t="str">
        <f>"0,940 kg"</f>
        <v>0,940 kg</v>
      </c>
      <c r="C158" s="2" t="str">
        <f>"0,950 kg"</f>
        <v>0,950 kg</v>
      </c>
      <c r="D158" s="2" t="str">
        <f>"0,950 kg"</f>
        <v>0,950 kg</v>
      </c>
      <c r="E158" s="2" t="str">
        <f t="shared" si="18"/>
        <v>Domicile</v>
      </c>
      <c r="F158" s="2" t="str">
        <f t="shared" si="22"/>
        <v>6C</v>
      </c>
      <c r="G158" s="2" t="str">
        <f t="shared" si="23"/>
        <v>Colissimo  Domicile - avec signature -- FR (6C)</v>
      </c>
      <c r="H158" s="2"/>
      <c r="I158" s="2"/>
      <c r="J158" s="2"/>
      <c r="K158" s="2" t="str">
        <f t="shared" si="19"/>
        <v>986737</v>
      </c>
      <c r="L158" s="2" t="str">
        <f>"0,950 kg"</f>
        <v>0,950 kg</v>
      </c>
    </row>
    <row r="159" spans="1:12" x14ac:dyDescent="0.3">
      <c r="A159" s="2" t="str">
        <f>"6C15636896200"</f>
        <v>6C15636896200</v>
      </c>
      <c r="B159" s="2" t="str">
        <f>"0,940 kg"</f>
        <v>0,940 kg</v>
      </c>
      <c r="C159" s="2" t="str">
        <f>"0,950 kg"</f>
        <v>0,950 kg</v>
      </c>
      <c r="D159" s="2" t="str">
        <f>"0,950 kg"</f>
        <v>0,950 kg</v>
      </c>
      <c r="E159" s="2" t="str">
        <f t="shared" si="18"/>
        <v>Domicile</v>
      </c>
      <c r="F159" s="2" t="str">
        <f t="shared" si="22"/>
        <v>6C</v>
      </c>
      <c r="G159" s="2" t="str">
        <f t="shared" si="23"/>
        <v>Colissimo  Domicile - avec signature -- FR (6C)</v>
      </c>
      <c r="H159" s="2"/>
      <c r="I159" s="2"/>
      <c r="J159" s="2"/>
      <c r="K159" s="2" t="str">
        <f t="shared" si="19"/>
        <v>986737</v>
      </c>
      <c r="L159" s="2" t="str">
        <f>"0,950 kg"</f>
        <v>0,950 kg</v>
      </c>
    </row>
    <row r="160" spans="1:12" x14ac:dyDescent="0.3">
      <c r="A160" s="2" t="str">
        <f>"6C15659411442"</f>
        <v>6C15659411442</v>
      </c>
      <c r="B160" s="2"/>
      <c r="C160" s="2" t="str">
        <f>"1,850 kg"</f>
        <v>1,850 kg</v>
      </c>
      <c r="D160" s="2" t="str">
        <f>"1,850 kg"</f>
        <v>1,850 kg</v>
      </c>
      <c r="E160" s="2" t="str">
        <f t="shared" si="18"/>
        <v>Domicile</v>
      </c>
      <c r="F160" s="2" t="str">
        <f t="shared" si="22"/>
        <v>6C</v>
      </c>
      <c r="G160" s="2" t="str">
        <f t="shared" si="23"/>
        <v>Colissimo  Domicile - avec signature -- FR (6C)</v>
      </c>
      <c r="H160" s="2"/>
      <c r="I160" s="2"/>
      <c r="J160" s="2"/>
      <c r="K160" s="2" t="str">
        <f t="shared" si="19"/>
        <v>986737</v>
      </c>
      <c r="L160" s="2" t="str">
        <f>"1,850 kg"</f>
        <v>1,850 kg</v>
      </c>
    </row>
    <row r="161" spans="1:12" x14ac:dyDescent="0.3">
      <c r="A161" s="2" t="str">
        <f>"6C15674899799"</f>
        <v>6C15674899799</v>
      </c>
      <c r="B161" s="2" t="str">
        <f>"8,240 kg"</f>
        <v>8,240 kg</v>
      </c>
      <c r="C161" s="2" t="str">
        <f>"8,300 kg"</f>
        <v>8,300 kg</v>
      </c>
      <c r="D161" s="2" t="str">
        <f>"8,300 kg"</f>
        <v>8,300 kg</v>
      </c>
      <c r="E161" s="2" t="str">
        <f t="shared" si="18"/>
        <v>Domicile</v>
      </c>
      <c r="F161" s="2" t="str">
        <f t="shared" si="22"/>
        <v>6C</v>
      </c>
      <c r="G161" s="2" t="str">
        <f t="shared" si="23"/>
        <v>Colissimo  Domicile - avec signature -- FR (6C)</v>
      </c>
      <c r="H161" s="2"/>
      <c r="I161" s="2"/>
      <c r="J161" s="2"/>
      <c r="K161" s="2" t="str">
        <f t="shared" si="19"/>
        <v>986737</v>
      </c>
      <c r="L161" s="2" t="str">
        <f>"8,300 kg"</f>
        <v>8,300 kg</v>
      </c>
    </row>
    <row r="162" spans="1:12" x14ac:dyDescent="0.3">
      <c r="A162" s="2" t="str">
        <f>"6C15738258722"</f>
        <v>6C15738258722</v>
      </c>
      <c r="B162" s="2" t="str">
        <f>"2,340 kg"</f>
        <v>2,340 kg</v>
      </c>
      <c r="C162" s="2" t="str">
        <f>"2,150 kg"</f>
        <v>2,150 kg</v>
      </c>
      <c r="D162" s="2" t="str">
        <f>"2,150 kg"</f>
        <v>2,150 kg</v>
      </c>
      <c r="E162" s="2" t="str">
        <f t="shared" si="18"/>
        <v>Domicile</v>
      </c>
      <c r="F162" s="2" t="str">
        <f t="shared" si="22"/>
        <v>6C</v>
      </c>
      <c r="G162" s="2" t="str">
        <f t="shared" si="23"/>
        <v>Colissimo  Domicile - avec signature -- FR (6C)</v>
      </c>
      <c r="H162" s="2"/>
      <c r="I162" s="2"/>
      <c r="J162" s="2"/>
      <c r="K162" s="2" t="str">
        <f t="shared" si="19"/>
        <v>986737</v>
      </c>
      <c r="L162" s="2" t="str">
        <f>"2,150 kg"</f>
        <v>2,150 kg</v>
      </c>
    </row>
    <row r="163" spans="1:12" x14ac:dyDescent="0.3">
      <c r="A163" s="2" t="str">
        <f>"6C15713666986"</f>
        <v>6C15713666986</v>
      </c>
      <c r="B163" s="2" t="str">
        <f>"3,360 kg"</f>
        <v>3,360 kg</v>
      </c>
      <c r="C163" s="2" t="str">
        <f>"3,350 kg"</f>
        <v>3,350 kg</v>
      </c>
      <c r="D163" s="2" t="str">
        <f>"3,350 kg"</f>
        <v>3,350 kg</v>
      </c>
      <c r="E163" s="2" t="str">
        <f t="shared" si="18"/>
        <v>Domicile</v>
      </c>
      <c r="F163" s="2" t="str">
        <f t="shared" si="22"/>
        <v>6C</v>
      </c>
      <c r="G163" s="2" t="str">
        <f t="shared" si="23"/>
        <v>Colissimo  Domicile - avec signature -- FR (6C)</v>
      </c>
      <c r="H163" s="2"/>
      <c r="I163" s="2"/>
      <c r="J163" s="2"/>
      <c r="K163" s="2" t="str">
        <f t="shared" si="19"/>
        <v>986737</v>
      </c>
      <c r="L163" s="2" t="str">
        <f>"3,350 kg"</f>
        <v>3,350 kg</v>
      </c>
    </row>
    <row r="164" spans="1:12" x14ac:dyDescent="0.3">
      <c r="A164" s="2" t="str">
        <f>"6C15715252033"</f>
        <v>6C15715252033</v>
      </c>
      <c r="B164" s="2" t="str">
        <f>"1,340 kg"</f>
        <v>1,340 kg</v>
      </c>
      <c r="C164" s="2" t="str">
        <f>"1,350 kg"</f>
        <v>1,350 kg</v>
      </c>
      <c r="D164" s="2" t="str">
        <f>"1,350 kg"</f>
        <v>1,350 kg</v>
      </c>
      <c r="E164" s="2" t="str">
        <f t="shared" si="18"/>
        <v>Domicile</v>
      </c>
      <c r="F164" s="2" t="str">
        <f t="shared" si="22"/>
        <v>6C</v>
      </c>
      <c r="G164" s="2" t="str">
        <f t="shared" si="23"/>
        <v>Colissimo  Domicile - avec signature -- FR (6C)</v>
      </c>
      <c r="H164" s="2"/>
      <c r="I164" s="2"/>
      <c r="J164" s="2"/>
      <c r="K164" s="2" t="str">
        <f t="shared" si="19"/>
        <v>986737</v>
      </c>
      <c r="L164" s="2" t="str">
        <f>"1,350 kg"</f>
        <v>1,350 kg</v>
      </c>
    </row>
    <row r="165" spans="1:12" x14ac:dyDescent="0.3">
      <c r="A165" s="2" t="str">
        <f>"6C15744465824"</f>
        <v>6C15744465824</v>
      </c>
      <c r="B165" s="2" t="str">
        <f>"1,860 kg"</f>
        <v>1,860 kg</v>
      </c>
      <c r="C165" s="2" t="str">
        <f>"1,800 kg"</f>
        <v>1,800 kg</v>
      </c>
      <c r="D165" s="2" t="str">
        <f>"1,850 kg"</f>
        <v>1,850 kg</v>
      </c>
      <c r="E165" s="2" t="str">
        <f t="shared" si="18"/>
        <v>Domicile</v>
      </c>
      <c r="F165" s="2" t="str">
        <f t="shared" si="22"/>
        <v>6C</v>
      </c>
      <c r="G165" s="2" t="str">
        <f t="shared" si="23"/>
        <v>Colissimo  Domicile - avec signature -- FR (6C)</v>
      </c>
      <c r="H165" s="2"/>
      <c r="I165" s="2"/>
      <c r="J165" s="2"/>
      <c r="K165" s="2" t="str">
        <f t="shared" si="19"/>
        <v>986737</v>
      </c>
      <c r="L165" s="2" t="str">
        <f>"1,850 kg"</f>
        <v>1,850 kg</v>
      </c>
    </row>
    <row r="166" spans="1:12" x14ac:dyDescent="0.3">
      <c r="A166" s="2" t="str">
        <f>"6C15690309791"</f>
        <v>6C15690309791</v>
      </c>
      <c r="B166" s="2" t="str">
        <f>"3,190 kg"</f>
        <v>3,190 kg</v>
      </c>
      <c r="C166" s="2" t="str">
        <f>"2,800 kg"</f>
        <v>2,800 kg</v>
      </c>
      <c r="D166" s="2" t="str">
        <f>"2,900 kg"</f>
        <v>2,900 kg</v>
      </c>
      <c r="E166" s="2" t="str">
        <f t="shared" si="18"/>
        <v>Domicile</v>
      </c>
      <c r="F166" s="2" t="str">
        <f t="shared" si="22"/>
        <v>6C</v>
      </c>
      <c r="G166" s="2" t="str">
        <f t="shared" si="23"/>
        <v>Colissimo  Domicile - avec signature -- FR (6C)</v>
      </c>
      <c r="H166" s="2"/>
      <c r="I166" s="2"/>
      <c r="J166" s="2"/>
      <c r="K166" s="2" t="str">
        <f t="shared" si="19"/>
        <v>986737</v>
      </c>
      <c r="L166" s="2" t="str">
        <f>"2,900 kg"</f>
        <v>2,900 kg</v>
      </c>
    </row>
    <row r="167" spans="1:12" x14ac:dyDescent="0.3">
      <c r="A167" s="2" t="str">
        <f>"6C15727463502"</f>
        <v>6C15727463502</v>
      </c>
      <c r="B167" s="2" t="str">
        <f>"1,860 kg"</f>
        <v>1,860 kg</v>
      </c>
      <c r="C167" s="2" t="str">
        <f>"1,850 kg"</f>
        <v>1,850 kg</v>
      </c>
      <c r="D167" s="2" t="str">
        <f>"1,850 kg"</f>
        <v>1,850 kg</v>
      </c>
      <c r="E167" s="2" t="str">
        <f t="shared" si="18"/>
        <v>Domicile</v>
      </c>
      <c r="F167" s="2" t="str">
        <f t="shared" si="22"/>
        <v>6C</v>
      </c>
      <c r="G167" s="2" t="str">
        <f t="shared" si="23"/>
        <v>Colissimo  Domicile - avec signature -- FR (6C)</v>
      </c>
      <c r="H167" s="2"/>
      <c r="I167" s="2"/>
      <c r="J167" s="2"/>
      <c r="K167" s="2" t="str">
        <f t="shared" si="19"/>
        <v>986737</v>
      </c>
      <c r="L167" s="2" t="str">
        <f>"1,850 kg"</f>
        <v>1,850 kg</v>
      </c>
    </row>
    <row r="168" spans="1:12" x14ac:dyDescent="0.3">
      <c r="A168" s="2" t="str">
        <f>"6C15704231247"</f>
        <v>6C15704231247</v>
      </c>
      <c r="B168" s="2"/>
      <c r="C168" s="2" t="str">
        <f>"2,600 kg"</f>
        <v>2,600 kg</v>
      </c>
      <c r="D168" s="2" t="str">
        <f>"2,600 kg"</f>
        <v>2,600 kg</v>
      </c>
      <c r="E168" s="2" t="str">
        <f t="shared" si="18"/>
        <v>Domicile</v>
      </c>
      <c r="F168" s="2" t="str">
        <f t="shared" si="22"/>
        <v>6C</v>
      </c>
      <c r="G168" s="2" t="str">
        <f t="shared" si="23"/>
        <v>Colissimo  Domicile - avec signature -- FR (6C)</v>
      </c>
      <c r="H168" s="2"/>
      <c r="I168" s="2"/>
      <c r="J168" s="2"/>
      <c r="K168" s="2" t="str">
        <f t="shared" si="19"/>
        <v>986737</v>
      </c>
      <c r="L168" s="2" t="str">
        <f>"2,600 kg"</f>
        <v>2,600 kg</v>
      </c>
    </row>
    <row r="169" spans="1:12" x14ac:dyDescent="0.3">
      <c r="A169" s="2" t="str">
        <f>"6A25938372005"</f>
        <v>6A25938372005</v>
      </c>
      <c r="B169" s="2"/>
      <c r="C169" s="2" t="str">
        <f>"3,600 kg"</f>
        <v>3,600 kg</v>
      </c>
      <c r="D169" s="2" t="str">
        <f>"3,600 kg"</f>
        <v>3,600 kg</v>
      </c>
      <c r="E169" s="2" t="str">
        <f t="shared" si="18"/>
        <v>Domicile</v>
      </c>
      <c r="F169" s="2" t="str">
        <f>"6A"</f>
        <v>6A</v>
      </c>
      <c r="G169" s="2" t="str">
        <f>"Colissimo  Domicile - sans signature -- FR (6A)"</f>
        <v>Colissimo  Domicile - sans signature -- FR (6A)</v>
      </c>
      <c r="H169" s="2"/>
      <c r="I169" s="2"/>
      <c r="J169" s="2"/>
      <c r="K169" s="2" t="str">
        <f t="shared" si="19"/>
        <v>986737</v>
      </c>
      <c r="L169" s="2" t="str">
        <f>"3,600 kg"</f>
        <v>3,600 kg</v>
      </c>
    </row>
    <row r="170" spans="1:12" x14ac:dyDescent="0.3">
      <c r="A170" s="2" t="str">
        <f>"6C15703625467"</f>
        <v>6C15703625467</v>
      </c>
      <c r="B170" s="2" t="str">
        <f>"2,450 kg"</f>
        <v>2,450 kg</v>
      </c>
      <c r="C170" s="2" t="str">
        <f>"2,850 kg"</f>
        <v>2,850 kg</v>
      </c>
      <c r="D170" s="2" t="str">
        <f>"2,850 kg"</f>
        <v>2,850 kg</v>
      </c>
      <c r="E170" s="2" t="str">
        <f t="shared" si="18"/>
        <v>Domicile</v>
      </c>
      <c r="F170" s="2" t="str">
        <f t="shared" ref="F170:F176" si="24">"6C"</f>
        <v>6C</v>
      </c>
      <c r="G170" s="2" t="str">
        <f t="shared" ref="G170:G176" si="25">"Colissimo  Domicile - avec signature -- FR (6C)"</f>
        <v>Colissimo  Domicile - avec signature -- FR (6C)</v>
      </c>
      <c r="H170" s="2"/>
      <c r="I170" s="2"/>
      <c r="J170" s="2"/>
      <c r="K170" s="2" t="str">
        <f t="shared" si="19"/>
        <v>986737</v>
      </c>
      <c r="L170" s="2" t="str">
        <f>"2,850 kg"</f>
        <v>2,850 kg</v>
      </c>
    </row>
    <row r="171" spans="1:12" x14ac:dyDescent="0.3">
      <c r="A171" s="2" t="str">
        <f>"6C15759432675"</f>
        <v>6C15759432675</v>
      </c>
      <c r="B171" s="2" t="str">
        <f>"0,880 kg"</f>
        <v>0,880 kg</v>
      </c>
      <c r="C171" s="2" t="str">
        <f>"0,880 kg"</f>
        <v>0,880 kg</v>
      </c>
      <c r="D171" s="2" t="str">
        <f>"0,900 kg"</f>
        <v>0,900 kg</v>
      </c>
      <c r="E171" s="2" t="str">
        <f t="shared" si="18"/>
        <v>Domicile</v>
      </c>
      <c r="F171" s="2" t="str">
        <f t="shared" si="24"/>
        <v>6C</v>
      </c>
      <c r="G171" s="2" t="str">
        <f t="shared" si="25"/>
        <v>Colissimo  Domicile - avec signature -- FR (6C)</v>
      </c>
      <c r="H171" s="2"/>
      <c r="I171" s="2"/>
      <c r="J171" s="2"/>
      <c r="K171" s="2" t="str">
        <f t="shared" si="19"/>
        <v>986737</v>
      </c>
      <c r="L171" s="2" t="str">
        <f>"0,900 kg"</f>
        <v>0,900 kg</v>
      </c>
    </row>
    <row r="172" spans="1:12" x14ac:dyDescent="0.3">
      <c r="A172" s="2" t="str">
        <f>"6C15758900786"</f>
        <v>6C15758900786</v>
      </c>
      <c r="B172" s="2" t="str">
        <f>"3,480 kg"</f>
        <v>3,480 kg</v>
      </c>
      <c r="C172" s="2" t="str">
        <f>"3,500 kg"</f>
        <v>3,500 kg</v>
      </c>
      <c r="D172" s="2" t="str">
        <f>"3,500 kg"</f>
        <v>3,500 kg</v>
      </c>
      <c r="E172" s="2" t="str">
        <f t="shared" si="18"/>
        <v>Domicile</v>
      </c>
      <c r="F172" s="2" t="str">
        <f t="shared" si="24"/>
        <v>6C</v>
      </c>
      <c r="G172" s="2" t="str">
        <f t="shared" si="25"/>
        <v>Colissimo  Domicile - avec signature -- FR (6C)</v>
      </c>
      <c r="H172" s="2"/>
      <c r="I172" s="2"/>
      <c r="J172" s="2"/>
      <c r="K172" s="2" t="str">
        <f t="shared" si="19"/>
        <v>986737</v>
      </c>
      <c r="L172" s="2" t="str">
        <f>"3,500 kg"</f>
        <v>3,500 kg</v>
      </c>
    </row>
    <row r="173" spans="1:12" x14ac:dyDescent="0.3">
      <c r="A173" s="2" t="str">
        <f>"6C15725225133"</f>
        <v>6C15725225133</v>
      </c>
      <c r="B173" s="2" t="str">
        <f>"6,430 kg"</f>
        <v>6,430 kg</v>
      </c>
      <c r="C173" s="2" t="str">
        <f>"4,300 kg"</f>
        <v>4,300 kg</v>
      </c>
      <c r="D173" s="2" t="str">
        <f>"4,300 kg"</f>
        <v>4,300 kg</v>
      </c>
      <c r="E173" s="2" t="str">
        <f t="shared" si="18"/>
        <v>Domicile</v>
      </c>
      <c r="F173" s="2" t="str">
        <f t="shared" si="24"/>
        <v>6C</v>
      </c>
      <c r="G173" s="2" t="str">
        <f t="shared" si="25"/>
        <v>Colissimo  Domicile - avec signature -- FR (6C)</v>
      </c>
      <c r="H173" s="2"/>
      <c r="I173" s="2"/>
      <c r="J173" s="2"/>
      <c r="K173" s="2" t="str">
        <f t="shared" si="19"/>
        <v>986737</v>
      </c>
      <c r="L173" s="2" t="str">
        <f>"4,300 kg"</f>
        <v>4,300 kg</v>
      </c>
    </row>
    <row r="174" spans="1:12" x14ac:dyDescent="0.3">
      <c r="A174" s="2" t="str">
        <f>"6C15704222542"</f>
        <v>6C15704222542</v>
      </c>
      <c r="B174" s="2" t="str">
        <f>"2,450 kg"</f>
        <v>2,450 kg</v>
      </c>
      <c r="C174" s="2" t="str">
        <f>"2,750 kg"</f>
        <v>2,750 kg</v>
      </c>
      <c r="D174" s="2" t="str">
        <f>"2,750 kg"</f>
        <v>2,750 kg</v>
      </c>
      <c r="E174" s="2" t="str">
        <f t="shared" si="18"/>
        <v>Domicile</v>
      </c>
      <c r="F174" s="2" t="str">
        <f t="shared" si="24"/>
        <v>6C</v>
      </c>
      <c r="G174" s="2" t="str">
        <f t="shared" si="25"/>
        <v>Colissimo  Domicile - avec signature -- FR (6C)</v>
      </c>
      <c r="H174" s="2"/>
      <c r="I174" s="2"/>
      <c r="J174" s="2"/>
      <c r="K174" s="2" t="str">
        <f t="shared" si="19"/>
        <v>986737</v>
      </c>
      <c r="L174" s="2" t="str">
        <f>"2,750 kg"</f>
        <v>2,750 kg</v>
      </c>
    </row>
    <row r="175" spans="1:12" x14ac:dyDescent="0.3">
      <c r="A175" s="2" t="str">
        <f>"6C15737075412"</f>
        <v>6C15737075412</v>
      </c>
      <c r="B175" s="2" t="str">
        <f>"2,940 kg"</f>
        <v>2,940 kg</v>
      </c>
      <c r="C175" s="2" t="str">
        <f>"2,800 kg"</f>
        <v>2,800 kg</v>
      </c>
      <c r="D175" s="2" t="str">
        <f>"2,800 kg"</f>
        <v>2,800 kg</v>
      </c>
      <c r="E175" s="2" t="str">
        <f t="shared" si="18"/>
        <v>Domicile</v>
      </c>
      <c r="F175" s="2" t="str">
        <f t="shared" si="24"/>
        <v>6C</v>
      </c>
      <c r="G175" s="2" t="str">
        <f t="shared" si="25"/>
        <v>Colissimo  Domicile - avec signature -- FR (6C)</v>
      </c>
      <c r="H175" s="2"/>
      <c r="I175" s="2"/>
      <c r="J175" s="2"/>
      <c r="K175" s="2" t="str">
        <f t="shared" si="19"/>
        <v>986737</v>
      </c>
      <c r="L175" s="2" t="str">
        <f>"2,800 kg"</f>
        <v>2,800 kg</v>
      </c>
    </row>
    <row r="176" spans="1:12" x14ac:dyDescent="0.3">
      <c r="A176" s="2" t="str">
        <f>"6C15727697686"</f>
        <v>6C15727697686</v>
      </c>
      <c r="B176" s="2"/>
      <c r="C176" s="2" t="str">
        <f>"3,150 kg"</f>
        <v>3,150 kg</v>
      </c>
      <c r="D176" s="2" t="str">
        <f>"3,150 kg"</f>
        <v>3,150 kg</v>
      </c>
      <c r="E176" s="2" t="str">
        <f t="shared" si="18"/>
        <v>Domicile</v>
      </c>
      <c r="F176" s="2" t="str">
        <f t="shared" si="24"/>
        <v>6C</v>
      </c>
      <c r="G176" s="2" t="str">
        <f t="shared" si="25"/>
        <v>Colissimo  Domicile - avec signature -- FR (6C)</v>
      </c>
      <c r="H176" s="2"/>
      <c r="I176" s="2"/>
      <c r="J176" s="2"/>
      <c r="K176" s="2" t="str">
        <f t="shared" si="19"/>
        <v>986737</v>
      </c>
      <c r="L176" s="2" t="str">
        <f>"3,150 kg"</f>
        <v>3,150 kg</v>
      </c>
    </row>
    <row r="177" spans="1:12" x14ac:dyDescent="0.3">
      <c r="A177" s="2" t="str">
        <f>"6A26138937940"</f>
        <v>6A26138937940</v>
      </c>
      <c r="B177" s="2"/>
      <c r="C177" s="2" t="str">
        <f>"5,350 kg"</f>
        <v>5,350 kg</v>
      </c>
      <c r="D177" s="2" t="str">
        <f>"5,350 kg"</f>
        <v>5,350 kg</v>
      </c>
      <c r="E177" s="2" t="str">
        <f t="shared" si="18"/>
        <v>Domicile</v>
      </c>
      <c r="F177" s="2" t="str">
        <f>"6A"</f>
        <v>6A</v>
      </c>
      <c r="G177" s="2" t="str">
        <f>"Colissimo  Domicile - sans signature -- FR (6A)"</f>
        <v>Colissimo  Domicile - sans signature -- FR (6A)</v>
      </c>
      <c r="H177" s="2"/>
      <c r="I177" s="2"/>
      <c r="J177" s="2"/>
      <c r="K177" s="2" t="str">
        <f t="shared" si="19"/>
        <v>986737</v>
      </c>
      <c r="L177" s="2" t="str">
        <f>"5,350 kg"</f>
        <v>5,350 kg</v>
      </c>
    </row>
    <row r="178" spans="1:12" x14ac:dyDescent="0.3">
      <c r="A178" s="2" t="str">
        <f>"6A26145329509"</f>
        <v>6A26145329509</v>
      </c>
      <c r="B178" s="2" t="str">
        <f>"5,340 kg"</f>
        <v>5,340 kg</v>
      </c>
      <c r="C178" s="2" t="str">
        <f>"5,400 kg"</f>
        <v>5,400 kg</v>
      </c>
      <c r="D178" s="2" t="str">
        <f>"5,400 kg"</f>
        <v>5,400 kg</v>
      </c>
      <c r="E178" s="2" t="str">
        <f t="shared" si="18"/>
        <v>Domicile</v>
      </c>
      <c r="F178" s="2" t="str">
        <f>"6A"</f>
        <v>6A</v>
      </c>
      <c r="G178" s="2" t="str">
        <f>"Colissimo  Domicile - sans signature -- FR (6A)"</f>
        <v>Colissimo  Domicile - sans signature -- FR (6A)</v>
      </c>
      <c r="H178" s="2"/>
      <c r="I178" s="2"/>
      <c r="J178" s="2"/>
      <c r="K178" s="2" t="str">
        <f t="shared" si="19"/>
        <v>986737</v>
      </c>
      <c r="L178" s="2" t="str">
        <f>"5,400 kg"</f>
        <v>5,400 kg</v>
      </c>
    </row>
    <row r="179" spans="1:12" x14ac:dyDescent="0.3">
      <c r="A179" s="2" t="str">
        <f>"6A26135746842"</f>
        <v>6A26135746842</v>
      </c>
      <c r="B179" s="2"/>
      <c r="C179" s="2" t="str">
        <f>"5,400 kg"</f>
        <v>5,400 kg</v>
      </c>
      <c r="D179" s="2" t="str">
        <f>"5,400 kg"</f>
        <v>5,400 kg</v>
      </c>
      <c r="E179" s="2" t="str">
        <f t="shared" si="18"/>
        <v>Domicile</v>
      </c>
      <c r="F179" s="2" t="str">
        <f>"6A"</f>
        <v>6A</v>
      </c>
      <c r="G179" s="2" t="str">
        <f>"Colissimo  Domicile - sans signature -- FR (6A)"</f>
        <v>Colissimo  Domicile - sans signature -- FR (6A)</v>
      </c>
      <c r="H179" s="2"/>
      <c r="I179" s="2"/>
      <c r="J179" s="2"/>
      <c r="K179" s="2" t="str">
        <f t="shared" si="19"/>
        <v>986737</v>
      </c>
      <c r="L179" s="2" t="str">
        <f>"5,400 kg"</f>
        <v>5,400 kg</v>
      </c>
    </row>
    <row r="180" spans="1:12" x14ac:dyDescent="0.3">
      <c r="A180" s="2" t="str">
        <f>"6C15834225291"</f>
        <v>6C15834225291</v>
      </c>
      <c r="B180" s="2"/>
      <c r="C180" s="2" t="str">
        <f>"2,350 kg"</f>
        <v>2,350 kg</v>
      </c>
      <c r="D180" s="2" t="str">
        <f>"2,350 kg"</f>
        <v>2,350 kg</v>
      </c>
      <c r="E180" s="2" t="str">
        <f t="shared" si="18"/>
        <v>Domicile</v>
      </c>
      <c r="F180" s="2" t="str">
        <f>"6C"</f>
        <v>6C</v>
      </c>
      <c r="G180" s="2" t="str">
        <f>"Colissimo  Domicile - avec signature -- FR (6C)"</f>
        <v>Colissimo  Domicile - avec signature -- FR (6C)</v>
      </c>
      <c r="H180" s="2"/>
      <c r="I180" s="2"/>
      <c r="J180" s="2"/>
      <c r="K180" s="2" t="str">
        <f t="shared" si="19"/>
        <v>986737</v>
      </c>
      <c r="L180" s="2" t="str">
        <f>"2,350 kg"</f>
        <v>2,350 kg</v>
      </c>
    </row>
    <row r="181" spans="1:12" x14ac:dyDescent="0.3">
      <c r="A181" s="2" t="str">
        <f>"6A26171754917"</f>
        <v>6A26171754917</v>
      </c>
      <c r="B181" s="2"/>
      <c r="C181" s="2" t="str">
        <f>"10,200 kg"</f>
        <v>10,200 kg</v>
      </c>
      <c r="D181" s="2" t="str">
        <f>"10,200 kg"</f>
        <v>10,200 kg</v>
      </c>
      <c r="E181" s="2" t="str">
        <f t="shared" si="18"/>
        <v>Domicile</v>
      </c>
      <c r="F181" s="2" t="str">
        <f>"6A"</f>
        <v>6A</v>
      </c>
      <c r="G181" s="2" t="str">
        <f>"Colissimo  Domicile - sans signature -- FR (6A)"</f>
        <v>Colissimo  Domicile - sans signature -- FR (6A)</v>
      </c>
      <c r="H181" s="2"/>
      <c r="I181" s="2"/>
      <c r="J181" s="2"/>
      <c r="K181" s="2" t="str">
        <f t="shared" si="19"/>
        <v>986737</v>
      </c>
      <c r="L181" s="2" t="str">
        <f>"10,200 kg"</f>
        <v>10,200 kg</v>
      </c>
    </row>
    <row r="182" spans="1:12" x14ac:dyDescent="0.3">
      <c r="A182" s="2" t="str">
        <f>"6A26142130337"</f>
        <v>6A26142130337</v>
      </c>
      <c r="B182" s="2" t="str">
        <f>"5,340 kg"</f>
        <v>5,340 kg</v>
      </c>
      <c r="C182" s="2" t="str">
        <f>"5,500 kg"</f>
        <v>5,500 kg</v>
      </c>
      <c r="D182" s="2" t="str">
        <f>"5,500 kg"</f>
        <v>5,500 kg</v>
      </c>
      <c r="E182" s="2" t="str">
        <f t="shared" si="18"/>
        <v>Domicile</v>
      </c>
      <c r="F182" s="2" t="str">
        <f>"6A"</f>
        <v>6A</v>
      </c>
      <c r="G182" s="2" t="str">
        <f>"Colissimo  Domicile - sans signature -- FR (6A)"</f>
        <v>Colissimo  Domicile - sans signature -- FR (6A)</v>
      </c>
      <c r="H182" s="2"/>
      <c r="I182" s="2"/>
      <c r="J182" s="2"/>
      <c r="K182" s="2" t="str">
        <f t="shared" si="19"/>
        <v>986737</v>
      </c>
      <c r="L182" s="2" t="str">
        <f>"5,500 kg"</f>
        <v>5,500 kg</v>
      </c>
    </row>
    <row r="183" spans="1:12" x14ac:dyDescent="0.3">
      <c r="A183" s="2" t="str">
        <f>"6C15833047573"</f>
        <v>6C15833047573</v>
      </c>
      <c r="B183" s="2"/>
      <c r="C183" s="2" t="str">
        <f>"0,480 kg"</f>
        <v>0,480 kg</v>
      </c>
      <c r="D183" s="2" t="str">
        <f>"0,500 kg"</f>
        <v>0,500 kg</v>
      </c>
      <c r="E183" s="2" t="str">
        <f t="shared" si="18"/>
        <v>Domicile</v>
      </c>
      <c r="F183" s="2" t="str">
        <f>"6C"</f>
        <v>6C</v>
      </c>
      <c r="G183" s="2" t="str">
        <f>"Colissimo  Domicile - avec signature -- FR (6C)"</f>
        <v>Colissimo  Domicile - avec signature -- FR (6C)</v>
      </c>
      <c r="H183" s="2"/>
      <c r="I183" s="2"/>
      <c r="J183" s="2"/>
      <c r="K183" s="2" t="str">
        <f t="shared" si="19"/>
        <v>986737</v>
      </c>
      <c r="L183" s="2" t="str">
        <f>"0,500 kg"</f>
        <v>0,500 kg</v>
      </c>
    </row>
    <row r="184" spans="1:12" x14ac:dyDescent="0.3">
      <c r="A184" s="2" t="str">
        <f>"6A26142130146"</f>
        <v>6A26142130146</v>
      </c>
      <c r="B184" s="2"/>
      <c r="C184" s="2" t="str">
        <f>"5,400 kg"</f>
        <v>5,400 kg</v>
      </c>
      <c r="D184" s="2" t="str">
        <f>"5,400 kg"</f>
        <v>5,400 kg</v>
      </c>
      <c r="E184" s="2" t="str">
        <f t="shared" si="18"/>
        <v>Domicile</v>
      </c>
      <c r="F184" s="2" t="str">
        <f>"6A"</f>
        <v>6A</v>
      </c>
      <c r="G184" s="2" t="str">
        <f>"Colissimo  Domicile - sans signature -- FR (6A)"</f>
        <v>Colissimo  Domicile - sans signature -- FR (6A)</v>
      </c>
      <c r="H184" s="2"/>
      <c r="I184" s="2"/>
      <c r="J184" s="2"/>
      <c r="K184" s="2" t="str">
        <f t="shared" si="19"/>
        <v>986737</v>
      </c>
      <c r="L184" s="2" t="str">
        <f>"5,400 kg"</f>
        <v>5,400 kg</v>
      </c>
    </row>
    <row r="185" spans="1:12" x14ac:dyDescent="0.3">
      <c r="A185" s="2" t="str">
        <f>"6C15813206204"</f>
        <v>6C15813206204</v>
      </c>
      <c r="B185" s="2" t="str">
        <f>"1,540 kg"</f>
        <v>1,540 kg</v>
      </c>
      <c r="C185" s="2" t="str">
        <f>"1,500 kg"</f>
        <v>1,500 kg</v>
      </c>
      <c r="D185" s="2" t="str">
        <f>"1,500 kg"</f>
        <v>1,500 kg</v>
      </c>
      <c r="E185" s="2" t="str">
        <f t="shared" si="18"/>
        <v>Domicile</v>
      </c>
      <c r="F185" s="2" t="str">
        <f>"6C"</f>
        <v>6C</v>
      </c>
      <c r="G185" s="2" t="str">
        <f>"Colissimo  Domicile - avec signature -- FR (6C)"</f>
        <v>Colissimo  Domicile - avec signature -- FR (6C)</v>
      </c>
      <c r="H185" s="2"/>
      <c r="I185" s="2"/>
      <c r="J185" s="2"/>
      <c r="K185" s="2" t="str">
        <f t="shared" si="19"/>
        <v>986737</v>
      </c>
      <c r="L185" s="2" t="str">
        <f>"1,500 kg"</f>
        <v>1,500 kg</v>
      </c>
    </row>
    <row r="186" spans="1:12" x14ac:dyDescent="0.3">
      <c r="A186" s="2" t="str">
        <f>"6A26162155235"</f>
        <v>6A26162155235</v>
      </c>
      <c r="B186" s="2" t="str">
        <f>"10,240 kg"</f>
        <v>10,240 kg</v>
      </c>
      <c r="C186" s="2" t="str">
        <f>"10,200 kg"</f>
        <v>10,200 kg</v>
      </c>
      <c r="D186" s="2" t="str">
        <f>"10,200 kg"</f>
        <v>10,200 kg</v>
      </c>
      <c r="E186" s="2" t="str">
        <f t="shared" si="18"/>
        <v>Domicile</v>
      </c>
      <c r="F186" s="2" t="str">
        <f>"6A"</f>
        <v>6A</v>
      </c>
      <c r="G186" s="2" t="str">
        <f>"Colissimo  Domicile - sans signature -- FR (6A)"</f>
        <v>Colissimo  Domicile - sans signature -- FR (6A)</v>
      </c>
      <c r="H186" s="2"/>
      <c r="I186" s="2"/>
      <c r="J186" s="2"/>
      <c r="K186" s="2" t="str">
        <f t="shared" si="19"/>
        <v>986737</v>
      </c>
      <c r="L186" s="2" t="str">
        <f>"10,200 kg"</f>
        <v>10,200 kg</v>
      </c>
    </row>
    <row r="187" spans="1:12" x14ac:dyDescent="0.3">
      <c r="A187" s="2" t="str">
        <f>"6C15785933948"</f>
        <v>6C15785933948</v>
      </c>
      <c r="B187" s="2" t="str">
        <f>"0,520 kg"</f>
        <v>0,520 kg</v>
      </c>
      <c r="C187" s="2" t="str">
        <f>"0,500 kg"</f>
        <v>0,500 kg</v>
      </c>
      <c r="D187" s="2" t="str">
        <f>"0,500 kg"</f>
        <v>0,500 kg</v>
      </c>
      <c r="E187" s="2" t="str">
        <f t="shared" si="18"/>
        <v>Domicile</v>
      </c>
      <c r="F187" s="2" t="str">
        <f>"6C"</f>
        <v>6C</v>
      </c>
      <c r="G187" s="2" t="str">
        <f>"Colissimo  Domicile - avec signature -- FR (6C)"</f>
        <v>Colissimo  Domicile - avec signature -- FR (6C)</v>
      </c>
      <c r="H187" s="2"/>
      <c r="I187" s="2"/>
      <c r="J187" s="2"/>
      <c r="K187" s="2" t="str">
        <f t="shared" si="19"/>
        <v>986737</v>
      </c>
      <c r="L187" s="2" t="str">
        <f>"0,500 kg"</f>
        <v>0,500 kg</v>
      </c>
    </row>
    <row r="188" spans="1:12" x14ac:dyDescent="0.3">
      <c r="A188" s="2" t="str">
        <f>"6C15789533496"</f>
        <v>6C15789533496</v>
      </c>
      <c r="B188" s="2" t="str">
        <f>"0,220 kg"</f>
        <v>0,220 kg</v>
      </c>
      <c r="C188" s="2" t="str">
        <f>"0,220 kg"</f>
        <v>0,220 kg</v>
      </c>
      <c r="D188" s="2" t="str">
        <f>"0,220 kg"</f>
        <v>0,220 kg</v>
      </c>
      <c r="E188" s="2" t="str">
        <f t="shared" si="18"/>
        <v>Domicile</v>
      </c>
      <c r="F188" s="2" t="str">
        <f>"6C"</f>
        <v>6C</v>
      </c>
      <c r="G188" s="2" t="str">
        <f>"Colissimo  Domicile - avec signature -- FR (6C)"</f>
        <v>Colissimo  Domicile - avec signature -- FR (6C)</v>
      </c>
      <c r="H188" s="2"/>
      <c r="I188" s="2"/>
      <c r="J188" s="2"/>
      <c r="K188" s="2" t="str">
        <f t="shared" si="19"/>
        <v>986737</v>
      </c>
      <c r="L188" s="2" t="str">
        <f>"0,220 kg"</f>
        <v>0,220 kg</v>
      </c>
    </row>
    <row r="189" spans="1:12" x14ac:dyDescent="0.3">
      <c r="A189" s="2" t="str">
        <f>"6C15839801070"</f>
        <v>6C15839801070</v>
      </c>
      <c r="B189" s="2" t="str">
        <f>"1,670 kg"</f>
        <v>1,670 kg</v>
      </c>
      <c r="C189" s="2" t="str">
        <f>"1,700 kg"</f>
        <v>1,700 kg</v>
      </c>
      <c r="D189" s="2" t="str">
        <f>"1,700 kg"</f>
        <v>1,700 kg</v>
      </c>
      <c r="E189" s="2" t="str">
        <f t="shared" si="18"/>
        <v>Domicile</v>
      </c>
      <c r="F189" s="2" t="str">
        <f>"6C"</f>
        <v>6C</v>
      </c>
      <c r="G189" s="2" t="str">
        <f>"Colissimo  Domicile - avec signature -- FR (6C)"</f>
        <v>Colissimo  Domicile - avec signature -- FR (6C)</v>
      </c>
      <c r="H189" s="2"/>
      <c r="I189" s="2"/>
      <c r="J189" s="2"/>
      <c r="K189" s="2" t="str">
        <f t="shared" si="19"/>
        <v>986737</v>
      </c>
      <c r="L189" s="2" t="str">
        <f>"1,700 kg"</f>
        <v>1,700 kg</v>
      </c>
    </row>
    <row r="190" spans="1:12" x14ac:dyDescent="0.3">
      <c r="A190" s="2" t="str">
        <f>"6A26135746866"</f>
        <v>6A26135746866</v>
      </c>
      <c r="B190" s="2"/>
      <c r="C190" s="2" t="str">
        <f>"5,500 kg"</f>
        <v>5,500 kg</v>
      </c>
      <c r="D190" s="2" t="str">
        <f>"5,500 kg"</f>
        <v>5,500 kg</v>
      </c>
      <c r="E190" s="2" t="str">
        <f t="shared" si="18"/>
        <v>Domicile</v>
      </c>
      <c r="F190" s="2" t="str">
        <f>"6A"</f>
        <v>6A</v>
      </c>
      <c r="G190" s="2" t="str">
        <f>"Colissimo  Domicile - sans signature -- FR (6A)"</f>
        <v>Colissimo  Domicile - sans signature -- FR (6A)</v>
      </c>
      <c r="H190" s="2"/>
      <c r="I190" s="2"/>
      <c r="J190" s="2"/>
      <c r="K190" s="2" t="str">
        <f t="shared" si="19"/>
        <v>986737</v>
      </c>
      <c r="L190" s="2" t="str">
        <f>"5,500 kg"</f>
        <v>5,500 kg</v>
      </c>
    </row>
    <row r="191" spans="1:12" x14ac:dyDescent="0.3">
      <c r="A191" s="2" t="str">
        <f>"6A26145329318"</f>
        <v>6A26145329318</v>
      </c>
      <c r="B191" s="2" t="str">
        <f>"5,340 kg"</f>
        <v>5,340 kg</v>
      </c>
      <c r="C191" s="2" t="str">
        <f>"5,400 kg"</f>
        <v>5,400 kg</v>
      </c>
      <c r="D191" s="2" t="str">
        <f>"5,400 kg"</f>
        <v>5,400 kg</v>
      </c>
      <c r="E191" s="2" t="str">
        <f t="shared" si="18"/>
        <v>Domicile</v>
      </c>
      <c r="F191" s="2" t="str">
        <f>"6A"</f>
        <v>6A</v>
      </c>
      <c r="G191" s="2" t="str">
        <f>"Colissimo  Domicile - sans signature -- FR (6A)"</f>
        <v>Colissimo  Domicile - sans signature -- FR (6A)</v>
      </c>
      <c r="H191" s="2"/>
      <c r="I191" s="2"/>
      <c r="J191" s="2"/>
      <c r="K191" s="2" t="str">
        <f t="shared" si="19"/>
        <v>986737</v>
      </c>
      <c r="L191" s="2" t="str">
        <f>"5,400 kg"</f>
        <v>5,400 kg</v>
      </c>
    </row>
    <row r="192" spans="1:12" x14ac:dyDescent="0.3">
      <c r="A192" s="2" t="str">
        <f>"6C15777396010"</f>
        <v>6C15777396010</v>
      </c>
      <c r="B192" s="2" t="str">
        <f>"1,750 kg"</f>
        <v>1,750 kg</v>
      </c>
      <c r="C192" s="2" t="str">
        <f>"1,950 kg"</f>
        <v>1,950 kg</v>
      </c>
      <c r="D192" s="2" t="str">
        <f>"1,950 kg"</f>
        <v>1,950 kg</v>
      </c>
      <c r="E192" s="2" t="str">
        <f t="shared" si="18"/>
        <v>Domicile</v>
      </c>
      <c r="F192" s="2" t="str">
        <f>"6C"</f>
        <v>6C</v>
      </c>
      <c r="G192" s="2" t="str">
        <f>"Colissimo  Domicile - avec signature -- FR (6C)"</f>
        <v>Colissimo  Domicile - avec signature -- FR (6C)</v>
      </c>
      <c r="H192" s="2"/>
      <c r="I192" s="2"/>
      <c r="J192" s="2"/>
      <c r="K192" s="2" t="str">
        <f t="shared" si="19"/>
        <v>986737</v>
      </c>
      <c r="L192" s="2" t="str">
        <f>"1,950 kg"</f>
        <v>1,950 kg</v>
      </c>
    </row>
    <row r="193" spans="1:12" x14ac:dyDescent="0.3">
      <c r="A193" s="2" t="str">
        <f>"6C15831800354"</f>
        <v>6C15831800354</v>
      </c>
      <c r="B193" s="2" t="str">
        <f>"4,290 kg"</f>
        <v>4,290 kg</v>
      </c>
      <c r="C193" s="2" t="str">
        <f>"4,300 kg"</f>
        <v>4,300 kg</v>
      </c>
      <c r="D193" s="2" t="str">
        <f>"4,300 kg"</f>
        <v>4,300 kg</v>
      </c>
      <c r="E193" s="2" t="str">
        <f t="shared" si="18"/>
        <v>Domicile</v>
      </c>
      <c r="F193" s="2" t="str">
        <f>"6C"</f>
        <v>6C</v>
      </c>
      <c r="G193" s="2" t="str">
        <f>"Colissimo  Domicile - avec signature -- FR (6C)"</f>
        <v>Colissimo  Domicile - avec signature -- FR (6C)</v>
      </c>
      <c r="H193" s="2"/>
      <c r="I193" s="2"/>
      <c r="J193" s="2"/>
      <c r="K193" s="2" t="str">
        <f t="shared" si="19"/>
        <v>986737</v>
      </c>
      <c r="L193" s="2" t="str">
        <f>"4,300 kg"</f>
        <v>4,300 kg</v>
      </c>
    </row>
    <row r="194" spans="1:12" x14ac:dyDescent="0.3">
      <c r="A194" s="2" t="str">
        <f>"6A26135746880"</f>
        <v>6A26135746880</v>
      </c>
      <c r="B194" s="2" t="str">
        <f>"5,340 kg"</f>
        <v>5,340 kg</v>
      </c>
      <c r="C194" s="2" t="str">
        <f>"5,340 kg"</f>
        <v>5,340 kg</v>
      </c>
      <c r="D194" s="2" t="str">
        <f>"5,350 kg"</f>
        <v>5,350 kg</v>
      </c>
      <c r="E194" s="2" t="str">
        <f t="shared" ref="E194:E257" si="26">"Domicile"</f>
        <v>Domicile</v>
      </c>
      <c r="F194" s="2" t="str">
        <f>"6A"</f>
        <v>6A</v>
      </c>
      <c r="G194" s="2" t="str">
        <f>"Colissimo  Domicile - sans signature -- FR (6A)"</f>
        <v>Colissimo  Domicile - sans signature -- FR (6A)</v>
      </c>
      <c r="H194" s="2"/>
      <c r="I194" s="2"/>
      <c r="J194" s="2"/>
      <c r="K194" s="2" t="str">
        <f t="shared" ref="K194:K257" si="27">"986737"</f>
        <v>986737</v>
      </c>
      <c r="L194" s="2" t="str">
        <f>"5,350 kg"</f>
        <v>5,350 kg</v>
      </c>
    </row>
    <row r="195" spans="1:12" x14ac:dyDescent="0.3">
      <c r="A195" s="2" t="str">
        <f>"6A26145329295"</f>
        <v>6A26145329295</v>
      </c>
      <c r="B195" s="2"/>
      <c r="C195" s="2" t="str">
        <f>"5,350 kg"</f>
        <v>5,350 kg</v>
      </c>
      <c r="D195" s="2" t="str">
        <f>"5,350 kg"</f>
        <v>5,350 kg</v>
      </c>
      <c r="E195" s="2" t="str">
        <f t="shared" si="26"/>
        <v>Domicile</v>
      </c>
      <c r="F195" s="2" t="str">
        <f>"6A"</f>
        <v>6A</v>
      </c>
      <c r="G195" s="2" t="str">
        <f>"Colissimo  Domicile - sans signature -- FR (6A)"</f>
        <v>Colissimo  Domicile - sans signature -- FR (6A)</v>
      </c>
      <c r="H195" s="2"/>
      <c r="I195" s="2"/>
      <c r="J195" s="2"/>
      <c r="K195" s="2" t="str">
        <f t="shared" si="27"/>
        <v>986737</v>
      </c>
      <c r="L195" s="2" t="str">
        <f>"5,350 kg"</f>
        <v>5,350 kg</v>
      </c>
    </row>
    <row r="196" spans="1:12" x14ac:dyDescent="0.3">
      <c r="A196" s="2" t="str">
        <f>"6A26142130429"</f>
        <v>6A26142130429</v>
      </c>
      <c r="B196" s="2" t="str">
        <f>"5,340 kg"</f>
        <v>5,340 kg</v>
      </c>
      <c r="C196" s="2" t="str">
        <f>"5,400 kg"</f>
        <v>5,400 kg</v>
      </c>
      <c r="D196" s="2" t="str">
        <f>"5,400 kg"</f>
        <v>5,400 kg</v>
      </c>
      <c r="E196" s="2" t="str">
        <f t="shared" si="26"/>
        <v>Domicile</v>
      </c>
      <c r="F196" s="2" t="str">
        <f>"6A"</f>
        <v>6A</v>
      </c>
      <c r="G196" s="2" t="str">
        <f>"Colissimo  Domicile - sans signature -- FR (6A)"</f>
        <v>Colissimo  Domicile - sans signature -- FR (6A)</v>
      </c>
      <c r="H196" s="2"/>
      <c r="I196" s="2"/>
      <c r="J196" s="2"/>
      <c r="K196" s="2" t="str">
        <f t="shared" si="27"/>
        <v>986737</v>
      </c>
      <c r="L196" s="2" t="str">
        <f>"5,400 kg"</f>
        <v>5,400 kg</v>
      </c>
    </row>
    <row r="197" spans="1:12" x14ac:dyDescent="0.3">
      <c r="A197" s="2" t="str">
        <f>"6C15839645629"</f>
        <v>6C15839645629</v>
      </c>
      <c r="B197" s="2" t="str">
        <f>"1,920 kg"</f>
        <v>1,920 kg</v>
      </c>
      <c r="C197" s="2" t="str">
        <f>"1,940 kg"</f>
        <v>1,940 kg</v>
      </c>
      <c r="D197" s="2" t="str">
        <f>"1,950 kg"</f>
        <v>1,950 kg</v>
      </c>
      <c r="E197" s="2" t="str">
        <f t="shared" si="26"/>
        <v>Domicile</v>
      </c>
      <c r="F197" s="2" t="str">
        <f>"6C"</f>
        <v>6C</v>
      </c>
      <c r="G197" s="2" t="str">
        <f>"Colissimo  Domicile - avec signature -- FR (6C)"</f>
        <v>Colissimo  Domicile - avec signature -- FR (6C)</v>
      </c>
      <c r="H197" s="2"/>
      <c r="I197" s="2"/>
      <c r="J197" s="2"/>
      <c r="K197" s="2" t="str">
        <f t="shared" si="27"/>
        <v>986737</v>
      </c>
      <c r="L197" s="2" t="str">
        <f>"1,950 kg"</f>
        <v>1,950 kg</v>
      </c>
    </row>
    <row r="198" spans="1:12" x14ac:dyDescent="0.3">
      <c r="A198" s="2" t="str">
        <f>"6A26171755013"</f>
        <v>6A26171755013</v>
      </c>
      <c r="B198" s="2"/>
      <c r="C198" s="2" t="str">
        <f>"10,280 kg"</f>
        <v>10,280 kg</v>
      </c>
      <c r="D198" s="2" t="str">
        <f>"10,300 kg"</f>
        <v>10,300 kg</v>
      </c>
      <c r="E198" s="2" t="str">
        <f t="shared" si="26"/>
        <v>Domicile</v>
      </c>
      <c r="F198" s="2" t="str">
        <f>"6A"</f>
        <v>6A</v>
      </c>
      <c r="G198" s="2" t="str">
        <f>"Colissimo  Domicile - sans signature -- FR (6A)"</f>
        <v>Colissimo  Domicile - sans signature -- FR (6A)</v>
      </c>
      <c r="H198" s="2"/>
      <c r="I198" s="2"/>
      <c r="J198" s="2"/>
      <c r="K198" s="2" t="str">
        <f t="shared" si="27"/>
        <v>986737</v>
      </c>
      <c r="L198" s="2" t="str">
        <f>"10,300 kg"</f>
        <v>10,300 kg</v>
      </c>
    </row>
    <row r="199" spans="1:12" x14ac:dyDescent="0.3">
      <c r="A199" s="2" t="str">
        <f>"6C15787136378"</f>
        <v>6C15787136378</v>
      </c>
      <c r="B199" s="2" t="str">
        <f>"0,530 kg"</f>
        <v>0,530 kg</v>
      </c>
      <c r="C199" s="2" t="str">
        <f>"0,540 kg"</f>
        <v>0,540 kg</v>
      </c>
      <c r="D199" s="2" t="str">
        <f>"0,550 kg"</f>
        <v>0,550 kg</v>
      </c>
      <c r="E199" s="2" t="str">
        <f t="shared" si="26"/>
        <v>Domicile</v>
      </c>
      <c r="F199" s="2" t="str">
        <f>"6C"</f>
        <v>6C</v>
      </c>
      <c r="G199" s="2" t="str">
        <f>"Colissimo  Domicile - avec signature -- FR (6C)"</f>
        <v>Colissimo  Domicile - avec signature -- FR (6C)</v>
      </c>
      <c r="H199" s="2"/>
      <c r="I199" s="2"/>
      <c r="J199" s="2"/>
      <c r="K199" s="2" t="str">
        <f t="shared" si="27"/>
        <v>986737</v>
      </c>
      <c r="L199" s="2" t="str">
        <f>"0,550 kg"</f>
        <v>0,550 kg</v>
      </c>
    </row>
    <row r="200" spans="1:12" x14ac:dyDescent="0.3">
      <c r="A200" s="2" t="str">
        <f>"6A26346438956"</f>
        <v>6A26346438956</v>
      </c>
      <c r="B200" s="2" t="str">
        <f>"6,540 kg"</f>
        <v>6,540 kg</v>
      </c>
      <c r="C200" s="2" t="str">
        <f>"6,200 kg"</f>
        <v>6,200 kg</v>
      </c>
      <c r="D200" s="2" t="str">
        <f>"6,200 kg"</f>
        <v>6,200 kg</v>
      </c>
      <c r="E200" s="2" t="str">
        <f t="shared" si="26"/>
        <v>Domicile</v>
      </c>
      <c r="F200" s="2" t="str">
        <f>"6A"</f>
        <v>6A</v>
      </c>
      <c r="G200" s="2" t="str">
        <f>"Colissimo  Domicile - sans signature -- FR (6A)"</f>
        <v>Colissimo  Domicile - sans signature -- FR (6A)</v>
      </c>
      <c r="H200" s="2"/>
      <c r="I200" s="2"/>
      <c r="J200" s="2"/>
      <c r="K200" s="2" t="str">
        <f t="shared" si="27"/>
        <v>986737</v>
      </c>
      <c r="L200" s="2" t="str">
        <f>"6,200 kg"</f>
        <v>6,200 kg</v>
      </c>
    </row>
    <row r="201" spans="1:12" x14ac:dyDescent="0.3">
      <c r="A201" s="2" t="str">
        <f>"6C15876902891"</f>
        <v>6C15876902891</v>
      </c>
      <c r="B201" s="2"/>
      <c r="C201" s="2" t="str">
        <f>"0,300 kg"</f>
        <v>0,300 kg</v>
      </c>
      <c r="D201" s="2" t="str">
        <f>"0,300 kg"</f>
        <v>0,300 kg</v>
      </c>
      <c r="E201" s="2" t="str">
        <f t="shared" si="26"/>
        <v>Domicile</v>
      </c>
      <c r="F201" s="2" t="str">
        <f t="shared" ref="F201:F207" si="28">"6C"</f>
        <v>6C</v>
      </c>
      <c r="G201" s="2" t="str">
        <f t="shared" ref="G201:G207" si="29">"Colissimo  Domicile - avec signature -- FR (6C)"</f>
        <v>Colissimo  Domicile - avec signature -- FR (6C)</v>
      </c>
      <c r="H201" s="2"/>
      <c r="I201" s="2"/>
      <c r="J201" s="2"/>
      <c r="K201" s="2" t="str">
        <f t="shared" si="27"/>
        <v>986737</v>
      </c>
      <c r="L201" s="2" t="str">
        <f>"0,300 kg"</f>
        <v>0,300 kg</v>
      </c>
    </row>
    <row r="202" spans="1:12" x14ac:dyDescent="0.3">
      <c r="A202" s="2" t="str">
        <f>"6C15866557384"</f>
        <v>6C15866557384</v>
      </c>
      <c r="B202" s="2" t="str">
        <f>"1,870 kg"</f>
        <v>1,870 kg</v>
      </c>
      <c r="C202" s="2" t="str">
        <f>"1,850 kg"</f>
        <v>1,850 kg</v>
      </c>
      <c r="D202" s="2" t="str">
        <f>"1,900 kg"</f>
        <v>1,900 kg</v>
      </c>
      <c r="E202" s="2" t="str">
        <f t="shared" si="26"/>
        <v>Domicile</v>
      </c>
      <c r="F202" s="2" t="str">
        <f t="shared" si="28"/>
        <v>6C</v>
      </c>
      <c r="G202" s="2" t="str">
        <f t="shared" si="29"/>
        <v>Colissimo  Domicile - avec signature -- FR (6C)</v>
      </c>
      <c r="H202" s="2"/>
      <c r="I202" s="2"/>
      <c r="J202" s="2"/>
      <c r="K202" s="2" t="str">
        <f t="shared" si="27"/>
        <v>986737</v>
      </c>
      <c r="L202" s="2" t="str">
        <f>"1,900 kg"</f>
        <v>1,900 kg</v>
      </c>
    </row>
    <row r="203" spans="1:12" x14ac:dyDescent="0.3">
      <c r="A203" s="2" t="str">
        <f>"6C15866313003"</f>
        <v>6C15866313003</v>
      </c>
      <c r="B203" s="2"/>
      <c r="C203" s="2" t="str">
        <f>"5,440 kg"</f>
        <v>5,440 kg</v>
      </c>
      <c r="D203" s="2" t="str">
        <f>"5,450 kg"</f>
        <v>5,450 kg</v>
      </c>
      <c r="E203" s="2" t="str">
        <f t="shared" si="26"/>
        <v>Domicile</v>
      </c>
      <c r="F203" s="2" t="str">
        <f t="shared" si="28"/>
        <v>6C</v>
      </c>
      <c r="G203" s="2" t="str">
        <f t="shared" si="29"/>
        <v>Colissimo  Domicile - avec signature -- FR (6C)</v>
      </c>
      <c r="H203" s="2"/>
      <c r="I203" s="2"/>
      <c r="J203" s="2"/>
      <c r="K203" s="2" t="str">
        <f t="shared" si="27"/>
        <v>986737</v>
      </c>
      <c r="L203" s="2" t="str">
        <f>"5,450 kg"</f>
        <v>5,450 kg</v>
      </c>
    </row>
    <row r="204" spans="1:12" x14ac:dyDescent="0.3">
      <c r="A204" s="2" t="str">
        <f>"6C15873840004"</f>
        <v>6C15873840004</v>
      </c>
      <c r="B204" s="2"/>
      <c r="C204" s="2" t="str">
        <f>"1,850 kg"</f>
        <v>1,850 kg</v>
      </c>
      <c r="D204" s="2" t="str">
        <f>"1,850 kg"</f>
        <v>1,850 kg</v>
      </c>
      <c r="E204" s="2" t="str">
        <f t="shared" si="26"/>
        <v>Domicile</v>
      </c>
      <c r="F204" s="2" t="str">
        <f t="shared" si="28"/>
        <v>6C</v>
      </c>
      <c r="G204" s="2" t="str">
        <f t="shared" si="29"/>
        <v>Colissimo  Domicile - avec signature -- FR (6C)</v>
      </c>
      <c r="H204" s="2"/>
      <c r="I204" s="2"/>
      <c r="J204" s="2"/>
      <c r="K204" s="2" t="str">
        <f t="shared" si="27"/>
        <v>986737</v>
      </c>
      <c r="L204" s="2" t="str">
        <f>"1,850 kg"</f>
        <v>1,850 kg</v>
      </c>
    </row>
    <row r="205" spans="1:12" x14ac:dyDescent="0.3">
      <c r="A205" s="2" t="str">
        <f>"6C15873839428"</f>
        <v>6C15873839428</v>
      </c>
      <c r="B205" s="2"/>
      <c r="C205" s="2" t="str">
        <f>"0,500 kg"</f>
        <v>0,500 kg</v>
      </c>
      <c r="D205" s="2" t="str">
        <f>"0,500 kg"</f>
        <v>0,500 kg</v>
      </c>
      <c r="E205" s="2" t="str">
        <f t="shared" si="26"/>
        <v>Domicile</v>
      </c>
      <c r="F205" s="2" t="str">
        <f t="shared" si="28"/>
        <v>6C</v>
      </c>
      <c r="G205" s="2" t="str">
        <f t="shared" si="29"/>
        <v>Colissimo  Domicile - avec signature -- FR (6C)</v>
      </c>
      <c r="H205" s="2"/>
      <c r="I205" s="2"/>
      <c r="J205" s="2"/>
      <c r="K205" s="2" t="str">
        <f t="shared" si="27"/>
        <v>986737</v>
      </c>
      <c r="L205" s="2" t="str">
        <f>"0,500 kg"</f>
        <v>0,500 kg</v>
      </c>
    </row>
    <row r="206" spans="1:12" x14ac:dyDescent="0.3">
      <c r="A206" s="2" t="str">
        <f>"6C15873479440"</f>
        <v>6C15873479440</v>
      </c>
      <c r="B206" s="2" t="str">
        <f>"2,870 kg"</f>
        <v>2,870 kg</v>
      </c>
      <c r="C206" s="2" t="str">
        <f>"2,850 kg"</f>
        <v>2,850 kg</v>
      </c>
      <c r="D206" s="2" t="str">
        <f>"2,850 kg"</f>
        <v>2,850 kg</v>
      </c>
      <c r="E206" s="2" t="str">
        <f t="shared" si="26"/>
        <v>Domicile</v>
      </c>
      <c r="F206" s="2" t="str">
        <f t="shared" si="28"/>
        <v>6C</v>
      </c>
      <c r="G206" s="2" t="str">
        <f t="shared" si="29"/>
        <v>Colissimo  Domicile - avec signature -- FR (6C)</v>
      </c>
      <c r="H206" s="2"/>
      <c r="I206" s="2"/>
      <c r="J206" s="2"/>
      <c r="K206" s="2" t="str">
        <f t="shared" si="27"/>
        <v>986737</v>
      </c>
      <c r="L206" s="2" t="str">
        <f>"2,850 kg"</f>
        <v>2,850 kg</v>
      </c>
    </row>
    <row r="207" spans="1:12" x14ac:dyDescent="0.3">
      <c r="A207" s="2" t="str">
        <f>"6C15872647871"</f>
        <v>6C15872647871</v>
      </c>
      <c r="B207" s="2" t="str">
        <f>"0,160 kg"</f>
        <v>0,160 kg</v>
      </c>
      <c r="C207" s="2" t="str">
        <f>"0,150 kg"</f>
        <v>0,150 kg</v>
      </c>
      <c r="D207" s="2" t="str">
        <f>"0,150 kg"</f>
        <v>0,150 kg</v>
      </c>
      <c r="E207" s="2" t="str">
        <f t="shared" si="26"/>
        <v>Domicile</v>
      </c>
      <c r="F207" s="2" t="str">
        <f t="shared" si="28"/>
        <v>6C</v>
      </c>
      <c r="G207" s="2" t="str">
        <f t="shared" si="29"/>
        <v>Colissimo  Domicile - avec signature -- FR (6C)</v>
      </c>
      <c r="H207" s="2"/>
      <c r="I207" s="2"/>
      <c r="J207" s="2"/>
      <c r="K207" s="2" t="str">
        <f t="shared" si="27"/>
        <v>986737</v>
      </c>
      <c r="L207" s="2" t="str">
        <f>"0,150 kg"</f>
        <v>0,150 kg</v>
      </c>
    </row>
    <row r="208" spans="1:12" x14ac:dyDescent="0.3">
      <c r="A208" s="2" t="str">
        <f>"6A26487669196"</f>
        <v>6A26487669196</v>
      </c>
      <c r="B208" s="2"/>
      <c r="C208" s="2" t="str">
        <f>"1,150 kg"</f>
        <v>1,150 kg</v>
      </c>
      <c r="D208" s="2" t="str">
        <f>"1,150 kg"</f>
        <v>1,150 kg</v>
      </c>
      <c r="E208" s="2" t="str">
        <f t="shared" si="26"/>
        <v>Domicile</v>
      </c>
      <c r="F208" s="2" t="str">
        <f>"6A"</f>
        <v>6A</v>
      </c>
      <c r="G208" s="2" t="str">
        <f>"Colissimo  Domicile - sans signature -- FR (6A)"</f>
        <v>Colissimo  Domicile - sans signature -- FR (6A)</v>
      </c>
      <c r="H208" s="2"/>
      <c r="I208" s="2"/>
      <c r="J208" s="2" t="str">
        <f>"FECAMP"</f>
        <v>FECAMP</v>
      </c>
      <c r="K208" s="2" t="str">
        <f t="shared" si="27"/>
        <v>986737</v>
      </c>
      <c r="L208" s="2" t="str">
        <f>"1,150 kg"</f>
        <v>1,150 kg</v>
      </c>
    </row>
    <row r="209" spans="1:12" x14ac:dyDescent="0.3">
      <c r="A209" s="2" t="str">
        <f>"6C15904160682"</f>
        <v>6C15904160682</v>
      </c>
      <c r="B209" s="2" t="str">
        <f>"5,460 kg"</f>
        <v>5,460 kg</v>
      </c>
      <c r="C209" s="2" t="str">
        <f>"5,400 kg"</f>
        <v>5,400 kg</v>
      </c>
      <c r="D209" s="2" t="str">
        <f>"5,450 kg"</f>
        <v>5,450 kg</v>
      </c>
      <c r="E209" s="2" t="str">
        <f t="shared" si="26"/>
        <v>Domicile</v>
      </c>
      <c r="F209" s="2" t="str">
        <f t="shared" ref="F209:F227" si="30">"6C"</f>
        <v>6C</v>
      </c>
      <c r="G209" s="2" t="str">
        <f t="shared" ref="G209:G227" si="31">"Colissimo  Domicile - avec signature -- FR (6C)"</f>
        <v>Colissimo  Domicile - avec signature -- FR (6C)</v>
      </c>
      <c r="H209" s="2"/>
      <c r="I209" s="2"/>
      <c r="J209" s="2"/>
      <c r="K209" s="2" t="str">
        <f t="shared" si="27"/>
        <v>986737</v>
      </c>
      <c r="L209" s="2" t="str">
        <f>"5,450 kg"</f>
        <v>5,450 kg</v>
      </c>
    </row>
    <row r="210" spans="1:12" x14ac:dyDescent="0.3">
      <c r="A210" s="2" t="str">
        <f>"6C15903267122"</f>
        <v>6C15903267122</v>
      </c>
      <c r="B210" s="2" t="str">
        <f>"8,170 kg"</f>
        <v>8,170 kg</v>
      </c>
      <c r="C210" s="2" t="str">
        <f>"8,200 kg"</f>
        <v>8,200 kg</v>
      </c>
      <c r="D210" s="2" t="str">
        <f>"8,200 kg"</f>
        <v>8,200 kg</v>
      </c>
      <c r="E210" s="2" t="str">
        <f t="shared" si="26"/>
        <v>Domicile</v>
      </c>
      <c r="F210" s="2" t="str">
        <f t="shared" si="30"/>
        <v>6C</v>
      </c>
      <c r="G210" s="2" t="str">
        <f t="shared" si="31"/>
        <v>Colissimo  Domicile - avec signature -- FR (6C)</v>
      </c>
      <c r="H210" s="2"/>
      <c r="I210" s="2"/>
      <c r="J210" s="2"/>
      <c r="K210" s="2" t="str">
        <f t="shared" si="27"/>
        <v>986737</v>
      </c>
      <c r="L210" s="2" t="str">
        <f>"8,200 kg"</f>
        <v>8,200 kg</v>
      </c>
    </row>
    <row r="211" spans="1:12" x14ac:dyDescent="0.3">
      <c r="A211" s="2" t="str">
        <f>"6C15900740857"</f>
        <v>6C15900740857</v>
      </c>
      <c r="B211" s="2" t="str">
        <f>"1,380 kg"</f>
        <v>1,380 kg</v>
      </c>
      <c r="C211" s="2" t="str">
        <f>"1,100 kg"</f>
        <v>1,100 kg</v>
      </c>
      <c r="D211" s="2" t="str">
        <f>"1,100 kg"</f>
        <v>1,100 kg</v>
      </c>
      <c r="E211" s="2" t="str">
        <f t="shared" si="26"/>
        <v>Domicile</v>
      </c>
      <c r="F211" s="2" t="str">
        <f t="shared" si="30"/>
        <v>6C</v>
      </c>
      <c r="G211" s="2" t="str">
        <f t="shared" si="31"/>
        <v>Colissimo  Domicile - avec signature -- FR (6C)</v>
      </c>
      <c r="H211" s="2"/>
      <c r="I211" s="2"/>
      <c r="J211" s="2"/>
      <c r="K211" s="2" t="str">
        <f t="shared" si="27"/>
        <v>986737</v>
      </c>
      <c r="L211" s="2" t="str">
        <f>"1,100 kg"</f>
        <v>1,100 kg</v>
      </c>
    </row>
    <row r="212" spans="1:12" x14ac:dyDescent="0.3">
      <c r="A212" s="2" t="str">
        <f>"6C15887923335"</f>
        <v>6C15887923335</v>
      </c>
      <c r="B212" s="2"/>
      <c r="C212" s="2" t="str">
        <f>"2,300 kg"</f>
        <v>2,300 kg</v>
      </c>
      <c r="D212" s="2" t="str">
        <f>"2,300 kg"</f>
        <v>2,300 kg</v>
      </c>
      <c r="E212" s="2" t="str">
        <f t="shared" si="26"/>
        <v>Domicile</v>
      </c>
      <c r="F212" s="2" t="str">
        <f t="shared" si="30"/>
        <v>6C</v>
      </c>
      <c r="G212" s="2" t="str">
        <f t="shared" si="31"/>
        <v>Colissimo  Domicile - avec signature -- FR (6C)</v>
      </c>
      <c r="H212" s="2"/>
      <c r="I212" s="2"/>
      <c r="J212" s="2"/>
      <c r="K212" s="2" t="str">
        <f t="shared" si="27"/>
        <v>986737</v>
      </c>
      <c r="L212" s="2" t="str">
        <f>"2,300 kg"</f>
        <v>2,300 kg</v>
      </c>
    </row>
    <row r="213" spans="1:12" x14ac:dyDescent="0.3">
      <c r="A213" s="2" t="str">
        <f>"6C15901943110"</f>
        <v>6C15901943110</v>
      </c>
      <c r="B213" s="2"/>
      <c r="C213" s="2" t="str">
        <f>"8,350 kg"</f>
        <v>8,350 kg</v>
      </c>
      <c r="D213" s="2" t="str">
        <f>"8,350 kg"</f>
        <v>8,350 kg</v>
      </c>
      <c r="E213" s="2" t="str">
        <f t="shared" si="26"/>
        <v>Domicile</v>
      </c>
      <c r="F213" s="2" t="str">
        <f t="shared" si="30"/>
        <v>6C</v>
      </c>
      <c r="G213" s="2" t="str">
        <f t="shared" si="31"/>
        <v>Colissimo  Domicile - avec signature -- FR (6C)</v>
      </c>
      <c r="H213" s="2"/>
      <c r="I213" s="2"/>
      <c r="J213" s="2"/>
      <c r="K213" s="2" t="str">
        <f t="shared" si="27"/>
        <v>986737</v>
      </c>
      <c r="L213" s="2" t="str">
        <f>"8,350 kg"</f>
        <v>8,350 kg</v>
      </c>
    </row>
    <row r="214" spans="1:12" x14ac:dyDescent="0.3">
      <c r="A214" s="2" t="str">
        <f>"6C15889272721"</f>
        <v>6C15889272721</v>
      </c>
      <c r="B214" s="2" t="str">
        <f>"1,800 kg"</f>
        <v>1,800 kg</v>
      </c>
      <c r="C214" s="2" t="str">
        <f>"1,850 kg"</f>
        <v>1,850 kg</v>
      </c>
      <c r="D214" s="2" t="str">
        <f>"1,850 kg"</f>
        <v>1,850 kg</v>
      </c>
      <c r="E214" s="2" t="str">
        <f t="shared" si="26"/>
        <v>Domicile</v>
      </c>
      <c r="F214" s="2" t="str">
        <f t="shared" si="30"/>
        <v>6C</v>
      </c>
      <c r="G214" s="2" t="str">
        <f t="shared" si="31"/>
        <v>Colissimo  Domicile - avec signature -- FR (6C)</v>
      </c>
      <c r="H214" s="2"/>
      <c r="I214" s="2"/>
      <c r="J214" s="2"/>
      <c r="K214" s="2" t="str">
        <f t="shared" si="27"/>
        <v>986737</v>
      </c>
      <c r="L214" s="2" t="str">
        <f>"1,850 kg"</f>
        <v>1,850 kg</v>
      </c>
    </row>
    <row r="215" spans="1:12" x14ac:dyDescent="0.3">
      <c r="A215" s="2" t="str">
        <f>"6C15902241338"</f>
        <v>6C15902241338</v>
      </c>
      <c r="B215" s="2" t="str">
        <f>"1,870 kg"</f>
        <v>1,870 kg</v>
      </c>
      <c r="C215" s="2" t="str">
        <f>"1,850 kg"</f>
        <v>1,850 kg</v>
      </c>
      <c r="D215" s="2" t="str">
        <f>"1,850 kg"</f>
        <v>1,850 kg</v>
      </c>
      <c r="E215" s="2" t="str">
        <f t="shared" si="26"/>
        <v>Domicile</v>
      </c>
      <c r="F215" s="2" t="str">
        <f t="shared" si="30"/>
        <v>6C</v>
      </c>
      <c r="G215" s="2" t="str">
        <f t="shared" si="31"/>
        <v>Colissimo  Domicile - avec signature -- FR (6C)</v>
      </c>
      <c r="H215" s="2"/>
      <c r="I215" s="2"/>
      <c r="J215" s="2"/>
      <c r="K215" s="2" t="str">
        <f t="shared" si="27"/>
        <v>986737</v>
      </c>
      <c r="L215" s="2" t="str">
        <f>"1,850 kg"</f>
        <v>1,850 kg</v>
      </c>
    </row>
    <row r="216" spans="1:12" x14ac:dyDescent="0.3">
      <c r="A216" s="2" t="str">
        <f>"6C15889660979"</f>
        <v>6C15889660979</v>
      </c>
      <c r="B216" s="2" t="str">
        <f>"3,590 kg"</f>
        <v>3,590 kg</v>
      </c>
      <c r="C216" s="2" t="str">
        <f>"3,600 kg"</f>
        <v>3,600 kg</v>
      </c>
      <c r="D216" s="2" t="str">
        <f>"3,600 kg"</f>
        <v>3,600 kg</v>
      </c>
      <c r="E216" s="2" t="str">
        <f t="shared" si="26"/>
        <v>Domicile</v>
      </c>
      <c r="F216" s="2" t="str">
        <f t="shared" si="30"/>
        <v>6C</v>
      </c>
      <c r="G216" s="2" t="str">
        <f t="shared" si="31"/>
        <v>Colissimo  Domicile - avec signature -- FR (6C)</v>
      </c>
      <c r="H216" s="2"/>
      <c r="I216" s="2"/>
      <c r="J216" s="2"/>
      <c r="K216" s="2" t="str">
        <f t="shared" si="27"/>
        <v>986737</v>
      </c>
      <c r="L216" s="2" t="str">
        <f>"3,600 kg"</f>
        <v>3,600 kg</v>
      </c>
    </row>
    <row r="217" spans="1:12" x14ac:dyDescent="0.3">
      <c r="A217" s="2" t="str">
        <f>"6C15891826868"</f>
        <v>6C15891826868</v>
      </c>
      <c r="B217" s="2" t="str">
        <f>"3,580 kg"</f>
        <v>3,580 kg</v>
      </c>
      <c r="C217" s="2" t="str">
        <f>"3,580 kg"</f>
        <v>3,580 kg</v>
      </c>
      <c r="D217" s="2" t="str">
        <f>"3,600 kg"</f>
        <v>3,600 kg</v>
      </c>
      <c r="E217" s="2" t="str">
        <f t="shared" si="26"/>
        <v>Domicile</v>
      </c>
      <c r="F217" s="2" t="str">
        <f t="shared" si="30"/>
        <v>6C</v>
      </c>
      <c r="G217" s="2" t="str">
        <f t="shared" si="31"/>
        <v>Colissimo  Domicile - avec signature -- FR (6C)</v>
      </c>
      <c r="H217" s="2"/>
      <c r="I217" s="2"/>
      <c r="J217" s="2"/>
      <c r="K217" s="2" t="str">
        <f t="shared" si="27"/>
        <v>986737</v>
      </c>
      <c r="L217" s="2" t="str">
        <f>"3,600 kg"</f>
        <v>3,600 kg</v>
      </c>
    </row>
    <row r="218" spans="1:12" x14ac:dyDescent="0.3">
      <c r="A218" s="2" t="str">
        <f>"6C15903359421"</f>
        <v>6C15903359421</v>
      </c>
      <c r="B218" s="2"/>
      <c r="C218" s="2" t="str">
        <f>"0,600 kg"</f>
        <v>0,600 kg</v>
      </c>
      <c r="D218" s="2" t="str">
        <f>"0,600 kg"</f>
        <v>0,600 kg</v>
      </c>
      <c r="E218" s="2" t="str">
        <f t="shared" si="26"/>
        <v>Domicile</v>
      </c>
      <c r="F218" s="2" t="str">
        <f t="shared" si="30"/>
        <v>6C</v>
      </c>
      <c r="G218" s="2" t="str">
        <f t="shared" si="31"/>
        <v>Colissimo  Domicile - avec signature -- FR (6C)</v>
      </c>
      <c r="H218" s="2"/>
      <c r="I218" s="2"/>
      <c r="J218" s="2"/>
      <c r="K218" s="2" t="str">
        <f t="shared" si="27"/>
        <v>986737</v>
      </c>
      <c r="L218" s="2" t="str">
        <f>"0,600 kg"</f>
        <v>0,600 kg</v>
      </c>
    </row>
    <row r="219" spans="1:12" x14ac:dyDescent="0.3">
      <c r="A219" s="2" t="str">
        <f>"6C15910427533"</f>
        <v>6C15910427533</v>
      </c>
      <c r="B219" s="2" t="str">
        <f>"6,980 kg"</f>
        <v>6,980 kg</v>
      </c>
      <c r="C219" s="2" t="str">
        <f>"6,950 kg"</f>
        <v>6,950 kg</v>
      </c>
      <c r="D219" s="2" t="str">
        <f>"6,950 kg"</f>
        <v>6,950 kg</v>
      </c>
      <c r="E219" s="2" t="str">
        <f t="shared" si="26"/>
        <v>Domicile</v>
      </c>
      <c r="F219" s="2" t="str">
        <f t="shared" si="30"/>
        <v>6C</v>
      </c>
      <c r="G219" s="2" t="str">
        <f t="shared" si="31"/>
        <v>Colissimo  Domicile - avec signature -- FR (6C)</v>
      </c>
      <c r="H219" s="2"/>
      <c r="I219" s="2"/>
      <c r="J219" s="2"/>
      <c r="K219" s="2" t="str">
        <f t="shared" si="27"/>
        <v>986737</v>
      </c>
      <c r="L219" s="2" t="str">
        <f>"6,950 kg"</f>
        <v>6,950 kg</v>
      </c>
    </row>
    <row r="220" spans="1:12" x14ac:dyDescent="0.3">
      <c r="A220" s="2" t="str">
        <f>"6C15904147980"</f>
        <v>6C15904147980</v>
      </c>
      <c r="B220" s="2"/>
      <c r="C220" s="2" t="str">
        <f>"1,750 kg"</f>
        <v>1,750 kg</v>
      </c>
      <c r="D220" s="2" t="str">
        <f>"1,950 kg"</f>
        <v>1,950 kg</v>
      </c>
      <c r="E220" s="2" t="str">
        <f t="shared" si="26"/>
        <v>Domicile</v>
      </c>
      <c r="F220" s="2" t="str">
        <f t="shared" si="30"/>
        <v>6C</v>
      </c>
      <c r="G220" s="2" t="str">
        <f t="shared" si="31"/>
        <v>Colissimo  Domicile - avec signature -- FR (6C)</v>
      </c>
      <c r="H220" s="2"/>
      <c r="I220" s="2"/>
      <c r="J220" s="2"/>
      <c r="K220" s="2" t="str">
        <f t="shared" si="27"/>
        <v>986737</v>
      </c>
      <c r="L220" s="2" t="str">
        <f>"1,950 kg"</f>
        <v>1,950 kg</v>
      </c>
    </row>
    <row r="221" spans="1:12" x14ac:dyDescent="0.3">
      <c r="A221" s="2" t="str">
        <f>"6C15891696102"</f>
        <v>6C15891696102</v>
      </c>
      <c r="B221" s="2" t="str">
        <f>"1,840 kg"</f>
        <v>1,840 kg</v>
      </c>
      <c r="C221" s="2" t="str">
        <f>"1,850 kg"</f>
        <v>1,850 kg</v>
      </c>
      <c r="D221" s="2" t="str">
        <f>"1,850 kg"</f>
        <v>1,850 kg</v>
      </c>
      <c r="E221" s="2" t="str">
        <f t="shared" si="26"/>
        <v>Domicile</v>
      </c>
      <c r="F221" s="2" t="str">
        <f t="shared" si="30"/>
        <v>6C</v>
      </c>
      <c r="G221" s="2" t="str">
        <f t="shared" si="31"/>
        <v>Colissimo  Domicile - avec signature -- FR (6C)</v>
      </c>
      <c r="H221" s="2"/>
      <c r="I221" s="2"/>
      <c r="J221" s="2"/>
      <c r="K221" s="2" t="str">
        <f t="shared" si="27"/>
        <v>986737</v>
      </c>
      <c r="L221" s="2" t="str">
        <f>"1,850 kg"</f>
        <v>1,850 kg</v>
      </c>
    </row>
    <row r="222" spans="1:12" x14ac:dyDescent="0.3">
      <c r="A222" s="2" t="str">
        <f>"6C15890322750"</f>
        <v>6C15890322750</v>
      </c>
      <c r="B222" s="2"/>
      <c r="C222" s="2" t="str">
        <f>"4,250 kg"</f>
        <v>4,250 kg</v>
      </c>
      <c r="D222" s="2" t="str">
        <f>"4,250 kg"</f>
        <v>4,250 kg</v>
      </c>
      <c r="E222" s="2" t="str">
        <f t="shared" si="26"/>
        <v>Domicile</v>
      </c>
      <c r="F222" s="2" t="str">
        <f t="shared" si="30"/>
        <v>6C</v>
      </c>
      <c r="G222" s="2" t="str">
        <f t="shared" si="31"/>
        <v>Colissimo  Domicile - avec signature -- FR (6C)</v>
      </c>
      <c r="H222" s="2"/>
      <c r="I222" s="2"/>
      <c r="J222" s="2"/>
      <c r="K222" s="2" t="str">
        <f t="shared" si="27"/>
        <v>986737</v>
      </c>
      <c r="L222" s="2" t="str">
        <f>"4,250 kg"</f>
        <v>4,250 kg</v>
      </c>
    </row>
    <row r="223" spans="1:12" x14ac:dyDescent="0.3">
      <c r="A223" s="2" t="str">
        <f>"6C16084957734"</f>
        <v>6C16084957734</v>
      </c>
      <c r="B223" s="2" t="str">
        <f>"1,880 kg"</f>
        <v>1,880 kg</v>
      </c>
      <c r="C223" s="2" t="str">
        <f>"1,880 kg"</f>
        <v>1,880 kg</v>
      </c>
      <c r="D223" s="2" t="str">
        <f>"1,900 kg"</f>
        <v>1,900 kg</v>
      </c>
      <c r="E223" s="2" t="str">
        <f t="shared" si="26"/>
        <v>Domicile</v>
      </c>
      <c r="F223" s="2" t="str">
        <f t="shared" si="30"/>
        <v>6C</v>
      </c>
      <c r="G223" s="2" t="str">
        <f t="shared" si="31"/>
        <v>Colissimo  Domicile - avec signature -- FR (6C)</v>
      </c>
      <c r="H223" s="2"/>
      <c r="I223" s="2"/>
      <c r="J223" s="2"/>
      <c r="K223" s="2" t="str">
        <f t="shared" si="27"/>
        <v>986737</v>
      </c>
      <c r="L223" s="2" t="str">
        <f>"1,900 kg"</f>
        <v>1,900 kg</v>
      </c>
    </row>
    <row r="224" spans="1:12" x14ac:dyDescent="0.3">
      <c r="A224" s="2" t="str">
        <f>"6C16024619685"</f>
        <v>6C16024619685</v>
      </c>
      <c r="B224" s="2" t="str">
        <f>"1,880 kg"</f>
        <v>1,880 kg</v>
      </c>
      <c r="C224" s="2" t="str">
        <f>"1,880 kg"</f>
        <v>1,880 kg</v>
      </c>
      <c r="D224" s="2" t="str">
        <f>"1,900 kg"</f>
        <v>1,900 kg</v>
      </c>
      <c r="E224" s="2" t="str">
        <f t="shared" si="26"/>
        <v>Domicile</v>
      </c>
      <c r="F224" s="2" t="str">
        <f t="shared" si="30"/>
        <v>6C</v>
      </c>
      <c r="G224" s="2" t="str">
        <f t="shared" si="31"/>
        <v>Colissimo  Domicile - avec signature -- FR (6C)</v>
      </c>
      <c r="H224" s="2"/>
      <c r="I224" s="2"/>
      <c r="J224" s="2"/>
      <c r="K224" s="2" t="str">
        <f t="shared" si="27"/>
        <v>986737</v>
      </c>
      <c r="L224" s="2" t="str">
        <f>"1,900 kg"</f>
        <v>1,900 kg</v>
      </c>
    </row>
    <row r="225" spans="1:12" x14ac:dyDescent="0.3">
      <c r="A225" s="2" t="str">
        <f>"6C16466200915"</f>
        <v>6C16466200915</v>
      </c>
      <c r="B225" s="2"/>
      <c r="C225" s="2" t="str">
        <f>"1,950 kg"</f>
        <v>1,950 kg</v>
      </c>
      <c r="D225" s="2" t="str">
        <f>"1,950 kg"</f>
        <v>1,950 kg</v>
      </c>
      <c r="E225" s="2" t="str">
        <f t="shared" si="26"/>
        <v>Domicile</v>
      </c>
      <c r="F225" s="2" t="str">
        <f t="shared" si="30"/>
        <v>6C</v>
      </c>
      <c r="G225" s="2" t="str">
        <f t="shared" si="31"/>
        <v>Colissimo  Domicile - avec signature -- FR (6C)</v>
      </c>
      <c r="H225" s="2"/>
      <c r="I225" s="2"/>
      <c r="J225" s="2"/>
      <c r="K225" s="2" t="str">
        <f t="shared" si="27"/>
        <v>986737</v>
      </c>
      <c r="L225" s="2" t="str">
        <f>"1,950 kg"</f>
        <v>1,950 kg</v>
      </c>
    </row>
    <row r="226" spans="1:12" x14ac:dyDescent="0.3">
      <c r="A226" s="2" t="str">
        <f>"6C15918580391"</f>
        <v>6C15918580391</v>
      </c>
      <c r="B226" s="2" t="str">
        <f>"1,870 kg"</f>
        <v>1,870 kg</v>
      </c>
      <c r="C226" s="2" t="str">
        <f>"1,850 kg"</f>
        <v>1,850 kg</v>
      </c>
      <c r="D226" s="2" t="str">
        <f>"1,850 kg"</f>
        <v>1,850 kg</v>
      </c>
      <c r="E226" s="2" t="str">
        <f t="shared" si="26"/>
        <v>Domicile</v>
      </c>
      <c r="F226" s="2" t="str">
        <f t="shared" si="30"/>
        <v>6C</v>
      </c>
      <c r="G226" s="2" t="str">
        <f t="shared" si="31"/>
        <v>Colissimo  Domicile - avec signature -- FR (6C)</v>
      </c>
      <c r="H226" s="2"/>
      <c r="I226" s="2"/>
      <c r="J226" s="2"/>
      <c r="K226" s="2" t="str">
        <f t="shared" si="27"/>
        <v>986737</v>
      </c>
      <c r="L226" s="2" t="str">
        <f>"1,850 kg"</f>
        <v>1,850 kg</v>
      </c>
    </row>
    <row r="227" spans="1:12" x14ac:dyDescent="0.3">
      <c r="A227" s="2" t="str">
        <f>"6C16327614431"</f>
        <v>6C16327614431</v>
      </c>
      <c r="B227" s="2"/>
      <c r="C227" s="2" t="str">
        <f>"0,750 kg"</f>
        <v>0,750 kg</v>
      </c>
      <c r="D227" s="2" t="str">
        <f>"0,750 kg"</f>
        <v>0,750 kg</v>
      </c>
      <c r="E227" s="2" t="str">
        <f t="shared" si="26"/>
        <v>Domicile</v>
      </c>
      <c r="F227" s="2" t="str">
        <f t="shared" si="30"/>
        <v>6C</v>
      </c>
      <c r="G227" s="2" t="str">
        <f t="shared" si="31"/>
        <v>Colissimo  Domicile - avec signature -- FR (6C)</v>
      </c>
      <c r="H227" s="2"/>
      <c r="I227" s="2"/>
      <c r="J227" s="2"/>
      <c r="K227" s="2" t="str">
        <f t="shared" si="27"/>
        <v>986737</v>
      </c>
      <c r="L227" s="2" t="str">
        <f>"0,750 kg"</f>
        <v>0,750 kg</v>
      </c>
    </row>
    <row r="228" spans="1:12" x14ac:dyDescent="0.3">
      <c r="A228" s="2" t="str">
        <f>"6A27499471524"</f>
        <v>6A27499471524</v>
      </c>
      <c r="B228" s="2"/>
      <c r="C228" s="2" t="str">
        <f>"1,880 kg"</f>
        <v>1,880 kg</v>
      </c>
      <c r="D228" s="2" t="str">
        <f>"1,900 kg"</f>
        <v>1,900 kg</v>
      </c>
      <c r="E228" s="2" t="str">
        <f t="shared" si="26"/>
        <v>Domicile</v>
      </c>
      <c r="F228" s="2" t="str">
        <f>"6A"</f>
        <v>6A</v>
      </c>
      <c r="G228" s="2" t="str">
        <f>"Colissimo  Domicile - sans signature -- FR (6A)"</f>
        <v>Colissimo  Domicile - sans signature -- FR (6A)</v>
      </c>
      <c r="H228" s="2"/>
      <c r="I228" s="2"/>
      <c r="J228" s="2"/>
      <c r="K228" s="2" t="str">
        <f t="shared" si="27"/>
        <v>986737</v>
      </c>
      <c r="L228" s="2" t="str">
        <f>"1,900 kg"</f>
        <v>1,900 kg</v>
      </c>
    </row>
    <row r="229" spans="1:12" x14ac:dyDescent="0.3">
      <c r="A229" s="2" t="str">
        <f>"6C16040574388"</f>
        <v>6C16040574388</v>
      </c>
      <c r="B229" s="2"/>
      <c r="C229" s="2" t="str">
        <f>"8,450 kg"</f>
        <v>8,450 kg</v>
      </c>
      <c r="D229" s="2" t="str">
        <f>"8,450 kg"</f>
        <v>8,450 kg</v>
      </c>
      <c r="E229" s="2" t="str">
        <f t="shared" si="26"/>
        <v>Domicile</v>
      </c>
      <c r="F229" s="2" t="str">
        <f>"6C"</f>
        <v>6C</v>
      </c>
      <c r="G229" s="2" t="str">
        <f>"Colissimo  Domicile - avec signature -- FR (6C)"</f>
        <v>Colissimo  Domicile - avec signature -- FR (6C)</v>
      </c>
      <c r="H229" s="2"/>
      <c r="I229" s="2"/>
      <c r="J229" s="2"/>
      <c r="K229" s="2" t="str">
        <f t="shared" si="27"/>
        <v>986737</v>
      </c>
      <c r="L229" s="2" t="str">
        <f>"8,450 kg"</f>
        <v>8,450 kg</v>
      </c>
    </row>
    <row r="230" spans="1:12" x14ac:dyDescent="0.3">
      <c r="A230" s="2" t="str">
        <f>"6C15917543472"</f>
        <v>6C15917543472</v>
      </c>
      <c r="B230" s="2" t="str">
        <f>"0,640 kg"</f>
        <v>0,640 kg</v>
      </c>
      <c r="C230" s="2" t="str">
        <f>"0,640 kg"</f>
        <v>0,640 kg</v>
      </c>
      <c r="D230" s="2" t="str">
        <f>"0,650 kg"</f>
        <v>0,650 kg</v>
      </c>
      <c r="E230" s="2" t="str">
        <f t="shared" si="26"/>
        <v>Domicile</v>
      </c>
      <c r="F230" s="2" t="str">
        <f>"6C"</f>
        <v>6C</v>
      </c>
      <c r="G230" s="2" t="str">
        <f>"Colissimo  Domicile - avec signature -- FR (6C)"</f>
        <v>Colissimo  Domicile - avec signature -- FR (6C)</v>
      </c>
      <c r="H230" s="2"/>
      <c r="I230" s="2"/>
      <c r="J230" s="2"/>
      <c r="K230" s="2" t="str">
        <f t="shared" si="27"/>
        <v>986737</v>
      </c>
      <c r="L230" s="2" t="str">
        <f>"0,650 kg"</f>
        <v>0,650 kg</v>
      </c>
    </row>
    <row r="231" spans="1:12" x14ac:dyDescent="0.3">
      <c r="A231" s="2" t="str">
        <f>"6C16035416648"</f>
        <v>6C16035416648</v>
      </c>
      <c r="B231" s="2" t="str">
        <f>"9,790 kg"</f>
        <v>9,790 kg</v>
      </c>
      <c r="C231" s="2" t="str">
        <f>"9,750 kg"</f>
        <v>9,750 kg</v>
      </c>
      <c r="D231" s="2" t="str">
        <f>"9,800 kg"</f>
        <v>9,800 kg</v>
      </c>
      <c r="E231" s="2" t="str">
        <f t="shared" si="26"/>
        <v>Domicile</v>
      </c>
      <c r="F231" s="2" t="str">
        <f>"6C"</f>
        <v>6C</v>
      </c>
      <c r="G231" s="2" t="str">
        <f>"Colissimo  Domicile - avec signature -- FR (6C)"</f>
        <v>Colissimo  Domicile - avec signature -- FR (6C)</v>
      </c>
      <c r="H231" s="2"/>
      <c r="I231" s="2"/>
      <c r="J231" s="2"/>
      <c r="K231" s="2" t="str">
        <f t="shared" si="27"/>
        <v>986737</v>
      </c>
      <c r="L231" s="2" t="str">
        <f>"9,800 kg"</f>
        <v>9,800 kg</v>
      </c>
    </row>
    <row r="232" spans="1:12" x14ac:dyDescent="0.3">
      <c r="A232" s="2" t="str">
        <f>"6C16085075024"</f>
        <v>6C16085075024</v>
      </c>
      <c r="B232" s="2" t="str">
        <f>"1,250 kg"</f>
        <v>1,250 kg</v>
      </c>
      <c r="C232" s="2" t="str">
        <f>"1,250 kg"</f>
        <v>1,250 kg</v>
      </c>
      <c r="D232" s="2" t="str">
        <f>"1,250 kg"</f>
        <v>1,250 kg</v>
      </c>
      <c r="E232" s="2" t="str">
        <f t="shared" si="26"/>
        <v>Domicile</v>
      </c>
      <c r="F232" s="2" t="str">
        <f>"6C"</f>
        <v>6C</v>
      </c>
      <c r="G232" s="2" t="str">
        <f>"Colissimo  Domicile - avec signature -- FR (6C)"</f>
        <v>Colissimo  Domicile - avec signature -- FR (6C)</v>
      </c>
      <c r="H232" s="2"/>
      <c r="I232" s="2"/>
      <c r="J232" s="2"/>
      <c r="K232" s="2" t="str">
        <f t="shared" si="27"/>
        <v>986737</v>
      </c>
      <c r="L232" s="2" t="str">
        <f>"1,250 kg"</f>
        <v>1,250 kg</v>
      </c>
    </row>
    <row r="233" spans="1:12" x14ac:dyDescent="0.3">
      <c r="A233" s="2" t="str">
        <f>"6A27558535952"</f>
        <v>6A27558535952</v>
      </c>
      <c r="B233" s="2"/>
      <c r="C233" s="2" t="str">
        <f>"3,750 kg"</f>
        <v>3,750 kg</v>
      </c>
      <c r="D233" s="2" t="str">
        <f>"3,750 kg"</f>
        <v>3,750 kg</v>
      </c>
      <c r="E233" s="2" t="str">
        <f t="shared" si="26"/>
        <v>Domicile</v>
      </c>
      <c r="F233" s="2" t="str">
        <f>"6A"</f>
        <v>6A</v>
      </c>
      <c r="G233" s="2" t="str">
        <f>"Colissimo  Domicile - sans signature -- FR (6A)"</f>
        <v>Colissimo  Domicile - sans signature -- FR (6A)</v>
      </c>
      <c r="H233" s="2"/>
      <c r="I233" s="2"/>
      <c r="J233" s="2"/>
      <c r="K233" s="2" t="str">
        <f t="shared" si="27"/>
        <v>986737</v>
      </c>
      <c r="L233" s="2" t="str">
        <f>"3,750 kg"</f>
        <v>3,750 kg</v>
      </c>
    </row>
    <row r="234" spans="1:12" x14ac:dyDescent="0.3">
      <c r="A234" s="2" t="str">
        <f>"6C16085113450"</f>
        <v>6C16085113450</v>
      </c>
      <c r="B234" s="2" t="str">
        <f>"1,050 kg"</f>
        <v>1,050 kg</v>
      </c>
      <c r="C234" s="2" t="str">
        <f>"1,050 kg"</f>
        <v>1,050 kg</v>
      </c>
      <c r="D234" s="2" t="str">
        <f>"1,050 kg"</f>
        <v>1,050 kg</v>
      </c>
      <c r="E234" s="2" t="str">
        <f t="shared" si="26"/>
        <v>Domicile</v>
      </c>
      <c r="F234" s="2" t="str">
        <f t="shared" ref="F234:F255" si="32">"6C"</f>
        <v>6C</v>
      </c>
      <c r="G234" s="2" t="str">
        <f t="shared" ref="G234:G255" si="33">"Colissimo  Domicile - avec signature -- FR (6C)"</f>
        <v>Colissimo  Domicile - avec signature -- FR (6C)</v>
      </c>
      <c r="H234" s="2"/>
      <c r="I234" s="2"/>
      <c r="J234" s="2"/>
      <c r="K234" s="2" t="str">
        <f t="shared" si="27"/>
        <v>986737</v>
      </c>
      <c r="L234" s="2" t="str">
        <f>"1,050 kg"</f>
        <v>1,050 kg</v>
      </c>
    </row>
    <row r="235" spans="1:12" x14ac:dyDescent="0.3">
      <c r="A235" s="2" t="str">
        <f>"6C16348338040"</f>
        <v>6C16348338040</v>
      </c>
      <c r="B235" s="2"/>
      <c r="C235" s="2" t="str">
        <f>"1,900 kg"</f>
        <v>1,900 kg</v>
      </c>
      <c r="D235" s="2" t="str">
        <f>"1,900 kg"</f>
        <v>1,900 kg</v>
      </c>
      <c r="E235" s="2" t="str">
        <f t="shared" si="26"/>
        <v>Domicile</v>
      </c>
      <c r="F235" s="2" t="str">
        <f t="shared" si="32"/>
        <v>6C</v>
      </c>
      <c r="G235" s="2" t="str">
        <f t="shared" si="33"/>
        <v>Colissimo  Domicile - avec signature -- FR (6C)</v>
      </c>
      <c r="H235" s="2"/>
      <c r="I235" s="2"/>
      <c r="J235" s="2"/>
      <c r="K235" s="2" t="str">
        <f t="shared" si="27"/>
        <v>986737</v>
      </c>
      <c r="L235" s="2" t="str">
        <f>"1,900 kg"</f>
        <v>1,900 kg</v>
      </c>
    </row>
    <row r="236" spans="1:12" x14ac:dyDescent="0.3">
      <c r="A236" s="2" t="str">
        <f>"6C16040642308"</f>
        <v>6C16040642308</v>
      </c>
      <c r="B236" s="2" t="str">
        <f>"1,050 kg"</f>
        <v>1,050 kg</v>
      </c>
      <c r="C236" s="2" t="str">
        <f>"1,050 kg"</f>
        <v>1,050 kg</v>
      </c>
      <c r="D236" s="2" t="str">
        <f>"1,050 kg"</f>
        <v>1,050 kg</v>
      </c>
      <c r="E236" s="2" t="str">
        <f t="shared" si="26"/>
        <v>Domicile</v>
      </c>
      <c r="F236" s="2" t="str">
        <f t="shared" si="32"/>
        <v>6C</v>
      </c>
      <c r="G236" s="2" t="str">
        <f t="shared" si="33"/>
        <v>Colissimo  Domicile - avec signature -- FR (6C)</v>
      </c>
      <c r="H236" s="2"/>
      <c r="I236" s="2"/>
      <c r="J236" s="2"/>
      <c r="K236" s="2" t="str">
        <f t="shared" si="27"/>
        <v>986737</v>
      </c>
      <c r="L236" s="2" t="str">
        <f>"1,050 kg"</f>
        <v>1,050 kg</v>
      </c>
    </row>
    <row r="237" spans="1:12" x14ac:dyDescent="0.3">
      <c r="A237" s="2" t="str">
        <f>"6C16127789438"</f>
        <v>6C16127789438</v>
      </c>
      <c r="B237" s="2"/>
      <c r="C237" s="2"/>
      <c r="D237" s="2" t="str">
        <f>"0,230 kg"</f>
        <v>0,230 kg</v>
      </c>
      <c r="E237" s="2" t="str">
        <f t="shared" si="26"/>
        <v>Domicile</v>
      </c>
      <c r="F237" s="2" t="str">
        <f t="shared" si="32"/>
        <v>6C</v>
      </c>
      <c r="G237" s="2" t="str">
        <f t="shared" si="33"/>
        <v>Colissimo  Domicile - avec signature -- FR (6C)</v>
      </c>
      <c r="H237" s="2"/>
      <c r="I237" s="2"/>
      <c r="J237" s="2"/>
      <c r="K237" s="2" t="str">
        <f t="shared" si="27"/>
        <v>986737</v>
      </c>
      <c r="L237" s="2" t="str">
        <f>"0,230 kg"</f>
        <v>0,230 kg</v>
      </c>
    </row>
    <row r="238" spans="1:12" x14ac:dyDescent="0.3">
      <c r="A238" s="2" t="str">
        <f>"6C16348338033"</f>
        <v>6C16348338033</v>
      </c>
      <c r="B238" s="2" t="str">
        <f>"1,890 kg"</f>
        <v>1,890 kg</v>
      </c>
      <c r="C238" s="2" t="str">
        <f>"1,900 kg"</f>
        <v>1,900 kg</v>
      </c>
      <c r="D238" s="2" t="str">
        <f>"1,900 kg"</f>
        <v>1,900 kg</v>
      </c>
      <c r="E238" s="2" t="str">
        <f t="shared" si="26"/>
        <v>Domicile</v>
      </c>
      <c r="F238" s="2" t="str">
        <f t="shared" si="32"/>
        <v>6C</v>
      </c>
      <c r="G238" s="2" t="str">
        <f t="shared" si="33"/>
        <v>Colissimo  Domicile - avec signature -- FR (6C)</v>
      </c>
      <c r="H238" s="2"/>
      <c r="I238" s="2"/>
      <c r="J238" s="2"/>
      <c r="K238" s="2" t="str">
        <f t="shared" si="27"/>
        <v>986737</v>
      </c>
      <c r="L238" s="2" t="str">
        <f>"1,900 kg"</f>
        <v>1,900 kg</v>
      </c>
    </row>
    <row r="239" spans="1:12" x14ac:dyDescent="0.3">
      <c r="A239" s="2" t="str">
        <f>"6C17215777054"</f>
        <v>6C17215777054</v>
      </c>
      <c r="B239" s="2" t="str">
        <f>"1,840 kg"</f>
        <v>1,840 kg</v>
      </c>
      <c r="C239" s="2" t="str">
        <f>"1,880 kg"</f>
        <v>1,880 kg</v>
      </c>
      <c r="D239" s="2" t="str">
        <f>"1,900 kg"</f>
        <v>1,900 kg</v>
      </c>
      <c r="E239" s="2" t="str">
        <f t="shared" si="26"/>
        <v>Domicile</v>
      </c>
      <c r="F239" s="2" t="str">
        <f t="shared" si="32"/>
        <v>6C</v>
      </c>
      <c r="G239" s="2" t="str">
        <f t="shared" si="33"/>
        <v>Colissimo  Domicile - avec signature -- FR (6C)</v>
      </c>
      <c r="H239" s="2"/>
      <c r="I239" s="2"/>
      <c r="J239" s="2"/>
      <c r="K239" s="2" t="str">
        <f t="shared" si="27"/>
        <v>986737</v>
      </c>
      <c r="L239" s="2" t="str">
        <f>"1,900 kg"</f>
        <v>1,900 kg</v>
      </c>
    </row>
    <row r="240" spans="1:12" x14ac:dyDescent="0.3">
      <c r="A240" s="2" t="str">
        <f>"6C17245614411"</f>
        <v>6C17245614411</v>
      </c>
      <c r="B240" s="2" t="str">
        <f>"5,750 kg"</f>
        <v>5,750 kg</v>
      </c>
      <c r="C240" s="2" t="str">
        <f>"5,800 kg"</f>
        <v>5,800 kg</v>
      </c>
      <c r="D240" s="2" t="str">
        <f>"5,800 kg"</f>
        <v>5,800 kg</v>
      </c>
      <c r="E240" s="2" t="str">
        <f t="shared" si="26"/>
        <v>Domicile</v>
      </c>
      <c r="F240" s="2" t="str">
        <f t="shared" si="32"/>
        <v>6C</v>
      </c>
      <c r="G240" s="2" t="str">
        <f t="shared" si="33"/>
        <v>Colissimo  Domicile - avec signature -- FR (6C)</v>
      </c>
      <c r="H240" s="2"/>
      <c r="I240" s="2"/>
      <c r="J240" s="2"/>
      <c r="K240" s="2" t="str">
        <f t="shared" si="27"/>
        <v>986737</v>
      </c>
      <c r="L240" s="2" t="str">
        <f>"5,800 kg"</f>
        <v>5,800 kg</v>
      </c>
    </row>
    <row r="241" spans="1:12" x14ac:dyDescent="0.3">
      <c r="A241" s="2" t="str">
        <f>"6C17245662146"</f>
        <v>6C17245662146</v>
      </c>
      <c r="B241" s="2" t="str">
        <f>"2,880 kg"</f>
        <v>2,880 kg</v>
      </c>
      <c r="C241" s="2" t="str">
        <f>"1,850 kg"</f>
        <v>1,850 kg</v>
      </c>
      <c r="D241" s="2" t="str">
        <f>"1,850 kg"</f>
        <v>1,850 kg</v>
      </c>
      <c r="E241" s="2" t="str">
        <f t="shared" si="26"/>
        <v>Domicile</v>
      </c>
      <c r="F241" s="2" t="str">
        <f t="shared" si="32"/>
        <v>6C</v>
      </c>
      <c r="G241" s="2" t="str">
        <f t="shared" si="33"/>
        <v>Colissimo  Domicile - avec signature -- FR (6C)</v>
      </c>
      <c r="H241" s="2"/>
      <c r="I241" s="2"/>
      <c r="J241" s="2"/>
      <c r="K241" s="2" t="str">
        <f t="shared" si="27"/>
        <v>986737</v>
      </c>
      <c r="L241" s="2" t="str">
        <f>"1,850 kg"</f>
        <v>1,850 kg</v>
      </c>
    </row>
    <row r="242" spans="1:12" x14ac:dyDescent="0.3">
      <c r="A242" s="2" t="str">
        <f>"6C16836976655"</f>
        <v>6C16836976655</v>
      </c>
      <c r="B242" s="2" t="str">
        <f>"1,920 kg"</f>
        <v>1,920 kg</v>
      </c>
      <c r="C242" s="2" t="str">
        <f>"1,900 kg"</f>
        <v>1,900 kg</v>
      </c>
      <c r="D242" s="2" t="str">
        <f>"1,900 kg"</f>
        <v>1,900 kg</v>
      </c>
      <c r="E242" s="2" t="str">
        <f t="shared" si="26"/>
        <v>Domicile</v>
      </c>
      <c r="F242" s="2" t="str">
        <f t="shared" si="32"/>
        <v>6C</v>
      </c>
      <c r="G242" s="2" t="str">
        <f t="shared" si="33"/>
        <v>Colissimo  Domicile - avec signature -- FR (6C)</v>
      </c>
      <c r="H242" s="2"/>
      <c r="I242" s="2"/>
      <c r="J242" s="2"/>
      <c r="K242" s="2" t="str">
        <f t="shared" si="27"/>
        <v>986737</v>
      </c>
      <c r="L242" s="2" t="str">
        <f>"1,900 kg"</f>
        <v>1,900 kg</v>
      </c>
    </row>
    <row r="243" spans="1:12" x14ac:dyDescent="0.3">
      <c r="A243" s="2" t="str">
        <f>"6C17245657845"</f>
        <v>6C17245657845</v>
      </c>
      <c r="B243" s="2" t="str">
        <f>"2,880 kg"</f>
        <v>2,880 kg</v>
      </c>
      <c r="C243" s="2" t="str">
        <f>"1,850 kg"</f>
        <v>1,850 kg</v>
      </c>
      <c r="D243" s="2" t="str">
        <f>"1,850 kg"</f>
        <v>1,850 kg</v>
      </c>
      <c r="E243" s="2" t="str">
        <f t="shared" si="26"/>
        <v>Domicile</v>
      </c>
      <c r="F243" s="2" t="str">
        <f t="shared" si="32"/>
        <v>6C</v>
      </c>
      <c r="G243" s="2" t="str">
        <f t="shared" si="33"/>
        <v>Colissimo  Domicile - avec signature -- FR (6C)</v>
      </c>
      <c r="H243" s="2"/>
      <c r="I243" s="2"/>
      <c r="J243" s="2"/>
      <c r="K243" s="2" t="str">
        <f t="shared" si="27"/>
        <v>986737</v>
      </c>
      <c r="L243" s="2" t="str">
        <f>"1,850 kg"</f>
        <v>1,850 kg</v>
      </c>
    </row>
    <row r="244" spans="1:12" x14ac:dyDescent="0.3">
      <c r="A244" s="2" t="str">
        <f>"6C17245663099"</f>
        <v>6C17245663099</v>
      </c>
      <c r="B244" s="2"/>
      <c r="C244" s="2" t="str">
        <f>"1,850 kg"</f>
        <v>1,850 kg</v>
      </c>
      <c r="D244" s="2" t="str">
        <f>"1,850 kg"</f>
        <v>1,850 kg</v>
      </c>
      <c r="E244" s="2" t="str">
        <f t="shared" si="26"/>
        <v>Domicile</v>
      </c>
      <c r="F244" s="2" t="str">
        <f t="shared" si="32"/>
        <v>6C</v>
      </c>
      <c r="G244" s="2" t="str">
        <f t="shared" si="33"/>
        <v>Colissimo  Domicile - avec signature -- FR (6C)</v>
      </c>
      <c r="H244" s="2"/>
      <c r="I244" s="2"/>
      <c r="J244" s="2"/>
      <c r="K244" s="2" t="str">
        <f t="shared" si="27"/>
        <v>986737</v>
      </c>
      <c r="L244" s="2" t="str">
        <f>"1,850 kg"</f>
        <v>1,850 kg</v>
      </c>
    </row>
    <row r="245" spans="1:12" x14ac:dyDescent="0.3">
      <c r="A245" s="2" t="str">
        <f>"6C17245016130"</f>
        <v>6C17245016130</v>
      </c>
      <c r="B245" s="2" t="str">
        <f>"11,530 kg"</f>
        <v>11,530 kg</v>
      </c>
      <c r="C245" s="2" t="str">
        <f>"11,550 kg"</f>
        <v>11,550 kg</v>
      </c>
      <c r="D245" s="2" t="str">
        <f>"11,550 kg"</f>
        <v>11,550 kg</v>
      </c>
      <c r="E245" s="2" t="str">
        <f t="shared" si="26"/>
        <v>Domicile</v>
      </c>
      <c r="F245" s="2" t="str">
        <f t="shared" si="32"/>
        <v>6C</v>
      </c>
      <c r="G245" s="2" t="str">
        <f t="shared" si="33"/>
        <v>Colissimo  Domicile - avec signature -- FR (6C)</v>
      </c>
      <c r="H245" s="2"/>
      <c r="I245" s="2"/>
      <c r="J245" s="2"/>
      <c r="K245" s="2" t="str">
        <f t="shared" si="27"/>
        <v>986737</v>
      </c>
      <c r="L245" s="2" t="str">
        <f>"11,550 kg"</f>
        <v>11,550 kg</v>
      </c>
    </row>
    <row r="246" spans="1:12" x14ac:dyDescent="0.3">
      <c r="A246" s="2" t="str">
        <f>"6C16589464522"</f>
        <v>6C16589464522</v>
      </c>
      <c r="B246" s="2" t="str">
        <f>"1,810 kg"</f>
        <v>1,810 kg</v>
      </c>
      <c r="C246" s="2" t="str">
        <f>"1,800 kg"</f>
        <v>1,800 kg</v>
      </c>
      <c r="D246" s="2" t="str">
        <f>"1,800 kg"</f>
        <v>1,800 kg</v>
      </c>
      <c r="E246" s="2" t="str">
        <f t="shared" si="26"/>
        <v>Domicile</v>
      </c>
      <c r="F246" s="2" t="str">
        <f t="shared" si="32"/>
        <v>6C</v>
      </c>
      <c r="G246" s="2" t="str">
        <f t="shared" si="33"/>
        <v>Colissimo  Domicile - avec signature -- FR (6C)</v>
      </c>
      <c r="H246" s="2"/>
      <c r="I246" s="2"/>
      <c r="J246" s="2"/>
      <c r="K246" s="2" t="str">
        <f t="shared" si="27"/>
        <v>986737</v>
      </c>
      <c r="L246" s="2" t="str">
        <f>"1,800 kg"</f>
        <v>1,800 kg</v>
      </c>
    </row>
    <row r="247" spans="1:12" x14ac:dyDescent="0.3">
      <c r="A247" s="2" t="str">
        <f>"6C16870820891"</f>
        <v>6C16870820891</v>
      </c>
      <c r="B247" s="2"/>
      <c r="C247" s="2"/>
      <c r="D247" s="2" t="str">
        <f>"0,080 kg"</f>
        <v>0,080 kg</v>
      </c>
      <c r="E247" s="2" t="str">
        <f t="shared" si="26"/>
        <v>Domicile</v>
      </c>
      <c r="F247" s="2" t="str">
        <f t="shared" si="32"/>
        <v>6C</v>
      </c>
      <c r="G247" s="2" t="str">
        <f t="shared" si="33"/>
        <v>Colissimo  Domicile - avec signature -- FR (6C)</v>
      </c>
      <c r="H247" s="2"/>
      <c r="I247" s="2"/>
      <c r="J247" s="2"/>
      <c r="K247" s="2" t="str">
        <f t="shared" si="27"/>
        <v>986737</v>
      </c>
      <c r="L247" s="2" t="str">
        <f>"0,080 kg"</f>
        <v>0,080 kg</v>
      </c>
    </row>
    <row r="248" spans="1:12" x14ac:dyDescent="0.3">
      <c r="A248" s="2" t="str">
        <f>"6C16590563344"</f>
        <v>6C16590563344</v>
      </c>
      <c r="B248" s="2"/>
      <c r="C248" s="2" t="str">
        <f>"1,850 kg"</f>
        <v>1,850 kg</v>
      </c>
      <c r="D248" s="2" t="str">
        <f>"1,850 kg"</f>
        <v>1,850 kg</v>
      </c>
      <c r="E248" s="2" t="str">
        <f t="shared" si="26"/>
        <v>Domicile</v>
      </c>
      <c r="F248" s="2" t="str">
        <f t="shared" si="32"/>
        <v>6C</v>
      </c>
      <c r="G248" s="2" t="str">
        <f t="shared" si="33"/>
        <v>Colissimo  Domicile - avec signature -- FR (6C)</v>
      </c>
      <c r="H248" s="2"/>
      <c r="I248" s="2"/>
      <c r="J248" s="2"/>
      <c r="K248" s="2" t="str">
        <f t="shared" si="27"/>
        <v>986737</v>
      </c>
      <c r="L248" s="2" t="str">
        <f>"1,850 kg"</f>
        <v>1,850 kg</v>
      </c>
    </row>
    <row r="249" spans="1:12" x14ac:dyDescent="0.3">
      <c r="A249" s="2" t="str">
        <f>"6C16589270567"</f>
        <v>6C16589270567</v>
      </c>
      <c r="B249" s="2"/>
      <c r="C249" s="2" t="str">
        <f>"2,400 kg"</f>
        <v>2,400 kg</v>
      </c>
      <c r="D249" s="2" t="str">
        <f>"2,400 kg"</f>
        <v>2,400 kg</v>
      </c>
      <c r="E249" s="2" t="str">
        <f t="shared" si="26"/>
        <v>Domicile</v>
      </c>
      <c r="F249" s="2" t="str">
        <f t="shared" si="32"/>
        <v>6C</v>
      </c>
      <c r="G249" s="2" t="str">
        <f t="shared" si="33"/>
        <v>Colissimo  Domicile - avec signature -- FR (6C)</v>
      </c>
      <c r="H249" s="2"/>
      <c r="I249" s="2"/>
      <c r="J249" s="2"/>
      <c r="K249" s="2" t="str">
        <f t="shared" si="27"/>
        <v>986737</v>
      </c>
      <c r="L249" s="2" t="str">
        <f>"2,400 kg"</f>
        <v>2,400 kg</v>
      </c>
    </row>
    <row r="250" spans="1:12" x14ac:dyDescent="0.3">
      <c r="A250" s="2" t="str">
        <f>"6C16728007122"</f>
        <v>6C16728007122</v>
      </c>
      <c r="B250" s="2"/>
      <c r="C250" s="2" t="str">
        <f>"1,700 kg"</f>
        <v>1,700 kg</v>
      </c>
      <c r="D250" s="2" t="str">
        <f>"1,700 kg"</f>
        <v>1,700 kg</v>
      </c>
      <c r="E250" s="2" t="str">
        <f t="shared" si="26"/>
        <v>Domicile</v>
      </c>
      <c r="F250" s="2" t="str">
        <f t="shared" si="32"/>
        <v>6C</v>
      </c>
      <c r="G250" s="2" t="str">
        <f t="shared" si="33"/>
        <v>Colissimo  Domicile - avec signature -- FR (6C)</v>
      </c>
      <c r="H250" s="2"/>
      <c r="I250" s="2"/>
      <c r="J250" s="2"/>
      <c r="K250" s="2" t="str">
        <f t="shared" si="27"/>
        <v>986737</v>
      </c>
      <c r="L250" s="2" t="str">
        <f>"1,700 kg"</f>
        <v>1,700 kg</v>
      </c>
    </row>
    <row r="251" spans="1:12" x14ac:dyDescent="0.3">
      <c r="A251" s="2" t="str">
        <f>"6C17245156294"</f>
        <v>6C17245156294</v>
      </c>
      <c r="B251" s="2"/>
      <c r="C251" s="2" t="str">
        <f>"1,000 kg"</f>
        <v>1,000 kg</v>
      </c>
      <c r="D251" s="2" t="str">
        <f>"1,000 kg"</f>
        <v>1,000 kg</v>
      </c>
      <c r="E251" s="2" t="str">
        <f t="shared" si="26"/>
        <v>Domicile</v>
      </c>
      <c r="F251" s="2" t="str">
        <f t="shared" si="32"/>
        <v>6C</v>
      </c>
      <c r="G251" s="2" t="str">
        <f t="shared" si="33"/>
        <v>Colissimo  Domicile - avec signature -- FR (6C)</v>
      </c>
      <c r="H251" s="2"/>
      <c r="I251" s="2"/>
      <c r="J251" s="2"/>
      <c r="K251" s="2" t="str">
        <f t="shared" si="27"/>
        <v>986737</v>
      </c>
      <c r="L251" s="2" t="str">
        <f>"1,000 kg"</f>
        <v>1,000 kg</v>
      </c>
    </row>
    <row r="252" spans="1:12" x14ac:dyDescent="0.3">
      <c r="A252" s="2" t="str">
        <f>"6C17245334883"</f>
        <v>6C17245334883</v>
      </c>
      <c r="B252" s="2"/>
      <c r="C252" s="2" t="str">
        <f>"2,250 kg"</f>
        <v>2,250 kg</v>
      </c>
      <c r="D252" s="2" t="str">
        <f>"2,250 kg"</f>
        <v>2,250 kg</v>
      </c>
      <c r="E252" s="2" t="str">
        <f t="shared" si="26"/>
        <v>Domicile</v>
      </c>
      <c r="F252" s="2" t="str">
        <f t="shared" si="32"/>
        <v>6C</v>
      </c>
      <c r="G252" s="2" t="str">
        <f t="shared" si="33"/>
        <v>Colissimo  Domicile - avec signature -- FR (6C)</v>
      </c>
      <c r="H252" s="2"/>
      <c r="I252" s="2"/>
      <c r="J252" s="2"/>
      <c r="K252" s="2" t="str">
        <f t="shared" si="27"/>
        <v>986737</v>
      </c>
      <c r="L252" s="2"/>
    </row>
    <row r="253" spans="1:12" x14ac:dyDescent="0.3">
      <c r="A253" s="2" t="str">
        <f>"6C17405903058"</f>
        <v>6C17405903058</v>
      </c>
      <c r="B253" s="2" t="str">
        <f>"1,880 kg"</f>
        <v>1,880 kg</v>
      </c>
      <c r="C253" s="2" t="str">
        <f>"1,850 kg"</f>
        <v>1,850 kg</v>
      </c>
      <c r="D253" s="2" t="str">
        <f>"1,850 kg"</f>
        <v>1,850 kg</v>
      </c>
      <c r="E253" s="2" t="str">
        <f t="shared" si="26"/>
        <v>Domicile</v>
      </c>
      <c r="F253" s="2" t="str">
        <f t="shared" si="32"/>
        <v>6C</v>
      </c>
      <c r="G253" s="2" t="str">
        <f t="shared" si="33"/>
        <v>Colissimo  Domicile - avec signature -- FR (6C)</v>
      </c>
      <c r="H253" s="2"/>
      <c r="I253" s="2"/>
      <c r="J253" s="2"/>
      <c r="K253" s="2" t="str">
        <f t="shared" si="27"/>
        <v>986737</v>
      </c>
      <c r="L253" s="2"/>
    </row>
    <row r="254" spans="1:12" x14ac:dyDescent="0.3">
      <c r="A254" s="2" t="str">
        <f>"6C17319778469"</f>
        <v>6C17319778469</v>
      </c>
      <c r="B254" s="2" t="str">
        <f>"1,880 kg"</f>
        <v>1,880 kg</v>
      </c>
      <c r="C254" s="2" t="str">
        <f>"1,850 kg"</f>
        <v>1,850 kg</v>
      </c>
      <c r="D254" s="2" t="str">
        <f>"1,850 kg"</f>
        <v>1,850 kg</v>
      </c>
      <c r="E254" s="2" t="str">
        <f t="shared" si="26"/>
        <v>Domicile</v>
      </c>
      <c r="F254" s="2" t="str">
        <f t="shared" si="32"/>
        <v>6C</v>
      </c>
      <c r="G254" s="2" t="str">
        <f t="shared" si="33"/>
        <v>Colissimo  Domicile - avec signature -- FR (6C)</v>
      </c>
      <c r="H254" s="2"/>
      <c r="I254" s="2"/>
      <c r="J254" s="2"/>
      <c r="K254" s="2" t="str">
        <f t="shared" si="27"/>
        <v>986737</v>
      </c>
      <c r="L254" s="2"/>
    </row>
    <row r="255" spans="1:12" x14ac:dyDescent="0.3">
      <c r="A255" s="2" t="str">
        <f>"6C17321043302"</f>
        <v>6C17321043302</v>
      </c>
      <c r="B255" s="2" t="str">
        <f>"3,440 kg"</f>
        <v>3,440 kg</v>
      </c>
      <c r="C255" s="2" t="str">
        <f>"3,000 kg"</f>
        <v>3,000 kg</v>
      </c>
      <c r="D255" s="2" t="str">
        <f>"3,000 kg"</f>
        <v>3,000 kg</v>
      </c>
      <c r="E255" s="2" t="str">
        <f t="shared" si="26"/>
        <v>Domicile</v>
      </c>
      <c r="F255" s="2" t="str">
        <f t="shared" si="32"/>
        <v>6C</v>
      </c>
      <c r="G255" s="2" t="str">
        <f t="shared" si="33"/>
        <v>Colissimo  Domicile - avec signature -- FR (6C)</v>
      </c>
      <c r="H255" s="2"/>
      <c r="I255" s="2"/>
      <c r="J255" s="2"/>
      <c r="K255" s="2" t="str">
        <f t="shared" si="27"/>
        <v>986737</v>
      </c>
      <c r="L255" s="2"/>
    </row>
    <row r="256" spans="1:12" x14ac:dyDescent="0.3">
      <c r="A256" s="2" t="str">
        <f>"6A25190448425"</f>
        <v>6A25190448425</v>
      </c>
      <c r="B256" s="2" t="str">
        <f>"5,000 kg"</f>
        <v>5,000 kg</v>
      </c>
      <c r="C256" s="2" t="str">
        <f>"4,050 kg"</f>
        <v>4,050 kg</v>
      </c>
      <c r="D256" s="2" t="str">
        <f>"4,050 kg"</f>
        <v>4,050 kg</v>
      </c>
      <c r="E256" s="2" t="str">
        <f t="shared" si="26"/>
        <v>Domicile</v>
      </c>
      <c r="F256" s="2" t="str">
        <f>"6A"</f>
        <v>6A</v>
      </c>
      <c r="G256" s="2" t="str">
        <f>"Colissimo  Domicile - sans signature -- FR (6A)"</f>
        <v>Colissimo  Domicile - sans signature -- FR (6A)</v>
      </c>
      <c r="H256" s="2"/>
      <c r="I256" s="2"/>
      <c r="J256" s="2"/>
      <c r="K256" s="2" t="str">
        <f t="shared" si="27"/>
        <v>986737</v>
      </c>
      <c r="L256" s="2" t="str">
        <f>"4,050 kg"</f>
        <v>4,050 kg</v>
      </c>
    </row>
    <row r="257" spans="1:12" x14ac:dyDescent="0.3">
      <c r="A257" s="2" t="str">
        <f>"6A25209538185"</f>
        <v>6A25209538185</v>
      </c>
      <c r="B257" s="2" t="str">
        <f>"10,220 kg"</f>
        <v>10,220 kg</v>
      </c>
      <c r="C257" s="2" t="str">
        <f>"10,200 kg"</f>
        <v>10,200 kg</v>
      </c>
      <c r="D257" s="2" t="str">
        <f>"10,200 kg"</f>
        <v>10,200 kg</v>
      </c>
      <c r="E257" s="2" t="str">
        <f t="shared" si="26"/>
        <v>Domicile</v>
      </c>
      <c r="F257" s="2" t="str">
        <f>"6A"</f>
        <v>6A</v>
      </c>
      <c r="G257" s="2" t="str">
        <f>"Colissimo  Domicile - sans signature -- FR (6A)"</f>
        <v>Colissimo  Domicile - sans signature -- FR (6A)</v>
      </c>
      <c r="H257" s="2"/>
      <c r="I257" s="2"/>
      <c r="J257" s="2"/>
      <c r="K257" s="2" t="str">
        <f t="shared" si="27"/>
        <v>986737</v>
      </c>
      <c r="L257" s="2" t="str">
        <f>"10,200 kg"</f>
        <v>10,200 kg</v>
      </c>
    </row>
    <row r="258" spans="1:12" x14ac:dyDescent="0.3">
      <c r="A258" s="2" t="str">
        <f>"6A25195569835"</f>
        <v>6A25195569835</v>
      </c>
      <c r="B258" s="2" t="str">
        <f>"0,710 kg"</f>
        <v>0,710 kg</v>
      </c>
      <c r="C258" s="2" t="str">
        <f>"0,700 kg"</f>
        <v>0,700 kg</v>
      </c>
      <c r="D258" s="2" t="str">
        <f>"0,700 kg"</f>
        <v>0,700 kg</v>
      </c>
      <c r="E258" s="2" t="str">
        <f t="shared" ref="E258:E321" si="34">"Domicile"</f>
        <v>Domicile</v>
      </c>
      <c r="F258" s="2" t="str">
        <f>"6A"</f>
        <v>6A</v>
      </c>
      <c r="G258" s="2" t="str">
        <f>"Colissimo  Domicile - sans signature -- FR (6A)"</f>
        <v>Colissimo  Domicile - sans signature -- FR (6A)</v>
      </c>
      <c r="H258" s="2"/>
      <c r="I258" s="2"/>
      <c r="J258" s="2"/>
      <c r="K258" s="2" t="str">
        <f t="shared" ref="K258:K321" si="35">"986737"</f>
        <v>986737</v>
      </c>
      <c r="L258" s="2" t="str">
        <f>"0,700 kg"</f>
        <v>0,700 kg</v>
      </c>
    </row>
    <row r="259" spans="1:12" x14ac:dyDescent="0.3">
      <c r="A259" s="2" t="str">
        <f>"6C15577943650"</f>
        <v>6C15577943650</v>
      </c>
      <c r="B259" s="2" t="str">
        <f>"0,650 kg"</f>
        <v>0,650 kg</v>
      </c>
      <c r="C259" s="2" t="str">
        <f>"0,700 kg"</f>
        <v>0,700 kg</v>
      </c>
      <c r="D259" s="2" t="str">
        <f>"0,700 kg"</f>
        <v>0,700 kg</v>
      </c>
      <c r="E259" s="2" t="str">
        <f t="shared" si="34"/>
        <v>Domicile</v>
      </c>
      <c r="F259" s="2" t="str">
        <f>"6C"</f>
        <v>6C</v>
      </c>
      <c r="G259" s="2" t="str">
        <f>"Colissimo  Domicile - avec signature -- FR (6C)"</f>
        <v>Colissimo  Domicile - avec signature -- FR (6C)</v>
      </c>
      <c r="H259" s="2"/>
      <c r="I259" s="2"/>
      <c r="J259" s="2"/>
      <c r="K259" s="2" t="str">
        <f t="shared" si="35"/>
        <v>986737</v>
      </c>
      <c r="L259" s="2" t="str">
        <f>"0,700 kg"</f>
        <v>0,700 kg</v>
      </c>
    </row>
    <row r="260" spans="1:12" x14ac:dyDescent="0.3">
      <c r="A260" s="2" t="str">
        <f>"6A25232737081"</f>
        <v>6A25232737081</v>
      </c>
      <c r="B260" s="2" t="str">
        <f>"5,000 kg"</f>
        <v>5,000 kg</v>
      </c>
      <c r="C260" s="2" t="str">
        <f>"5,000 kg"</f>
        <v>5,000 kg</v>
      </c>
      <c r="D260" s="2" t="str">
        <f>"5,000 kg"</f>
        <v>5,000 kg</v>
      </c>
      <c r="E260" s="2" t="str">
        <f t="shared" si="34"/>
        <v>Domicile</v>
      </c>
      <c r="F260" s="2" t="str">
        <f>"6A"</f>
        <v>6A</v>
      </c>
      <c r="G260" s="2" t="str">
        <f>"Colissimo  Domicile - sans signature -- FR (6A)"</f>
        <v>Colissimo  Domicile - sans signature -- FR (6A)</v>
      </c>
      <c r="H260" s="2"/>
      <c r="I260" s="2"/>
      <c r="J260" s="2"/>
      <c r="K260" s="2" t="str">
        <f t="shared" si="35"/>
        <v>986737</v>
      </c>
      <c r="L260" s="2" t="str">
        <f>"5,000 kg"</f>
        <v>5,000 kg</v>
      </c>
    </row>
    <row r="261" spans="1:12" x14ac:dyDescent="0.3">
      <c r="A261" s="2" t="str">
        <f>"6C15586565669"</f>
        <v>6C15586565669</v>
      </c>
      <c r="B261" s="2" t="str">
        <f>"5,000 kg"</f>
        <v>5,000 kg</v>
      </c>
      <c r="C261" s="2" t="str">
        <f>"4,550 kg"</f>
        <v>4,550 kg</v>
      </c>
      <c r="D261" s="2" t="str">
        <f>"4,550 kg"</f>
        <v>4,550 kg</v>
      </c>
      <c r="E261" s="2" t="str">
        <f t="shared" si="34"/>
        <v>Domicile</v>
      </c>
      <c r="F261" s="2" t="str">
        <f>"6C"</f>
        <v>6C</v>
      </c>
      <c r="G261" s="2" t="str">
        <f>"Colissimo  Domicile - avec signature -- FR (6C)"</f>
        <v>Colissimo  Domicile - avec signature -- FR (6C)</v>
      </c>
      <c r="H261" s="2"/>
      <c r="I261" s="2"/>
      <c r="J261" s="2"/>
      <c r="K261" s="2" t="str">
        <f t="shared" si="35"/>
        <v>986737</v>
      </c>
      <c r="L261" s="2" t="str">
        <f>"4,550 kg"</f>
        <v>4,550 kg</v>
      </c>
    </row>
    <row r="262" spans="1:12" x14ac:dyDescent="0.3">
      <c r="A262" s="2" t="str">
        <f>"6C15579097887"</f>
        <v>6C15579097887</v>
      </c>
      <c r="B262" s="2" t="str">
        <f>"0,650 kg"</f>
        <v>0,650 kg</v>
      </c>
      <c r="C262" s="2" t="str">
        <f>"0,620 kg"</f>
        <v>0,620 kg</v>
      </c>
      <c r="D262" s="2" t="str">
        <f>"0,700 kg"</f>
        <v>0,700 kg</v>
      </c>
      <c r="E262" s="2" t="str">
        <f t="shared" si="34"/>
        <v>Domicile</v>
      </c>
      <c r="F262" s="2" t="str">
        <f>"6C"</f>
        <v>6C</v>
      </c>
      <c r="G262" s="2" t="str">
        <f>"Colissimo  Domicile - avec signature -- FR (6C)"</f>
        <v>Colissimo  Domicile - avec signature -- FR (6C)</v>
      </c>
      <c r="H262" s="2"/>
      <c r="I262" s="2"/>
      <c r="J262" s="2"/>
      <c r="K262" s="2" t="str">
        <f t="shared" si="35"/>
        <v>986737</v>
      </c>
      <c r="L262" s="2" t="str">
        <f>"0,700 kg"</f>
        <v>0,700 kg</v>
      </c>
    </row>
    <row r="263" spans="1:12" x14ac:dyDescent="0.3">
      <c r="A263" s="2" t="str">
        <f>"6C15587221038"</f>
        <v>6C15587221038</v>
      </c>
      <c r="B263" s="2" t="str">
        <f>"5,210 kg"</f>
        <v>5,210 kg</v>
      </c>
      <c r="C263" s="2" t="str">
        <f>"5,200 kg"</f>
        <v>5,200 kg</v>
      </c>
      <c r="D263" s="2" t="str">
        <f>"5,200 kg"</f>
        <v>5,200 kg</v>
      </c>
      <c r="E263" s="2" t="str">
        <f t="shared" si="34"/>
        <v>Domicile</v>
      </c>
      <c r="F263" s="2" t="str">
        <f>"6C"</f>
        <v>6C</v>
      </c>
      <c r="G263" s="2" t="str">
        <f>"Colissimo  Domicile - avec signature -- FR (6C)"</f>
        <v>Colissimo  Domicile - avec signature -- FR (6C)</v>
      </c>
      <c r="H263" s="2"/>
      <c r="I263" s="2"/>
      <c r="J263" s="2"/>
      <c r="K263" s="2" t="str">
        <f t="shared" si="35"/>
        <v>986737</v>
      </c>
      <c r="L263" s="2" t="str">
        <f>"5,200 kg"</f>
        <v>5,200 kg</v>
      </c>
    </row>
    <row r="264" spans="1:12" x14ac:dyDescent="0.3">
      <c r="A264" s="2" t="str">
        <f>"6C15625472620"</f>
        <v>6C15625472620</v>
      </c>
      <c r="B264" s="2" t="str">
        <f>"0,490 kg"</f>
        <v>0,490 kg</v>
      </c>
      <c r="C264" s="2" t="str">
        <f>"0,490 kg"</f>
        <v>0,490 kg</v>
      </c>
      <c r="D264" s="2" t="str">
        <f>"0,500 kg"</f>
        <v>0,500 kg</v>
      </c>
      <c r="E264" s="2" t="str">
        <f t="shared" si="34"/>
        <v>Domicile</v>
      </c>
      <c r="F264" s="2" t="str">
        <f>"6C"</f>
        <v>6C</v>
      </c>
      <c r="G264" s="2" t="str">
        <f>"Colissimo  Domicile - avec signature -- FR (6C)"</f>
        <v>Colissimo  Domicile - avec signature -- FR (6C)</v>
      </c>
      <c r="H264" s="2"/>
      <c r="I264" s="2"/>
      <c r="J264" s="2"/>
      <c r="K264" s="2" t="str">
        <f t="shared" si="35"/>
        <v>986737</v>
      </c>
      <c r="L264" s="2" t="str">
        <f>"0,500 kg"</f>
        <v>0,500 kg</v>
      </c>
    </row>
    <row r="265" spans="1:12" x14ac:dyDescent="0.3">
      <c r="A265" s="2" t="str">
        <f>"6A25289886459"</f>
        <v>6A25289886459</v>
      </c>
      <c r="B265" s="2" t="str">
        <f>"0,710 kg"</f>
        <v>0,710 kg</v>
      </c>
      <c r="C265" s="2" t="str">
        <f>"0,850 kg"</f>
        <v>0,850 kg</v>
      </c>
      <c r="D265" s="2" t="str">
        <f>"0,850 kg"</f>
        <v>0,850 kg</v>
      </c>
      <c r="E265" s="2" t="str">
        <f t="shared" si="34"/>
        <v>Domicile</v>
      </c>
      <c r="F265" s="2" t="str">
        <f>"6A"</f>
        <v>6A</v>
      </c>
      <c r="G265" s="2" t="str">
        <f>"Colissimo  Domicile - sans signature -- FR (6A)"</f>
        <v>Colissimo  Domicile - sans signature -- FR (6A)</v>
      </c>
      <c r="H265" s="2"/>
      <c r="I265" s="2"/>
      <c r="J265" s="2"/>
      <c r="K265" s="2" t="str">
        <f t="shared" si="35"/>
        <v>986737</v>
      </c>
      <c r="L265" s="2" t="str">
        <f>"0,850 kg"</f>
        <v>0,850 kg</v>
      </c>
    </row>
    <row r="266" spans="1:12" x14ac:dyDescent="0.3">
      <c r="A266" s="2" t="str">
        <f>"6C15586608182"</f>
        <v>6C15586608182</v>
      </c>
      <c r="B266" s="2" t="str">
        <f>"3,800 kg"</f>
        <v>3,800 kg</v>
      </c>
      <c r="C266" s="2" t="str">
        <f>"3,800 kg"</f>
        <v>3,800 kg</v>
      </c>
      <c r="D266" s="2" t="str">
        <f>"3,800 kg"</f>
        <v>3,800 kg</v>
      </c>
      <c r="E266" s="2" t="str">
        <f t="shared" si="34"/>
        <v>Domicile</v>
      </c>
      <c r="F266" s="2" t="str">
        <f>"6C"</f>
        <v>6C</v>
      </c>
      <c r="G266" s="2" t="str">
        <f>"Colissimo  Domicile - avec signature -- FR (6C)"</f>
        <v>Colissimo  Domicile - avec signature -- FR (6C)</v>
      </c>
      <c r="H266" s="2"/>
      <c r="I266" s="2"/>
      <c r="J266" s="2"/>
      <c r="K266" s="2" t="str">
        <f t="shared" si="35"/>
        <v>986737</v>
      </c>
      <c r="L266" s="2" t="str">
        <f>"3,800 kg"</f>
        <v>3,800 kg</v>
      </c>
    </row>
    <row r="267" spans="1:12" x14ac:dyDescent="0.3">
      <c r="A267" s="2" t="str">
        <f>"6C15599497827"</f>
        <v>6C15599497827</v>
      </c>
      <c r="B267" s="2"/>
      <c r="C267" s="2" t="str">
        <f>"1,850 kg"</f>
        <v>1,850 kg</v>
      </c>
      <c r="D267" s="2" t="str">
        <f>"1,850 kg"</f>
        <v>1,850 kg</v>
      </c>
      <c r="E267" s="2" t="str">
        <f t="shared" si="34"/>
        <v>Domicile</v>
      </c>
      <c r="F267" s="2" t="str">
        <f>"6C"</f>
        <v>6C</v>
      </c>
      <c r="G267" s="2" t="str">
        <f>"Colissimo  Domicile - avec signature -- FR (6C)"</f>
        <v>Colissimo  Domicile - avec signature -- FR (6C)</v>
      </c>
      <c r="H267" s="2"/>
      <c r="I267" s="2"/>
      <c r="J267" s="2"/>
      <c r="K267" s="2" t="str">
        <f t="shared" si="35"/>
        <v>986737</v>
      </c>
      <c r="L267" s="2" t="str">
        <f>"1,850 kg"</f>
        <v>1,850 kg</v>
      </c>
    </row>
    <row r="268" spans="1:12" x14ac:dyDescent="0.3">
      <c r="A268" s="2" t="str">
        <f>"6A25289509181"</f>
        <v>6A25289509181</v>
      </c>
      <c r="B268" s="2" t="str">
        <f>"0,710 kg"</f>
        <v>0,710 kg</v>
      </c>
      <c r="C268" s="2" t="str">
        <f>"0,700 kg"</f>
        <v>0,700 kg</v>
      </c>
      <c r="D268" s="2" t="str">
        <f>"0,700 kg"</f>
        <v>0,700 kg</v>
      </c>
      <c r="E268" s="2" t="str">
        <f t="shared" si="34"/>
        <v>Domicile</v>
      </c>
      <c r="F268" s="2" t="str">
        <f>"6A"</f>
        <v>6A</v>
      </c>
      <c r="G268" s="2" t="str">
        <f>"Colissimo  Domicile - sans signature -- FR (6A)"</f>
        <v>Colissimo  Domicile - sans signature -- FR (6A)</v>
      </c>
      <c r="H268" s="2"/>
      <c r="I268" s="2"/>
      <c r="J268" s="2"/>
      <c r="K268" s="2" t="str">
        <f t="shared" si="35"/>
        <v>986737</v>
      </c>
      <c r="L268" s="2" t="str">
        <f>"0,700 kg"</f>
        <v>0,700 kg</v>
      </c>
    </row>
    <row r="269" spans="1:12" x14ac:dyDescent="0.3">
      <c r="A269" s="2" t="str">
        <f>"6A25289886039"</f>
        <v>6A25289886039</v>
      </c>
      <c r="B269" s="2" t="str">
        <f>"0,710 kg"</f>
        <v>0,710 kg</v>
      </c>
      <c r="C269" s="2" t="str">
        <f>"0,900 kg"</f>
        <v>0,900 kg</v>
      </c>
      <c r="D269" s="2" t="str">
        <f>"0,900 kg"</f>
        <v>0,900 kg</v>
      </c>
      <c r="E269" s="2" t="str">
        <f t="shared" si="34"/>
        <v>Domicile</v>
      </c>
      <c r="F269" s="2" t="str">
        <f>"6A"</f>
        <v>6A</v>
      </c>
      <c r="G269" s="2" t="str">
        <f>"Colissimo  Domicile - sans signature -- FR (6A)"</f>
        <v>Colissimo  Domicile - sans signature -- FR (6A)</v>
      </c>
      <c r="H269" s="2"/>
      <c r="I269" s="2"/>
      <c r="J269" s="2"/>
      <c r="K269" s="2" t="str">
        <f t="shared" si="35"/>
        <v>986737</v>
      </c>
      <c r="L269" s="2" t="str">
        <f>"0,900 kg"</f>
        <v>0,900 kg</v>
      </c>
    </row>
    <row r="270" spans="1:12" x14ac:dyDescent="0.3">
      <c r="A270" s="2" t="str">
        <f>"6A25195569781"</f>
        <v>6A25195569781</v>
      </c>
      <c r="B270" s="2" t="str">
        <f>"0,710 kg"</f>
        <v>0,710 kg</v>
      </c>
      <c r="C270" s="2" t="str">
        <f t="shared" ref="C270:D272" si="36">"0,700 kg"</f>
        <v>0,700 kg</v>
      </c>
      <c r="D270" s="2" t="str">
        <f t="shared" si="36"/>
        <v>0,700 kg</v>
      </c>
      <c r="E270" s="2" t="str">
        <f t="shared" si="34"/>
        <v>Domicile</v>
      </c>
      <c r="F270" s="2" t="str">
        <f>"6A"</f>
        <v>6A</v>
      </c>
      <c r="G270" s="2" t="str">
        <f>"Colissimo  Domicile - sans signature -- FR (6A)"</f>
        <v>Colissimo  Domicile - sans signature -- FR (6A)</v>
      </c>
      <c r="H270" s="2"/>
      <c r="I270" s="2"/>
      <c r="J270" s="2"/>
      <c r="K270" s="2" t="str">
        <f t="shared" si="35"/>
        <v>986737</v>
      </c>
      <c r="L270" s="2" t="str">
        <f>"0,700 kg"</f>
        <v>0,700 kg</v>
      </c>
    </row>
    <row r="271" spans="1:12" x14ac:dyDescent="0.3">
      <c r="A271" s="2" t="str">
        <f>"6C15580896721"</f>
        <v>6C15580896721</v>
      </c>
      <c r="B271" s="2"/>
      <c r="C271" s="2" t="str">
        <f t="shared" si="36"/>
        <v>0,700 kg</v>
      </c>
      <c r="D271" s="2" t="str">
        <f t="shared" si="36"/>
        <v>0,700 kg</v>
      </c>
      <c r="E271" s="2" t="str">
        <f t="shared" si="34"/>
        <v>Domicile</v>
      </c>
      <c r="F271" s="2" t="str">
        <f>"6C"</f>
        <v>6C</v>
      </c>
      <c r="G271" s="2" t="str">
        <f>"Colissimo  Domicile - avec signature -- FR (6C)"</f>
        <v>Colissimo  Domicile - avec signature -- FR (6C)</v>
      </c>
      <c r="H271" s="2"/>
      <c r="I271" s="2"/>
      <c r="J271" s="2"/>
      <c r="K271" s="2" t="str">
        <f t="shared" si="35"/>
        <v>986737</v>
      </c>
      <c r="L271" s="2" t="str">
        <f>"0,700 kg"</f>
        <v>0,700 kg</v>
      </c>
    </row>
    <row r="272" spans="1:12" x14ac:dyDescent="0.3">
      <c r="A272" s="2" t="str">
        <f>"6A25185970047"</f>
        <v>6A25185970047</v>
      </c>
      <c r="B272" s="2" t="str">
        <f>"0,710 kg"</f>
        <v>0,710 kg</v>
      </c>
      <c r="C272" s="2" t="str">
        <f t="shared" si="36"/>
        <v>0,700 kg</v>
      </c>
      <c r="D272" s="2" t="str">
        <f t="shared" si="36"/>
        <v>0,700 kg</v>
      </c>
      <c r="E272" s="2" t="str">
        <f t="shared" si="34"/>
        <v>Domicile</v>
      </c>
      <c r="F272" s="2" t="str">
        <f>"6A"</f>
        <v>6A</v>
      </c>
      <c r="G272" s="2" t="str">
        <f>"Colissimo  Domicile - sans signature -- FR (6A)"</f>
        <v>Colissimo  Domicile - sans signature -- FR (6A)</v>
      </c>
      <c r="H272" s="2"/>
      <c r="I272" s="2"/>
      <c r="J272" s="2"/>
      <c r="K272" s="2" t="str">
        <f t="shared" si="35"/>
        <v>986737</v>
      </c>
      <c r="L272" s="2" t="str">
        <f>"0,700 kg"</f>
        <v>0,700 kg</v>
      </c>
    </row>
    <row r="273" spans="1:12" x14ac:dyDescent="0.3">
      <c r="A273" s="2" t="str">
        <f>"6C15627872893"</f>
        <v>6C15627872893</v>
      </c>
      <c r="B273" s="2" t="str">
        <f>"0,490 kg"</f>
        <v>0,490 kg</v>
      </c>
      <c r="C273" s="2" t="str">
        <f>"0,500 kg"</f>
        <v>0,500 kg</v>
      </c>
      <c r="D273" s="2" t="str">
        <f>"0,500 kg"</f>
        <v>0,500 kg</v>
      </c>
      <c r="E273" s="2" t="str">
        <f t="shared" si="34"/>
        <v>Domicile</v>
      </c>
      <c r="F273" s="2" t="str">
        <f>"6C"</f>
        <v>6C</v>
      </c>
      <c r="G273" s="2" t="str">
        <f>"Colissimo  Domicile - avec signature -- FR (6C)"</f>
        <v>Colissimo  Domicile - avec signature -- FR (6C)</v>
      </c>
      <c r="H273" s="2"/>
      <c r="I273" s="2"/>
      <c r="J273" s="2"/>
      <c r="K273" s="2" t="str">
        <f t="shared" si="35"/>
        <v>986737</v>
      </c>
      <c r="L273" s="2" t="str">
        <f>"0,500 kg"</f>
        <v>0,500 kg</v>
      </c>
    </row>
    <row r="274" spans="1:12" x14ac:dyDescent="0.3">
      <c r="A274" s="2" t="str">
        <f>"6A25211133439"</f>
        <v>6A25211133439</v>
      </c>
      <c r="B274" s="2" t="str">
        <f>"10,220 kg"</f>
        <v>10,220 kg</v>
      </c>
      <c r="C274" s="2" t="str">
        <f>"10,200 kg"</f>
        <v>10,200 kg</v>
      </c>
      <c r="D274" s="2" t="str">
        <f>"10,200 kg"</f>
        <v>10,200 kg</v>
      </c>
      <c r="E274" s="2" t="str">
        <f t="shared" si="34"/>
        <v>Domicile</v>
      </c>
      <c r="F274" s="2" t="str">
        <f>"6A"</f>
        <v>6A</v>
      </c>
      <c r="G274" s="2" t="str">
        <f>"Colissimo  Domicile - sans signature -- FR (6A)"</f>
        <v>Colissimo  Domicile - sans signature -- FR (6A)</v>
      </c>
      <c r="H274" s="2"/>
      <c r="I274" s="2"/>
      <c r="J274" s="2"/>
      <c r="K274" s="2" t="str">
        <f t="shared" si="35"/>
        <v>986737</v>
      </c>
      <c r="L274" s="2" t="str">
        <f>"10,200 kg"</f>
        <v>10,200 kg</v>
      </c>
    </row>
    <row r="275" spans="1:12" x14ac:dyDescent="0.3">
      <c r="A275" s="2" t="str">
        <f>"6A25285087850"</f>
        <v>6A25285087850</v>
      </c>
      <c r="B275" s="2" t="str">
        <f>"0,710 kg"</f>
        <v>0,710 kg</v>
      </c>
      <c r="C275" s="2" t="str">
        <f>"0,800 kg"</f>
        <v>0,800 kg</v>
      </c>
      <c r="D275" s="2" t="str">
        <f>"0,800 kg"</f>
        <v>0,800 kg</v>
      </c>
      <c r="E275" s="2" t="str">
        <f t="shared" si="34"/>
        <v>Domicile</v>
      </c>
      <c r="F275" s="2" t="str">
        <f>"6A"</f>
        <v>6A</v>
      </c>
      <c r="G275" s="2" t="str">
        <f>"Colissimo  Domicile - sans signature -- FR (6A)"</f>
        <v>Colissimo  Domicile - sans signature -- FR (6A)</v>
      </c>
      <c r="H275" s="2"/>
      <c r="I275" s="2"/>
      <c r="J275" s="2"/>
      <c r="K275" s="2" t="str">
        <f t="shared" si="35"/>
        <v>986737</v>
      </c>
      <c r="L275" s="2" t="str">
        <f>"0,800 kg"</f>
        <v>0,800 kg</v>
      </c>
    </row>
    <row r="276" spans="1:12" x14ac:dyDescent="0.3">
      <c r="A276" s="2" t="str">
        <f>"6C15583649522"</f>
        <v>6C15583649522</v>
      </c>
      <c r="B276" s="2" t="str">
        <f>"5,050 kg"</f>
        <v>5,050 kg</v>
      </c>
      <c r="C276" s="2" t="str">
        <f>"5,050 kg"</f>
        <v>5,050 kg</v>
      </c>
      <c r="D276" s="2" t="str">
        <f>"5,050 kg"</f>
        <v>5,050 kg</v>
      </c>
      <c r="E276" s="2" t="str">
        <f t="shared" si="34"/>
        <v>Domicile</v>
      </c>
      <c r="F276" s="2" t="str">
        <f t="shared" ref="F276:F283" si="37">"6C"</f>
        <v>6C</v>
      </c>
      <c r="G276" s="2" t="str">
        <f t="shared" ref="G276:G283" si="38">"Colissimo  Domicile - avec signature -- FR (6C)"</f>
        <v>Colissimo  Domicile - avec signature -- FR (6C)</v>
      </c>
      <c r="H276" s="2"/>
      <c r="I276" s="2"/>
      <c r="J276" s="2"/>
      <c r="K276" s="2" t="str">
        <f t="shared" si="35"/>
        <v>986737</v>
      </c>
      <c r="L276" s="2" t="str">
        <f>"5,050 kg"</f>
        <v>5,050 kg</v>
      </c>
    </row>
    <row r="277" spans="1:12" x14ac:dyDescent="0.3">
      <c r="A277" s="2" t="str">
        <f>"6C15583759955"</f>
        <v>6C15583759955</v>
      </c>
      <c r="B277" s="2"/>
      <c r="C277" s="2" t="str">
        <f>"1,850 kg"</f>
        <v>1,850 kg</v>
      </c>
      <c r="D277" s="2" t="str">
        <f>"1,850 kg"</f>
        <v>1,850 kg</v>
      </c>
      <c r="E277" s="2" t="str">
        <f t="shared" si="34"/>
        <v>Domicile</v>
      </c>
      <c r="F277" s="2" t="str">
        <f t="shared" si="37"/>
        <v>6C</v>
      </c>
      <c r="G277" s="2" t="str">
        <f t="shared" si="38"/>
        <v>Colissimo  Domicile - avec signature -- FR (6C)</v>
      </c>
      <c r="H277" s="2"/>
      <c r="I277" s="2"/>
      <c r="J277" s="2"/>
      <c r="K277" s="2" t="str">
        <f t="shared" si="35"/>
        <v>986737</v>
      </c>
      <c r="L277" s="2" t="str">
        <f>"1,850 kg"</f>
        <v>1,850 kg</v>
      </c>
    </row>
    <row r="278" spans="1:12" x14ac:dyDescent="0.3">
      <c r="A278" s="2" t="str">
        <f>"6C15579804256"</f>
        <v>6C15579804256</v>
      </c>
      <c r="B278" s="2"/>
      <c r="C278" s="2" t="str">
        <f>"0,450 kg"</f>
        <v>0,450 kg</v>
      </c>
      <c r="D278" s="2" t="str">
        <f>"0,450 kg"</f>
        <v>0,450 kg</v>
      </c>
      <c r="E278" s="2" t="str">
        <f t="shared" si="34"/>
        <v>Domicile</v>
      </c>
      <c r="F278" s="2" t="str">
        <f t="shared" si="37"/>
        <v>6C</v>
      </c>
      <c r="G278" s="2" t="str">
        <f t="shared" si="38"/>
        <v>Colissimo  Domicile - avec signature -- FR (6C)</v>
      </c>
      <c r="H278" s="2"/>
      <c r="I278" s="2"/>
      <c r="J278" s="2"/>
      <c r="K278" s="2" t="str">
        <f t="shared" si="35"/>
        <v>986737</v>
      </c>
      <c r="L278" s="2" t="str">
        <f>"0,450 kg"</f>
        <v>0,450 kg</v>
      </c>
    </row>
    <row r="279" spans="1:12" x14ac:dyDescent="0.3">
      <c r="A279" s="2" t="str">
        <f>"6C15580294107"</f>
        <v>6C15580294107</v>
      </c>
      <c r="B279" s="2"/>
      <c r="C279" s="2" t="str">
        <f>"0,750 kg"</f>
        <v>0,750 kg</v>
      </c>
      <c r="D279" s="2" t="str">
        <f>"0,750 kg"</f>
        <v>0,750 kg</v>
      </c>
      <c r="E279" s="2" t="str">
        <f t="shared" si="34"/>
        <v>Domicile</v>
      </c>
      <c r="F279" s="2" t="str">
        <f t="shared" si="37"/>
        <v>6C</v>
      </c>
      <c r="G279" s="2" t="str">
        <f t="shared" si="38"/>
        <v>Colissimo  Domicile - avec signature -- FR (6C)</v>
      </c>
      <c r="H279" s="2"/>
      <c r="I279" s="2"/>
      <c r="J279" s="2"/>
      <c r="K279" s="2" t="str">
        <f t="shared" si="35"/>
        <v>986737</v>
      </c>
      <c r="L279" s="2" t="str">
        <f>"0,750 kg"</f>
        <v>0,750 kg</v>
      </c>
    </row>
    <row r="280" spans="1:12" x14ac:dyDescent="0.3">
      <c r="A280" s="2" t="str">
        <f>"6C15579962437"</f>
        <v>6C15579962437</v>
      </c>
      <c r="B280" s="2"/>
      <c r="C280" s="2" t="str">
        <f>"1,850 kg"</f>
        <v>1,850 kg</v>
      </c>
      <c r="D280" s="2" t="str">
        <f>"1,850 kg"</f>
        <v>1,850 kg</v>
      </c>
      <c r="E280" s="2" t="str">
        <f t="shared" si="34"/>
        <v>Domicile</v>
      </c>
      <c r="F280" s="2" t="str">
        <f t="shared" si="37"/>
        <v>6C</v>
      </c>
      <c r="G280" s="2" t="str">
        <f t="shared" si="38"/>
        <v>Colissimo  Domicile - avec signature -- FR (6C)</v>
      </c>
      <c r="H280" s="2"/>
      <c r="I280" s="2"/>
      <c r="J280" s="2"/>
      <c r="K280" s="2" t="str">
        <f t="shared" si="35"/>
        <v>986737</v>
      </c>
      <c r="L280" s="2" t="str">
        <f>"1,850 kg"</f>
        <v>1,850 kg</v>
      </c>
    </row>
    <row r="281" spans="1:12" x14ac:dyDescent="0.3">
      <c r="A281" s="2" t="str">
        <f>"6C15580340422"</f>
        <v>6C15580340422</v>
      </c>
      <c r="B281" s="2"/>
      <c r="C281" s="2" t="str">
        <f>"0,700 kg"</f>
        <v>0,700 kg</v>
      </c>
      <c r="D281" s="2" t="str">
        <f>"0,700 kg"</f>
        <v>0,700 kg</v>
      </c>
      <c r="E281" s="2" t="str">
        <f t="shared" si="34"/>
        <v>Domicile</v>
      </c>
      <c r="F281" s="2" t="str">
        <f t="shared" si="37"/>
        <v>6C</v>
      </c>
      <c r="G281" s="2" t="str">
        <f t="shared" si="38"/>
        <v>Colissimo  Domicile - avec signature -- FR (6C)</v>
      </c>
      <c r="H281" s="2"/>
      <c r="I281" s="2"/>
      <c r="J281" s="2"/>
      <c r="K281" s="2" t="str">
        <f t="shared" si="35"/>
        <v>986737</v>
      </c>
      <c r="L281" s="2" t="str">
        <f>"0,700 kg"</f>
        <v>0,700 kg</v>
      </c>
    </row>
    <row r="282" spans="1:12" x14ac:dyDescent="0.3">
      <c r="A282" s="2" t="str">
        <f>"6C15602925316"</f>
        <v>6C15602925316</v>
      </c>
      <c r="B282" s="2"/>
      <c r="C282" s="2" t="str">
        <f>"17,260 kg"</f>
        <v>17,260 kg</v>
      </c>
      <c r="D282" s="2" t="str">
        <f>"17,300 kg"</f>
        <v>17,300 kg</v>
      </c>
      <c r="E282" s="2" t="str">
        <f t="shared" si="34"/>
        <v>Domicile</v>
      </c>
      <c r="F282" s="2" t="str">
        <f t="shared" si="37"/>
        <v>6C</v>
      </c>
      <c r="G282" s="2" t="str">
        <f t="shared" si="38"/>
        <v>Colissimo  Domicile - avec signature -- FR (6C)</v>
      </c>
      <c r="H282" s="2"/>
      <c r="I282" s="2"/>
      <c r="J282" s="2"/>
      <c r="K282" s="2" t="str">
        <f t="shared" si="35"/>
        <v>986737</v>
      </c>
      <c r="L282" s="2" t="str">
        <f>"17,300 kg"</f>
        <v>17,300 kg</v>
      </c>
    </row>
    <row r="283" spans="1:12" x14ac:dyDescent="0.3">
      <c r="A283" s="2" t="str">
        <f>"6C15584570597"</f>
        <v>6C15584570597</v>
      </c>
      <c r="B283" s="2" t="str">
        <f>"4,610 kg"</f>
        <v>4,610 kg</v>
      </c>
      <c r="C283" s="2" t="str">
        <f>"4,650 kg"</f>
        <v>4,650 kg</v>
      </c>
      <c r="D283" s="2" t="str">
        <f>"4,650 kg"</f>
        <v>4,650 kg</v>
      </c>
      <c r="E283" s="2" t="str">
        <f t="shared" si="34"/>
        <v>Domicile</v>
      </c>
      <c r="F283" s="2" t="str">
        <f t="shared" si="37"/>
        <v>6C</v>
      </c>
      <c r="G283" s="2" t="str">
        <f t="shared" si="38"/>
        <v>Colissimo  Domicile - avec signature -- FR (6C)</v>
      </c>
      <c r="H283" s="2"/>
      <c r="I283" s="2"/>
      <c r="J283" s="2"/>
      <c r="K283" s="2" t="str">
        <f t="shared" si="35"/>
        <v>986737</v>
      </c>
      <c r="L283" s="2" t="str">
        <f>"4,650 kg"</f>
        <v>4,650 kg</v>
      </c>
    </row>
    <row r="284" spans="1:12" x14ac:dyDescent="0.3">
      <c r="A284" s="2" t="str">
        <f>"6A25195569859"</f>
        <v>6A25195569859</v>
      </c>
      <c r="B284" s="2" t="str">
        <f>"0,710 kg"</f>
        <v>0,710 kg</v>
      </c>
      <c r="C284" s="2" t="str">
        <f t="shared" ref="C284:D287" si="39">"0,700 kg"</f>
        <v>0,700 kg</v>
      </c>
      <c r="D284" s="2" t="str">
        <f t="shared" si="39"/>
        <v>0,700 kg</v>
      </c>
      <c r="E284" s="2" t="str">
        <f t="shared" si="34"/>
        <v>Domicile</v>
      </c>
      <c r="F284" s="2" t="str">
        <f>"6A"</f>
        <v>6A</v>
      </c>
      <c r="G284" s="2" t="str">
        <f>"Colissimo  Domicile - sans signature -- FR (6A)"</f>
        <v>Colissimo  Domicile - sans signature -- FR (6A)</v>
      </c>
      <c r="H284" s="2"/>
      <c r="I284" s="2"/>
      <c r="J284" s="2"/>
      <c r="K284" s="2" t="str">
        <f t="shared" si="35"/>
        <v>986737</v>
      </c>
      <c r="L284" s="2" t="str">
        <f>"0,700 kg"</f>
        <v>0,700 kg</v>
      </c>
    </row>
    <row r="285" spans="1:12" x14ac:dyDescent="0.3">
      <c r="A285" s="2" t="str">
        <f>"6C15580294145"</f>
        <v>6C15580294145</v>
      </c>
      <c r="B285" s="2" t="str">
        <f>"0,650 kg"</f>
        <v>0,650 kg</v>
      </c>
      <c r="C285" s="2" t="str">
        <f t="shared" si="39"/>
        <v>0,700 kg</v>
      </c>
      <c r="D285" s="2" t="str">
        <f t="shared" si="39"/>
        <v>0,700 kg</v>
      </c>
      <c r="E285" s="2" t="str">
        <f t="shared" si="34"/>
        <v>Domicile</v>
      </c>
      <c r="F285" s="2" t="str">
        <f>"6C"</f>
        <v>6C</v>
      </c>
      <c r="G285" s="2" t="str">
        <f>"Colissimo  Domicile - avec signature -- FR (6C)"</f>
        <v>Colissimo  Domicile - avec signature -- FR (6C)</v>
      </c>
      <c r="H285" s="2"/>
      <c r="I285" s="2"/>
      <c r="J285" s="2"/>
      <c r="K285" s="2" t="str">
        <f t="shared" si="35"/>
        <v>986737</v>
      </c>
      <c r="L285" s="2" t="str">
        <f>"0,700 kg"</f>
        <v>0,700 kg</v>
      </c>
    </row>
    <row r="286" spans="1:12" x14ac:dyDescent="0.3">
      <c r="A286" s="2" t="str">
        <f>"6A25289509136"</f>
        <v>6A25289509136</v>
      </c>
      <c r="B286" s="2" t="str">
        <f>"0,710 kg"</f>
        <v>0,710 kg</v>
      </c>
      <c r="C286" s="2" t="str">
        <f t="shared" si="39"/>
        <v>0,700 kg</v>
      </c>
      <c r="D286" s="2" t="str">
        <f t="shared" si="39"/>
        <v>0,700 kg</v>
      </c>
      <c r="E286" s="2" t="str">
        <f t="shared" si="34"/>
        <v>Domicile</v>
      </c>
      <c r="F286" s="2" t="str">
        <f>"6A"</f>
        <v>6A</v>
      </c>
      <c r="G286" s="2" t="str">
        <f>"Colissimo  Domicile - sans signature -- FR (6A)"</f>
        <v>Colissimo  Domicile - sans signature -- FR (6A)</v>
      </c>
      <c r="H286" s="2"/>
      <c r="I286" s="2"/>
      <c r="J286" s="2"/>
      <c r="K286" s="2" t="str">
        <f t="shared" si="35"/>
        <v>986737</v>
      </c>
      <c r="L286" s="2" t="str">
        <f>"0,700 kg"</f>
        <v>0,700 kg</v>
      </c>
    </row>
    <row r="287" spans="1:12" x14ac:dyDescent="0.3">
      <c r="A287" s="2" t="str">
        <f>"6C15580943203"</f>
        <v>6C15580943203</v>
      </c>
      <c r="B287" s="2" t="str">
        <f>"0,650 kg"</f>
        <v>0,650 kg</v>
      </c>
      <c r="C287" s="2" t="str">
        <f t="shared" si="39"/>
        <v>0,700 kg</v>
      </c>
      <c r="D287" s="2" t="str">
        <f t="shared" si="39"/>
        <v>0,700 kg</v>
      </c>
      <c r="E287" s="2" t="str">
        <f t="shared" si="34"/>
        <v>Domicile</v>
      </c>
      <c r="F287" s="2" t="str">
        <f t="shared" ref="F287:F299" si="40">"6C"</f>
        <v>6C</v>
      </c>
      <c r="G287" s="2" t="str">
        <f t="shared" ref="G287:G299" si="41">"Colissimo  Domicile - avec signature -- FR (6C)"</f>
        <v>Colissimo  Domicile - avec signature -- FR (6C)</v>
      </c>
      <c r="H287" s="2"/>
      <c r="I287" s="2"/>
      <c r="J287" s="2"/>
      <c r="K287" s="2" t="str">
        <f t="shared" si="35"/>
        <v>986737</v>
      </c>
      <c r="L287" s="2" t="str">
        <f>"0,700 kg"</f>
        <v>0,700 kg</v>
      </c>
    </row>
    <row r="288" spans="1:12" x14ac:dyDescent="0.3">
      <c r="A288" s="2" t="str">
        <f>"6C15586694994"</f>
        <v>6C15586694994</v>
      </c>
      <c r="B288" s="2"/>
      <c r="C288" s="2" t="str">
        <f>"9,240 kg"</f>
        <v>9,240 kg</v>
      </c>
      <c r="D288" s="2" t="str">
        <f>"9,240 kg"</f>
        <v>9,240 kg</v>
      </c>
      <c r="E288" s="2" t="str">
        <f t="shared" si="34"/>
        <v>Domicile</v>
      </c>
      <c r="F288" s="2" t="str">
        <f t="shared" si="40"/>
        <v>6C</v>
      </c>
      <c r="G288" s="2" t="str">
        <f t="shared" si="41"/>
        <v>Colissimo  Domicile - avec signature -- FR (6C)</v>
      </c>
      <c r="H288" s="2"/>
      <c r="I288" s="2"/>
      <c r="J288" s="2"/>
      <c r="K288" s="2" t="str">
        <f t="shared" si="35"/>
        <v>986737</v>
      </c>
      <c r="L288" s="2" t="str">
        <f>"9,240 kg"</f>
        <v>9,240 kg</v>
      </c>
    </row>
    <row r="289" spans="1:12" x14ac:dyDescent="0.3">
      <c r="A289" s="2" t="str">
        <f>"6C15580773176"</f>
        <v>6C15580773176</v>
      </c>
      <c r="B289" s="2" t="str">
        <f>"1,870 kg"</f>
        <v>1,870 kg</v>
      </c>
      <c r="C289" s="2" t="str">
        <f>"1,840 kg"</f>
        <v>1,840 kg</v>
      </c>
      <c r="D289" s="2" t="str">
        <f>"1,850 kg"</f>
        <v>1,850 kg</v>
      </c>
      <c r="E289" s="2" t="str">
        <f t="shared" si="34"/>
        <v>Domicile</v>
      </c>
      <c r="F289" s="2" t="str">
        <f t="shared" si="40"/>
        <v>6C</v>
      </c>
      <c r="G289" s="2" t="str">
        <f t="shared" si="41"/>
        <v>Colissimo  Domicile - avec signature -- FR (6C)</v>
      </c>
      <c r="H289" s="2"/>
      <c r="I289" s="2"/>
      <c r="J289" s="2"/>
      <c r="K289" s="2" t="str">
        <f t="shared" si="35"/>
        <v>986737</v>
      </c>
      <c r="L289" s="2" t="str">
        <f>"1,850 kg"</f>
        <v>1,850 kg</v>
      </c>
    </row>
    <row r="290" spans="1:12" x14ac:dyDescent="0.3">
      <c r="A290" s="2" t="str">
        <f>"6C15673100551"</f>
        <v>6C15673100551</v>
      </c>
      <c r="B290" s="2" t="str">
        <f>"1,620 kg"</f>
        <v>1,620 kg</v>
      </c>
      <c r="C290" s="2" t="str">
        <f>"1,600 kg"</f>
        <v>1,600 kg</v>
      </c>
      <c r="D290" s="2" t="str">
        <f>"1,600 kg"</f>
        <v>1,600 kg</v>
      </c>
      <c r="E290" s="2" t="str">
        <f t="shared" si="34"/>
        <v>Domicile</v>
      </c>
      <c r="F290" s="2" t="str">
        <f t="shared" si="40"/>
        <v>6C</v>
      </c>
      <c r="G290" s="2" t="str">
        <f t="shared" si="41"/>
        <v>Colissimo  Domicile - avec signature -- FR (6C)</v>
      </c>
      <c r="H290" s="2"/>
      <c r="I290" s="2"/>
      <c r="J290" s="2"/>
      <c r="K290" s="2" t="str">
        <f t="shared" si="35"/>
        <v>986737</v>
      </c>
      <c r="L290" s="2" t="str">
        <f>"1,600 kg"</f>
        <v>1,600 kg</v>
      </c>
    </row>
    <row r="291" spans="1:12" x14ac:dyDescent="0.3">
      <c r="A291" s="2" t="str">
        <f>"6C15661102017"</f>
        <v>6C15661102017</v>
      </c>
      <c r="B291" s="2" t="str">
        <f>"7,490 kg"</f>
        <v>7,490 kg</v>
      </c>
      <c r="C291" s="2" t="str">
        <f>"7,480 kg"</f>
        <v>7,480 kg</v>
      </c>
      <c r="D291" s="2" t="str">
        <f>"7,500 kg"</f>
        <v>7,500 kg</v>
      </c>
      <c r="E291" s="2" t="str">
        <f t="shared" si="34"/>
        <v>Domicile</v>
      </c>
      <c r="F291" s="2" t="str">
        <f t="shared" si="40"/>
        <v>6C</v>
      </c>
      <c r="G291" s="2" t="str">
        <f t="shared" si="41"/>
        <v>Colissimo  Domicile - avec signature -- FR (6C)</v>
      </c>
      <c r="H291" s="2"/>
      <c r="I291" s="2"/>
      <c r="J291" s="2"/>
      <c r="K291" s="2" t="str">
        <f t="shared" si="35"/>
        <v>986737</v>
      </c>
      <c r="L291" s="2" t="str">
        <f>"7,500 kg"</f>
        <v>7,500 kg</v>
      </c>
    </row>
    <row r="292" spans="1:12" x14ac:dyDescent="0.3">
      <c r="A292" s="2" t="str">
        <f>"6C15661075458"</f>
        <v>6C15661075458</v>
      </c>
      <c r="B292" s="2" t="str">
        <f>"1,850 kg"</f>
        <v>1,850 kg</v>
      </c>
      <c r="C292" s="2" t="str">
        <f>"1,850 kg"</f>
        <v>1,850 kg</v>
      </c>
      <c r="D292" s="2" t="str">
        <f>"1,850 kg"</f>
        <v>1,850 kg</v>
      </c>
      <c r="E292" s="2" t="str">
        <f t="shared" si="34"/>
        <v>Domicile</v>
      </c>
      <c r="F292" s="2" t="str">
        <f t="shared" si="40"/>
        <v>6C</v>
      </c>
      <c r="G292" s="2" t="str">
        <f t="shared" si="41"/>
        <v>Colissimo  Domicile - avec signature -- FR (6C)</v>
      </c>
      <c r="H292" s="2"/>
      <c r="I292" s="2"/>
      <c r="J292" s="2"/>
      <c r="K292" s="2" t="str">
        <f t="shared" si="35"/>
        <v>986737</v>
      </c>
      <c r="L292" s="2" t="str">
        <f>"1,850 kg"</f>
        <v>1,850 kg</v>
      </c>
    </row>
    <row r="293" spans="1:12" x14ac:dyDescent="0.3">
      <c r="A293" s="2" t="str">
        <f>"6C15659421908"</f>
        <v>6C15659421908</v>
      </c>
      <c r="B293" s="2" t="str">
        <f>"2,530 kg"</f>
        <v>2,530 kg</v>
      </c>
      <c r="C293" s="2" t="str">
        <f>"2,550 kg"</f>
        <v>2,550 kg</v>
      </c>
      <c r="D293" s="2" t="str">
        <f>"2,550 kg"</f>
        <v>2,550 kg</v>
      </c>
      <c r="E293" s="2" t="str">
        <f t="shared" si="34"/>
        <v>Domicile</v>
      </c>
      <c r="F293" s="2" t="str">
        <f t="shared" si="40"/>
        <v>6C</v>
      </c>
      <c r="G293" s="2" t="str">
        <f t="shared" si="41"/>
        <v>Colissimo  Domicile - avec signature -- FR (6C)</v>
      </c>
      <c r="H293" s="2"/>
      <c r="I293" s="2"/>
      <c r="J293" s="2"/>
      <c r="K293" s="2" t="str">
        <f t="shared" si="35"/>
        <v>986737</v>
      </c>
      <c r="L293" s="2" t="str">
        <f>"2,550 kg"</f>
        <v>2,550 kg</v>
      </c>
    </row>
    <row r="294" spans="1:12" x14ac:dyDescent="0.3">
      <c r="A294" s="2" t="str">
        <f>"6C15639341660"</f>
        <v>6C15639341660</v>
      </c>
      <c r="B294" s="2" t="str">
        <f>"5,530 kg"</f>
        <v>5,530 kg</v>
      </c>
      <c r="C294" s="2" t="str">
        <f>"5,550 kg"</f>
        <v>5,550 kg</v>
      </c>
      <c r="D294" s="2" t="str">
        <f>"5,550 kg"</f>
        <v>5,550 kg</v>
      </c>
      <c r="E294" s="2" t="str">
        <f t="shared" si="34"/>
        <v>Domicile</v>
      </c>
      <c r="F294" s="2" t="str">
        <f t="shared" si="40"/>
        <v>6C</v>
      </c>
      <c r="G294" s="2" t="str">
        <f t="shared" si="41"/>
        <v>Colissimo  Domicile - avec signature -- FR (6C)</v>
      </c>
      <c r="H294" s="2"/>
      <c r="I294" s="2"/>
      <c r="J294" s="2"/>
      <c r="K294" s="2" t="str">
        <f t="shared" si="35"/>
        <v>986737</v>
      </c>
      <c r="L294" s="2" t="str">
        <f>"5,550 kg"</f>
        <v>5,550 kg</v>
      </c>
    </row>
    <row r="295" spans="1:12" x14ac:dyDescent="0.3">
      <c r="A295" s="2" t="str">
        <f>"6C15638397163"</f>
        <v>6C15638397163</v>
      </c>
      <c r="B295" s="2"/>
      <c r="C295" s="2" t="str">
        <f>"1,850 kg"</f>
        <v>1,850 kg</v>
      </c>
      <c r="D295" s="2" t="str">
        <f>"1,850 kg"</f>
        <v>1,850 kg</v>
      </c>
      <c r="E295" s="2" t="str">
        <f t="shared" si="34"/>
        <v>Domicile</v>
      </c>
      <c r="F295" s="2" t="str">
        <f t="shared" si="40"/>
        <v>6C</v>
      </c>
      <c r="G295" s="2" t="str">
        <f t="shared" si="41"/>
        <v>Colissimo  Domicile - avec signature -- FR (6C)</v>
      </c>
      <c r="H295" s="2"/>
      <c r="I295" s="2"/>
      <c r="J295" s="2"/>
      <c r="K295" s="2" t="str">
        <f t="shared" si="35"/>
        <v>986737</v>
      </c>
      <c r="L295" s="2" t="str">
        <f>"1,850 kg"</f>
        <v>1,850 kg</v>
      </c>
    </row>
    <row r="296" spans="1:12" x14ac:dyDescent="0.3">
      <c r="A296" s="2" t="str">
        <f>"6C15661213546"</f>
        <v>6C15661213546</v>
      </c>
      <c r="B296" s="2" t="str">
        <f>"1,860 kg"</f>
        <v>1,860 kg</v>
      </c>
      <c r="C296" s="2" t="str">
        <f>"1,850 kg"</f>
        <v>1,850 kg</v>
      </c>
      <c r="D296" s="2" t="str">
        <f>"1,850 kg"</f>
        <v>1,850 kg</v>
      </c>
      <c r="E296" s="2" t="str">
        <f t="shared" si="34"/>
        <v>Domicile</v>
      </c>
      <c r="F296" s="2" t="str">
        <f t="shared" si="40"/>
        <v>6C</v>
      </c>
      <c r="G296" s="2" t="str">
        <f t="shared" si="41"/>
        <v>Colissimo  Domicile - avec signature -- FR (6C)</v>
      </c>
      <c r="H296" s="2"/>
      <c r="I296" s="2"/>
      <c r="J296" s="2"/>
      <c r="K296" s="2" t="str">
        <f t="shared" si="35"/>
        <v>986737</v>
      </c>
      <c r="L296" s="2" t="str">
        <f>"1,850 kg"</f>
        <v>1,850 kg</v>
      </c>
    </row>
    <row r="297" spans="1:12" x14ac:dyDescent="0.3">
      <c r="A297" s="2" t="str">
        <f>"6C15714862813"</f>
        <v>6C15714862813</v>
      </c>
      <c r="B297" s="2" t="str">
        <f>"4,320 kg"</f>
        <v>4,320 kg</v>
      </c>
      <c r="C297" s="2" t="str">
        <f>"4,350 kg"</f>
        <v>4,350 kg</v>
      </c>
      <c r="D297" s="2" t="str">
        <f>"4,350 kg"</f>
        <v>4,350 kg</v>
      </c>
      <c r="E297" s="2" t="str">
        <f t="shared" si="34"/>
        <v>Domicile</v>
      </c>
      <c r="F297" s="2" t="str">
        <f t="shared" si="40"/>
        <v>6C</v>
      </c>
      <c r="G297" s="2" t="str">
        <f t="shared" si="41"/>
        <v>Colissimo  Domicile - avec signature -- FR (6C)</v>
      </c>
      <c r="H297" s="2"/>
      <c r="I297" s="2"/>
      <c r="J297" s="2"/>
      <c r="K297" s="2" t="str">
        <f t="shared" si="35"/>
        <v>986737</v>
      </c>
      <c r="L297" s="2" t="str">
        <f>"4,350 kg"</f>
        <v>4,350 kg</v>
      </c>
    </row>
    <row r="298" spans="1:12" x14ac:dyDescent="0.3">
      <c r="A298" s="2" t="str">
        <f>"6C15714816656"</f>
        <v>6C15714816656</v>
      </c>
      <c r="B298" s="2" t="str">
        <f>"1,860 kg"</f>
        <v>1,860 kg</v>
      </c>
      <c r="C298" s="2" t="str">
        <f>"1,850 kg"</f>
        <v>1,850 kg</v>
      </c>
      <c r="D298" s="2" t="str">
        <f>"1,850 kg"</f>
        <v>1,850 kg</v>
      </c>
      <c r="E298" s="2" t="str">
        <f t="shared" si="34"/>
        <v>Domicile</v>
      </c>
      <c r="F298" s="2" t="str">
        <f t="shared" si="40"/>
        <v>6C</v>
      </c>
      <c r="G298" s="2" t="str">
        <f t="shared" si="41"/>
        <v>Colissimo  Domicile - avec signature -- FR (6C)</v>
      </c>
      <c r="H298" s="2"/>
      <c r="I298" s="2"/>
      <c r="J298" s="2"/>
      <c r="K298" s="2" t="str">
        <f t="shared" si="35"/>
        <v>986737</v>
      </c>
      <c r="L298" s="2" t="str">
        <f>"1,850 kg"</f>
        <v>1,850 kg</v>
      </c>
    </row>
    <row r="299" spans="1:12" x14ac:dyDescent="0.3">
      <c r="A299" s="2" t="str">
        <f>"6C15705437976"</f>
        <v>6C15705437976</v>
      </c>
      <c r="B299" s="2" t="str">
        <f>"2,300 kg"</f>
        <v>2,300 kg</v>
      </c>
      <c r="C299" s="2" t="str">
        <f>"2,300 kg"</f>
        <v>2,300 kg</v>
      </c>
      <c r="D299" s="2" t="str">
        <f>"2,300 kg"</f>
        <v>2,300 kg</v>
      </c>
      <c r="E299" s="2" t="str">
        <f t="shared" si="34"/>
        <v>Domicile</v>
      </c>
      <c r="F299" s="2" t="str">
        <f t="shared" si="40"/>
        <v>6C</v>
      </c>
      <c r="G299" s="2" t="str">
        <f t="shared" si="41"/>
        <v>Colissimo  Domicile - avec signature -- FR (6C)</v>
      </c>
      <c r="H299" s="2"/>
      <c r="I299" s="2"/>
      <c r="J299" s="2"/>
      <c r="K299" s="2" t="str">
        <f t="shared" si="35"/>
        <v>986737</v>
      </c>
      <c r="L299" s="2" t="str">
        <f>"2,300 kg"</f>
        <v>2,300 kg</v>
      </c>
    </row>
    <row r="300" spans="1:12" x14ac:dyDescent="0.3">
      <c r="A300" s="2" t="str">
        <f>"6A25939970651"</f>
        <v>6A25939970651</v>
      </c>
      <c r="B300" s="2" t="str">
        <f>"3,640 kg"</f>
        <v>3,640 kg</v>
      </c>
      <c r="C300" s="2" t="str">
        <f>"3,700 kg"</f>
        <v>3,700 kg</v>
      </c>
      <c r="D300" s="2" t="str">
        <f>"3,700 kg"</f>
        <v>3,700 kg</v>
      </c>
      <c r="E300" s="2" t="str">
        <f t="shared" si="34"/>
        <v>Domicile</v>
      </c>
      <c r="F300" s="2" t="str">
        <f>"6A"</f>
        <v>6A</v>
      </c>
      <c r="G300" s="2" t="str">
        <f>"Colissimo  Domicile - sans signature -- FR (6A)"</f>
        <v>Colissimo  Domicile - sans signature -- FR (6A)</v>
      </c>
      <c r="H300" s="2"/>
      <c r="I300" s="2"/>
      <c r="J300" s="2"/>
      <c r="K300" s="2" t="str">
        <f t="shared" si="35"/>
        <v>986737</v>
      </c>
      <c r="L300" s="2" t="str">
        <f>"3,700 kg"</f>
        <v>3,700 kg</v>
      </c>
    </row>
    <row r="301" spans="1:12" x14ac:dyDescent="0.3">
      <c r="A301" s="2" t="str">
        <f>"6C15727591304"</f>
        <v>6C15727591304</v>
      </c>
      <c r="B301" s="2" t="str">
        <f>"1,660 kg"</f>
        <v>1,660 kg</v>
      </c>
      <c r="C301" s="2" t="str">
        <f>"1,650 kg"</f>
        <v>1,650 kg</v>
      </c>
      <c r="D301" s="2" t="str">
        <f>"1,650 kg"</f>
        <v>1,650 kg</v>
      </c>
      <c r="E301" s="2" t="str">
        <f t="shared" si="34"/>
        <v>Domicile</v>
      </c>
      <c r="F301" s="2" t="str">
        <f>"6C"</f>
        <v>6C</v>
      </c>
      <c r="G301" s="2" t="str">
        <f>"Colissimo  Domicile - avec signature -- FR (6C)"</f>
        <v>Colissimo  Domicile - avec signature -- FR (6C)</v>
      </c>
      <c r="H301" s="2"/>
      <c r="I301" s="2"/>
      <c r="J301" s="2"/>
      <c r="K301" s="2" t="str">
        <f t="shared" si="35"/>
        <v>986737</v>
      </c>
      <c r="L301" s="2" t="str">
        <f>"1,650 kg"</f>
        <v>1,650 kg</v>
      </c>
    </row>
    <row r="302" spans="1:12" x14ac:dyDescent="0.3">
      <c r="A302" s="2" t="str">
        <f>"6C15714069212"</f>
        <v>6C15714069212</v>
      </c>
      <c r="B302" s="2"/>
      <c r="C302" s="2" t="str">
        <f>"2,930 kg"</f>
        <v>2,930 kg</v>
      </c>
      <c r="D302" s="2" t="str">
        <f>"2,950 kg"</f>
        <v>2,950 kg</v>
      </c>
      <c r="E302" s="2" t="str">
        <f t="shared" si="34"/>
        <v>Domicile</v>
      </c>
      <c r="F302" s="2" t="str">
        <f>"6C"</f>
        <v>6C</v>
      </c>
      <c r="G302" s="2" t="str">
        <f>"Colissimo  Domicile - avec signature -- FR (6C)"</f>
        <v>Colissimo  Domicile - avec signature -- FR (6C)</v>
      </c>
      <c r="H302" s="2"/>
      <c r="I302" s="2"/>
      <c r="J302" s="2"/>
      <c r="K302" s="2" t="str">
        <f t="shared" si="35"/>
        <v>986737</v>
      </c>
      <c r="L302" s="2" t="str">
        <f>"2,950 kg"</f>
        <v>2,950 kg</v>
      </c>
    </row>
    <row r="303" spans="1:12" x14ac:dyDescent="0.3">
      <c r="A303" s="2" t="str">
        <f>"6C15715350500"</f>
        <v>6C15715350500</v>
      </c>
      <c r="B303" s="2" t="str">
        <f>"1,870 kg"</f>
        <v>1,870 kg</v>
      </c>
      <c r="C303" s="2" t="str">
        <f>"1,850 kg"</f>
        <v>1,850 kg</v>
      </c>
      <c r="D303" s="2" t="str">
        <f>"1,850 kg"</f>
        <v>1,850 kg</v>
      </c>
      <c r="E303" s="2" t="str">
        <f t="shared" si="34"/>
        <v>Domicile</v>
      </c>
      <c r="F303" s="2" t="str">
        <f>"6C"</f>
        <v>6C</v>
      </c>
      <c r="G303" s="2" t="str">
        <f>"Colissimo  Domicile - avec signature -- FR (6C)"</f>
        <v>Colissimo  Domicile - avec signature -- FR (6C)</v>
      </c>
      <c r="H303" s="2"/>
      <c r="I303" s="2"/>
      <c r="J303" s="2"/>
      <c r="K303" s="2" t="str">
        <f t="shared" si="35"/>
        <v>986737</v>
      </c>
      <c r="L303" s="2" t="str">
        <f>"1,850 kg"</f>
        <v>1,850 kg</v>
      </c>
    </row>
    <row r="304" spans="1:12" x14ac:dyDescent="0.3">
      <c r="A304" s="2" t="str">
        <f>"6C15689140794"</f>
        <v>6C15689140794</v>
      </c>
      <c r="B304" s="2"/>
      <c r="C304" s="2" t="str">
        <f>"0,700 kg"</f>
        <v>0,700 kg</v>
      </c>
      <c r="D304" s="2" t="str">
        <f>"0,700 kg"</f>
        <v>0,700 kg</v>
      </c>
      <c r="E304" s="2" t="str">
        <f t="shared" si="34"/>
        <v>Domicile</v>
      </c>
      <c r="F304" s="2" t="str">
        <f>"6C"</f>
        <v>6C</v>
      </c>
      <c r="G304" s="2" t="str">
        <f>"Colissimo  Domicile - avec signature -- FR (6C)"</f>
        <v>Colissimo  Domicile - avec signature -- FR (6C)</v>
      </c>
      <c r="H304" s="2"/>
      <c r="I304" s="2"/>
      <c r="J304" s="2"/>
      <c r="K304" s="2" t="str">
        <f t="shared" si="35"/>
        <v>986737</v>
      </c>
      <c r="L304" s="2" t="str">
        <f>"0,700 kg"</f>
        <v>0,700 kg</v>
      </c>
    </row>
    <row r="305" spans="1:12" x14ac:dyDescent="0.3">
      <c r="A305" s="2" t="str">
        <f>"6C15737075221"</f>
        <v>6C15737075221</v>
      </c>
      <c r="B305" s="2"/>
      <c r="C305" s="2" t="str">
        <f>"2,750 kg"</f>
        <v>2,750 kg</v>
      </c>
      <c r="D305" s="2" t="str">
        <f>"2,750 kg"</f>
        <v>2,750 kg</v>
      </c>
      <c r="E305" s="2" t="str">
        <f t="shared" si="34"/>
        <v>Domicile</v>
      </c>
      <c r="F305" s="2" t="str">
        <f>"6C"</f>
        <v>6C</v>
      </c>
      <c r="G305" s="2" t="str">
        <f>"Colissimo  Domicile - avec signature -- FR (6C)"</f>
        <v>Colissimo  Domicile - avec signature -- FR (6C)</v>
      </c>
      <c r="H305" s="2"/>
      <c r="I305" s="2"/>
      <c r="J305" s="2"/>
      <c r="K305" s="2" t="str">
        <f t="shared" si="35"/>
        <v>986737</v>
      </c>
      <c r="L305" s="2" t="str">
        <f>"2,750 kg"</f>
        <v>2,750 kg</v>
      </c>
    </row>
    <row r="306" spans="1:12" x14ac:dyDescent="0.3">
      <c r="A306" s="2" t="str">
        <f>"6A25939970620"</f>
        <v>6A25939970620</v>
      </c>
      <c r="B306" s="2" t="str">
        <f>"3,640 kg"</f>
        <v>3,640 kg</v>
      </c>
      <c r="C306" s="2" t="str">
        <f>"3,600 kg"</f>
        <v>3,600 kg</v>
      </c>
      <c r="D306" s="2" t="str">
        <f>"3,600 kg"</f>
        <v>3,600 kg</v>
      </c>
      <c r="E306" s="2" t="str">
        <f t="shared" si="34"/>
        <v>Domicile</v>
      </c>
      <c r="F306" s="2" t="str">
        <f>"6A"</f>
        <v>6A</v>
      </c>
      <c r="G306" s="2" t="str">
        <f>"Colissimo  Domicile - sans signature -- FR (6A)"</f>
        <v>Colissimo  Domicile - sans signature -- FR (6A)</v>
      </c>
      <c r="H306" s="2"/>
      <c r="I306" s="2"/>
      <c r="J306" s="2"/>
      <c r="K306" s="2" t="str">
        <f t="shared" si="35"/>
        <v>986737</v>
      </c>
      <c r="L306" s="2" t="str">
        <f>"3,600 kg"</f>
        <v>3,600 kg</v>
      </c>
    </row>
    <row r="307" spans="1:12" x14ac:dyDescent="0.3">
      <c r="A307" s="2" t="str">
        <f>"6C15838334357"</f>
        <v>6C15838334357</v>
      </c>
      <c r="B307" s="2"/>
      <c r="C307" s="2" t="str">
        <f>"9,800 kg"</f>
        <v>9,800 kg</v>
      </c>
      <c r="D307" s="2" t="str">
        <f>"9,800 kg"</f>
        <v>9,800 kg</v>
      </c>
      <c r="E307" s="2" t="str">
        <f t="shared" si="34"/>
        <v>Domicile</v>
      </c>
      <c r="F307" s="2" t="str">
        <f>"6C"</f>
        <v>6C</v>
      </c>
      <c r="G307" s="2" t="str">
        <f>"Colissimo  Domicile - avec signature -- FR (6C)"</f>
        <v>Colissimo  Domicile - avec signature -- FR (6C)</v>
      </c>
      <c r="H307" s="2"/>
      <c r="I307" s="2"/>
      <c r="J307" s="2"/>
      <c r="K307" s="2" t="str">
        <f t="shared" si="35"/>
        <v>986737</v>
      </c>
      <c r="L307" s="2" t="str">
        <f>"9,800 kg"</f>
        <v>9,800 kg</v>
      </c>
    </row>
    <row r="308" spans="1:12" x14ac:dyDescent="0.3">
      <c r="A308" s="2" t="str">
        <f>"6A26085042353"</f>
        <v>6A26085042353</v>
      </c>
      <c r="B308" s="2"/>
      <c r="C308" s="2" t="str">
        <f>"4,150 kg"</f>
        <v>4,150 kg</v>
      </c>
      <c r="D308" s="2" t="str">
        <f>"4,150 kg"</f>
        <v>4,150 kg</v>
      </c>
      <c r="E308" s="2" t="str">
        <f t="shared" si="34"/>
        <v>Domicile</v>
      </c>
      <c r="F308" s="2" t="str">
        <f>"6A"</f>
        <v>6A</v>
      </c>
      <c r="G308" s="2" t="str">
        <f>"Colissimo  Domicile - sans signature -- FR (6A)"</f>
        <v>Colissimo  Domicile - sans signature -- FR (6A)</v>
      </c>
      <c r="H308" s="2"/>
      <c r="I308" s="2"/>
      <c r="J308" s="2"/>
      <c r="K308" s="2" t="str">
        <f t="shared" si="35"/>
        <v>986737</v>
      </c>
      <c r="L308" s="2" t="str">
        <f>"4,150 kg"</f>
        <v>4,150 kg</v>
      </c>
    </row>
    <row r="309" spans="1:12" x14ac:dyDescent="0.3">
      <c r="A309" s="2" t="str">
        <f>"6C15815607368"</f>
        <v>6C15815607368</v>
      </c>
      <c r="B309" s="2" t="str">
        <f>"8,370 kg"</f>
        <v>8,370 kg</v>
      </c>
      <c r="C309" s="2" t="str">
        <f>"8,350 kg"</f>
        <v>8,350 kg</v>
      </c>
      <c r="D309" s="2" t="str">
        <f>"8,350 kg"</f>
        <v>8,350 kg</v>
      </c>
      <c r="E309" s="2" t="str">
        <f t="shared" si="34"/>
        <v>Domicile</v>
      </c>
      <c r="F309" s="2" t="str">
        <f>"6C"</f>
        <v>6C</v>
      </c>
      <c r="G309" s="2" t="str">
        <f>"Colissimo  Domicile - avec signature -- FR (6C)"</f>
        <v>Colissimo  Domicile - avec signature -- FR (6C)</v>
      </c>
      <c r="H309" s="2"/>
      <c r="I309" s="2"/>
      <c r="J309" s="2"/>
      <c r="K309" s="2" t="str">
        <f t="shared" si="35"/>
        <v>986737</v>
      </c>
      <c r="L309" s="2" t="str">
        <f>"8,350 kg"</f>
        <v>8,350 kg</v>
      </c>
    </row>
    <row r="310" spans="1:12" x14ac:dyDescent="0.3">
      <c r="A310" s="2" t="str">
        <f>"6C15815607344"</f>
        <v>6C15815607344</v>
      </c>
      <c r="B310" s="2" t="str">
        <f>"8,370 kg"</f>
        <v>8,370 kg</v>
      </c>
      <c r="C310" s="2" t="str">
        <f>"10,350 kg"</f>
        <v>10,350 kg</v>
      </c>
      <c r="D310" s="2" t="str">
        <f>"10,350 kg"</f>
        <v>10,350 kg</v>
      </c>
      <c r="E310" s="2" t="str">
        <f t="shared" si="34"/>
        <v>Domicile</v>
      </c>
      <c r="F310" s="2" t="str">
        <f>"6C"</f>
        <v>6C</v>
      </c>
      <c r="G310" s="2" t="str">
        <f>"Colissimo  Domicile - avec signature -- FR (6C)"</f>
        <v>Colissimo  Domicile - avec signature -- FR (6C)</v>
      </c>
      <c r="H310" s="2"/>
      <c r="I310" s="2"/>
      <c r="J310" s="2"/>
      <c r="K310" s="2" t="str">
        <f t="shared" si="35"/>
        <v>986737</v>
      </c>
      <c r="L310" s="2" t="str">
        <f>"10,350 kg"</f>
        <v>10,350 kg</v>
      </c>
    </row>
    <row r="311" spans="1:12" x14ac:dyDescent="0.3">
      <c r="A311" s="2" t="str">
        <f>"6A26142130481"</f>
        <v>6A26142130481</v>
      </c>
      <c r="B311" s="2" t="str">
        <f>"5,340 kg"</f>
        <v>5,340 kg</v>
      </c>
      <c r="C311" s="2" t="str">
        <f>"5,100 kg"</f>
        <v>5,100 kg</v>
      </c>
      <c r="D311" s="2" t="str">
        <f>"5,100 kg"</f>
        <v>5,100 kg</v>
      </c>
      <c r="E311" s="2" t="str">
        <f t="shared" si="34"/>
        <v>Domicile</v>
      </c>
      <c r="F311" s="2" t="str">
        <f>"6A"</f>
        <v>6A</v>
      </c>
      <c r="G311" s="2" t="str">
        <f>"Colissimo  Domicile - sans signature -- FR (6A)"</f>
        <v>Colissimo  Domicile - sans signature -- FR (6A)</v>
      </c>
      <c r="H311" s="2"/>
      <c r="I311" s="2"/>
      <c r="J311" s="2"/>
      <c r="K311" s="2" t="str">
        <f t="shared" si="35"/>
        <v>986737</v>
      </c>
      <c r="L311" s="2" t="str">
        <f>"5,100 kg"</f>
        <v>5,100 kg</v>
      </c>
    </row>
    <row r="312" spans="1:12" x14ac:dyDescent="0.3">
      <c r="A312" s="2" t="str">
        <f>"6C15840700737"</f>
        <v>6C15840700737</v>
      </c>
      <c r="B312" s="2" t="str">
        <f>"0,560 kg"</f>
        <v>0,560 kg</v>
      </c>
      <c r="C312" s="2" t="str">
        <f>"0,780 kg"</f>
        <v>0,780 kg</v>
      </c>
      <c r="D312" s="2" t="str">
        <f>"0,800 kg"</f>
        <v>0,800 kg</v>
      </c>
      <c r="E312" s="2" t="str">
        <f t="shared" si="34"/>
        <v>Domicile</v>
      </c>
      <c r="F312" s="2" t="str">
        <f>"6C"</f>
        <v>6C</v>
      </c>
      <c r="G312" s="2" t="str">
        <f>"Colissimo  Domicile - avec signature -- FR (6C)"</f>
        <v>Colissimo  Domicile - avec signature -- FR (6C)</v>
      </c>
      <c r="H312" s="2"/>
      <c r="I312" s="2"/>
      <c r="J312" s="2"/>
      <c r="K312" s="2" t="str">
        <f t="shared" si="35"/>
        <v>986737</v>
      </c>
      <c r="L312" s="2" t="str">
        <f>"0,800 kg"</f>
        <v>0,800 kg</v>
      </c>
    </row>
    <row r="313" spans="1:12" x14ac:dyDescent="0.3">
      <c r="A313" s="2" t="str">
        <f>"6C15838572049"</f>
        <v>6C15838572049</v>
      </c>
      <c r="B313" s="2" t="str">
        <f>"1,980 kg"</f>
        <v>1,980 kg</v>
      </c>
      <c r="C313" s="2" t="str">
        <f>"1,950 kg"</f>
        <v>1,950 kg</v>
      </c>
      <c r="D313" s="2" t="str">
        <f>"1,950 kg"</f>
        <v>1,950 kg</v>
      </c>
      <c r="E313" s="2" t="str">
        <f t="shared" si="34"/>
        <v>Domicile</v>
      </c>
      <c r="F313" s="2" t="str">
        <f>"6C"</f>
        <v>6C</v>
      </c>
      <c r="G313" s="2" t="str">
        <f>"Colissimo  Domicile - avec signature -- FR (6C)"</f>
        <v>Colissimo  Domicile - avec signature -- FR (6C)</v>
      </c>
      <c r="H313" s="2"/>
      <c r="I313" s="2"/>
      <c r="J313" s="2"/>
      <c r="K313" s="2" t="str">
        <f t="shared" si="35"/>
        <v>986737</v>
      </c>
      <c r="L313" s="2" t="str">
        <f>"1,950 kg"</f>
        <v>1,950 kg</v>
      </c>
    </row>
    <row r="314" spans="1:12" x14ac:dyDescent="0.3">
      <c r="A314" s="2" t="str">
        <f>"6A26142130290"</f>
        <v>6A26142130290</v>
      </c>
      <c r="B314" s="2"/>
      <c r="C314" s="2" t="str">
        <f>"5,400 kg"</f>
        <v>5,400 kg</v>
      </c>
      <c r="D314" s="2" t="str">
        <f>"5,400 kg"</f>
        <v>5,400 kg</v>
      </c>
      <c r="E314" s="2" t="str">
        <f t="shared" si="34"/>
        <v>Domicile</v>
      </c>
      <c r="F314" s="2" t="str">
        <f>"6A"</f>
        <v>6A</v>
      </c>
      <c r="G314" s="2" t="str">
        <f>"Colissimo  Domicile - sans signature -- FR (6A)"</f>
        <v>Colissimo  Domicile - sans signature -- FR (6A)</v>
      </c>
      <c r="H314" s="2"/>
      <c r="I314" s="2"/>
      <c r="J314" s="2"/>
      <c r="K314" s="2" t="str">
        <f t="shared" si="35"/>
        <v>986737</v>
      </c>
      <c r="L314" s="2" t="str">
        <f>"5,400 kg"</f>
        <v>5,400 kg</v>
      </c>
    </row>
    <row r="315" spans="1:12" x14ac:dyDescent="0.3">
      <c r="A315" s="2" t="str">
        <f>"6C15842082251"</f>
        <v>6C15842082251</v>
      </c>
      <c r="B315" s="2" t="str">
        <f>"7,050 kg"</f>
        <v>7,050 kg</v>
      </c>
      <c r="C315" s="2" t="str">
        <f>"7,050 kg"</f>
        <v>7,050 kg</v>
      </c>
      <c r="D315" s="2" t="str">
        <f>"7,050 kg"</f>
        <v>7,050 kg</v>
      </c>
      <c r="E315" s="2" t="str">
        <f t="shared" si="34"/>
        <v>Domicile</v>
      </c>
      <c r="F315" s="2" t="str">
        <f>"6C"</f>
        <v>6C</v>
      </c>
      <c r="G315" s="2" t="str">
        <f>"Colissimo  Domicile - avec signature -- FR (6C)"</f>
        <v>Colissimo  Domicile - avec signature -- FR (6C)</v>
      </c>
      <c r="H315" s="2"/>
      <c r="I315" s="2"/>
      <c r="J315" s="2"/>
      <c r="K315" s="2" t="str">
        <f t="shared" si="35"/>
        <v>986737</v>
      </c>
      <c r="L315" s="2" t="str">
        <f>"7,050 kg"</f>
        <v>7,050 kg</v>
      </c>
    </row>
    <row r="316" spans="1:12" x14ac:dyDescent="0.3">
      <c r="A316" s="2" t="str">
        <f>"6C15842311337"</f>
        <v>6C15842311337</v>
      </c>
      <c r="B316" s="2" t="str">
        <f>"1,860 kg"</f>
        <v>1,860 kg</v>
      </c>
      <c r="C316" s="2" t="str">
        <f>"1,800 kg"</f>
        <v>1,800 kg</v>
      </c>
      <c r="D316" s="2" t="str">
        <f>"1,800 kg"</f>
        <v>1,800 kg</v>
      </c>
      <c r="E316" s="2" t="str">
        <f t="shared" si="34"/>
        <v>Domicile</v>
      </c>
      <c r="F316" s="2" t="str">
        <f>"6C"</f>
        <v>6C</v>
      </c>
      <c r="G316" s="2" t="str">
        <f>"Colissimo  Domicile - avec signature -- FR (6C)"</f>
        <v>Colissimo  Domicile - avec signature -- FR (6C)</v>
      </c>
      <c r="H316" s="2"/>
      <c r="I316" s="2"/>
      <c r="J316" s="2"/>
      <c r="K316" s="2" t="str">
        <f t="shared" si="35"/>
        <v>986737</v>
      </c>
      <c r="L316" s="2" t="str">
        <f>"1,800 kg"</f>
        <v>1,800 kg</v>
      </c>
    </row>
    <row r="317" spans="1:12" x14ac:dyDescent="0.3">
      <c r="A317" s="2" t="str">
        <f>"6A26138937803"</f>
        <v>6A26138937803</v>
      </c>
      <c r="B317" s="2"/>
      <c r="C317" s="2" t="str">
        <f>"5,470 kg"</f>
        <v>5,470 kg</v>
      </c>
      <c r="D317" s="2" t="str">
        <f>"5,500 kg"</f>
        <v>5,500 kg</v>
      </c>
      <c r="E317" s="2" t="str">
        <f t="shared" si="34"/>
        <v>Domicile</v>
      </c>
      <c r="F317" s="2" t="str">
        <f>"6A"</f>
        <v>6A</v>
      </c>
      <c r="G317" s="2" t="str">
        <f>"Colissimo  Domicile - sans signature -- FR (6A)"</f>
        <v>Colissimo  Domicile - sans signature -- FR (6A)</v>
      </c>
      <c r="H317" s="2"/>
      <c r="I317" s="2"/>
      <c r="J317" s="2"/>
      <c r="K317" s="2" t="str">
        <f t="shared" si="35"/>
        <v>986737</v>
      </c>
      <c r="L317" s="2" t="str">
        <f>"5,500 kg"</f>
        <v>5,500 kg</v>
      </c>
    </row>
    <row r="318" spans="1:12" x14ac:dyDescent="0.3">
      <c r="A318" s="2" t="str">
        <f>"6C15842119230"</f>
        <v>6C15842119230</v>
      </c>
      <c r="B318" s="2" t="str">
        <f>"0,210 kg"</f>
        <v>0,210 kg</v>
      </c>
      <c r="C318" s="2" t="str">
        <f>"0,210 kg"</f>
        <v>0,210 kg</v>
      </c>
      <c r="D318" s="2" t="str">
        <f>"0,210 kg"</f>
        <v>0,210 kg</v>
      </c>
      <c r="E318" s="2" t="str">
        <f t="shared" si="34"/>
        <v>Domicile</v>
      </c>
      <c r="F318" s="2" t="str">
        <f>"6C"</f>
        <v>6C</v>
      </c>
      <c r="G318" s="2" t="str">
        <f>"Colissimo  Domicile - avec signature -- FR (6C)"</f>
        <v>Colissimo  Domicile - avec signature -- FR (6C)</v>
      </c>
      <c r="H318" s="2"/>
      <c r="I318" s="2"/>
      <c r="J318" s="2"/>
      <c r="K318" s="2" t="str">
        <f t="shared" si="35"/>
        <v>986737</v>
      </c>
      <c r="L318" s="2"/>
    </row>
    <row r="319" spans="1:12" x14ac:dyDescent="0.3">
      <c r="A319" s="2" t="str">
        <f>"6A26096242056"</f>
        <v>6A26096242056</v>
      </c>
      <c r="B319" s="2" t="str">
        <f>"4,250 kg"</f>
        <v>4,250 kg</v>
      </c>
      <c r="C319" s="2" t="str">
        <f>"4,200 kg"</f>
        <v>4,200 kg</v>
      </c>
      <c r="D319" s="2" t="str">
        <f>"4,250 kg"</f>
        <v>4,250 kg</v>
      </c>
      <c r="E319" s="2" t="str">
        <f t="shared" si="34"/>
        <v>Domicile</v>
      </c>
      <c r="F319" s="2" t="str">
        <f>"6A"</f>
        <v>6A</v>
      </c>
      <c r="G319" s="2" t="str">
        <f>"Colissimo  Domicile - sans signature -- FR (6A)"</f>
        <v>Colissimo  Domicile - sans signature -- FR (6A)</v>
      </c>
      <c r="H319" s="2"/>
      <c r="I319" s="2"/>
      <c r="J319" s="2"/>
      <c r="K319" s="2" t="str">
        <f t="shared" si="35"/>
        <v>986737</v>
      </c>
      <c r="L319" s="2" t="str">
        <f>"4,250 kg"</f>
        <v>4,250 kg</v>
      </c>
    </row>
    <row r="320" spans="1:12" x14ac:dyDescent="0.3">
      <c r="A320" s="2" t="str">
        <f>"6C15842071514"</f>
        <v>6C15842071514</v>
      </c>
      <c r="B320" s="2" t="str">
        <f>"7,380 kg"</f>
        <v>7,380 kg</v>
      </c>
      <c r="C320" s="2" t="str">
        <f>"7,350 kg"</f>
        <v>7,350 kg</v>
      </c>
      <c r="D320" s="2" t="str">
        <f>"7,350 kg"</f>
        <v>7,350 kg</v>
      </c>
      <c r="E320" s="2" t="str">
        <f t="shared" si="34"/>
        <v>Domicile</v>
      </c>
      <c r="F320" s="2" t="str">
        <f>"6C"</f>
        <v>6C</v>
      </c>
      <c r="G320" s="2" t="str">
        <f>"Colissimo  Domicile - avec signature -- FR (6C)"</f>
        <v>Colissimo  Domicile - avec signature -- FR (6C)</v>
      </c>
      <c r="H320" s="2"/>
      <c r="I320" s="2"/>
      <c r="J320" s="2"/>
      <c r="K320" s="2" t="str">
        <f t="shared" si="35"/>
        <v>986737</v>
      </c>
      <c r="L320" s="2" t="str">
        <f>"7,350 kg"</f>
        <v>7,350 kg</v>
      </c>
    </row>
    <row r="321" spans="1:12" x14ac:dyDescent="0.3">
      <c r="A321" s="2" t="str">
        <f>"6A26162155280"</f>
        <v>6A26162155280</v>
      </c>
      <c r="B321" s="2" t="str">
        <f>"10,240 kg"</f>
        <v>10,240 kg</v>
      </c>
      <c r="C321" s="2" t="str">
        <f>"10,200 kg"</f>
        <v>10,200 kg</v>
      </c>
      <c r="D321" s="2" t="str">
        <f>"10,250 kg"</f>
        <v>10,250 kg</v>
      </c>
      <c r="E321" s="2" t="str">
        <f t="shared" si="34"/>
        <v>Domicile</v>
      </c>
      <c r="F321" s="2" t="str">
        <f>"6A"</f>
        <v>6A</v>
      </c>
      <c r="G321" s="2" t="str">
        <f>"Colissimo  Domicile - sans signature -- FR (6A)"</f>
        <v>Colissimo  Domicile - sans signature -- FR (6A)</v>
      </c>
      <c r="H321" s="2"/>
      <c r="I321" s="2"/>
      <c r="J321" s="2"/>
      <c r="K321" s="2" t="str">
        <f t="shared" si="35"/>
        <v>986737</v>
      </c>
      <c r="L321" s="2" t="str">
        <f>"10,250 kg"</f>
        <v>10,250 kg</v>
      </c>
    </row>
    <row r="322" spans="1:12" x14ac:dyDescent="0.3">
      <c r="A322" s="2" t="str">
        <f>"6C15785937649"</f>
        <v>6C15785937649</v>
      </c>
      <c r="B322" s="2"/>
      <c r="C322" s="2" t="str">
        <f>"0,600 kg"</f>
        <v>0,600 kg</v>
      </c>
      <c r="D322" s="2" t="str">
        <f>"0,600 kg"</f>
        <v>0,600 kg</v>
      </c>
      <c r="E322" s="2" t="str">
        <f t="shared" ref="E322:E385" si="42">"Domicile"</f>
        <v>Domicile</v>
      </c>
      <c r="F322" s="2" t="str">
        <f>"6C"</f>
        <v>6C</v>
      </c>
      <c r="G322" s="2" t="str">
        <f>"Colissimo  Domicile - avec signature -- FR (6C)"</f>
        <v>Colissimo  Domicile - avec signature -- FR (6C)</v>
      </c>
      <c r="H322" s="2"/>
      <c r="I322" s="2"/>
      <c r="J322" s="2"/>
      <c r="K322" s="2" t="str">
        <f t="shared" ref="K322:K385" si="43">"986737"</f>
        <v>986737</v>
      </c>
      <c r="L322" s="2" t="str">
        <f>"0,600 kg"</f>
        <v>0,600 kg</v>
      </c>
    </row>
    <row r="323" spans="1:12" x14ac:dyDescent="0.3">
      <c r="A323" s="2" t="str">
        <f>"6A26145329073"</f>
        <v>6A26145329073</v>
      </c>
      <c r="B323" s="2"/>
      <c r="C323" s="2" t="str">
        <f>"5,400 kg"</f>
        <v>5,400 kg</v>
      </c>
      <c r="D323" s="2" t="str">
        <f>"5,400 kg"</f>
        <v>5,400 kg</v>
      </c>
      <c r="E323" s="2" t="str">
        <f t="shared" si="42"/>
        <v>Domicile</v>
      </c>
      <c r="F323" s="2" t="str">
        <f>"6A"</f>
        <v>6A</v>
      </c>
      <c r="G323" s="2" t="str">
        <f>"Colissimo  Domicile - sans signature -- FR (6A)"</f>
        <v>Colissimo  Domicile - sans signature -- FR (6A)</v>
      </c>
      <c r="H323" s="2"/>
      <c r="I323" s="2"/>
      <c r="J323" s="2"/>
      <c r="K323" s="2" t="str">
        <f t="shared" si="43"/>
        <v>986737</v>
      </c>
      <c r="L323" s="2" t="str">
        <f>"5,400 kg"</f>
        <v>5,400 kg</v>
      </c>
    </row>
    <row r="324" spans="1:12" x14ac:dyDescent="0.3">
      <c r="A324" s="2" t="str">
        <f>"6C15842196316"</f>
        <v>6C15842196316</v>
      </c>
      <c r="B324" s="2" t="str">
        <f>"1,670 kg"</f>
        <v>1,670 kg</v>
      </c>
      <c r="C324" s="2" t="str">
        <f>"1,700 kg"</f>
        <v>1,700 kg</v>
      </c>
      <c r="D324" s="2" t="str">
        <f>"1,700 kg"</f>
        <v>1,700 kg</v>
      </c>
      <c r="E324" s="2" t="str">
        <f t="shared" si="42"/>
        <v>Domicile</v>
      </c>
      <c r="F324" s="2" t="str">
        <f>"6C"</f>
        <v>6C</v>
      </c>
      <c r="G324" s="2" t="str">
        <f>"Colissimo  Domicile - avec signature -- FR (6C)"</f>
        <v>Colissimo  Domicile - avec signature -- FR (6C)</v>
      </c>
      <c r="H324" s="2"/>
      <c r="I324" s="2"/>
      <c r="J324" s="2"/>
      <c r="K324" s="2" t="str">
        <f t="shared" si="43"/>
        <v>986737</v>
      </c>
      <c r="L324" s="2" t="str">
        <f>"1,700 kg"</f>
        <v>1,700 kg</v>
      </c>
    </row>
    <row r="325" spans="1:12" x14ac:dyDescent="0.3">
      <c r="A325" s="2" t="str">
        <f>"6C15830614389"</f>
        <v>6C15830614389</v>
      </c>
      <c r="B325" s="2"/>
      <c r="C325" s="2" t="str">
        <f>"0,250 kg"</f>
        <v>0,250 kg</v>
      </c>
      <c r="D325" s="2" t="str">
        <f>"0,250 kg"</f>
        <v>0,250 kg</v>
      </c>
      <c r="E325" s="2" t="str">
        <f t="shared" si="42"/>
        <v>Domicile</v>
      </c>
      <c r="F325" s="2" t="str">
        <f>"6C"</f>
        <v>6C</v>
      </c>
      <c r="G325" s="2" t="str">
        <f>"Colissimo  Domicile - avec signature -- FR (6C)"</f>
        <v>Colissimo  Domicile - avec signature -- FR (6C)</v>
      </c>
      <c r="H325" s="2"/>
      <c r="I325" s="2"/>
      <c r="J325" s="2"/>
      <c r="K325" s="2" t="str">
        <f t="shared" si="43"/>
        <v>986737</v>
      </c>
      <c r="L325" s="2" t="str">
        <f>"0,250 kg"</f>
        <v>0,250 kg</v>
      </c>
    </row>
    <row r="326" spans="1:12" x14ac:dyDescent="0.3">
      <c r="A326" s="2" t="str">
        <f>"6C15785931371"</f>
        <v>6C15785931371</v>
      </c>
      <c r="B326" s="2" t="str">
        <f>"0,520 kg"</f>
        <v>0,520 kg</v>
      </c>
      <c r="C326" s="2" t="str">
        <f>"0,500 kg"</f>
        <v>0,500 kg</v>
      </c>
      <c r="D326" s="2" t="str">
        <f>"0,500 kg"</f>
        <v>0,500 kg</v>
      </c>
      <c r="E326" s="2" t="str">
        <f t="shared" si="42"/>
        <v>Domicile</v>
      </c>
      <c r="F326" s="2" t="str">
        <f>"6C"</f>
        <v>6C</v>
      </c>
      <c r="G326" s="2" t="str">
        <f>"Colissimo  Domicile - avec signature -- FR (6C)"</f>
        <v>Colissimo  Domicile - avec signature -- FR (6C)</v>
      </c>
      <c r="H326" s="2"/>
      <c r="I326" s="2"/>
      <c r="J326" s="2"/>
      <c r="K326" s="2" t="str">
        <f t="shared" si="43"/>
        <v>986737</v>
      </c>
      <c r="L326" s="2" t="str">
        <f>"0,500 kg"</f>
        <v>0,500 kg</v>
      </c>
    </row>
    <row r="327" spans="1:12" x14ac:dyDescent="0.3">
      <c r="A327" s="2" t="str">
        <f>"6C15789534288"</f>
        <v>6C15789534288</v>
      </c>
      <c r="B327" s="2" t="str">
        <f>"0,520 kg"</f>
        <v>0,520 kg</v>
      </c>
      <c r="C327" s="2" t="str">
        <f>"0,500 kg"</f>
        <v>0,500 kg</v>
      </c>
      <c r="D327" s="2" t="str">
        <f>"0,500 kg"</f>
        <v>0,500 kg</v>
      </c>
      <c r="E327" s="2" t="str">
        <f t="shared" si="42"/>
        <v>Domicile</v>
      </c>
      <c r="F327" s="2" t="str">
        <f>"6C"</f>
        <v>6C</v>
      </c>
      <c r="G327" s="2" t="str">
        <f>"Colissimo  Domicile - avec signature -- FR (6C)"</f>
        <v>Colissimo  Domicile - avec signature -- FR (6C)</v>
      </c>
      <c r="H327" s="2"/>
      <c r="I327" s="2"/>
      <c r="J327" s="2"/>
      <c r="K327" s="2" t="str">
        <f t="shared" si="43"/>
        <v>986737</v>
      </c>
      <c r="L327" s="2" t="str">
        <f>"0,500 kg"</f>
        <v>0,500 kg</v>
      </c>
    </row>
    <row r="328" spans="1:12" x14ac:dyDescent="0.3">
      <c r="A328" s="2" t="str">
        <f>"6C15787136583"</f>
        <v>6C15787136583</v>
      </c>
      <c r="B328" s="2" t="str">
        <f>"0,620 kg"</f>
        <v>0,620 kg</v>
      </c>
      <c r="C328" s="2" t="str">
        <f>"0,600 kg"</f>
        <v>0,600 kg</v>
      </c>
      <c r="D328" s="2" t="str">
        <f>"0,650 kg"</f>
        <v>0,650 kg</v>
      </c>
      <c r="E328" s="2" t="str">
        <f t="shared" si="42"/>
        <v>Domicile</v>
      </c>
      <c r="F328" s="2" t="str">
        <f>"6C"</f>
        <v>6C</v>
      </c>
      <c r="G328" s="2" t="str">
        <f>"Colissimo  Domicile - avec signature -- FR (6C)"</f>
        <v>Colissimo  Domicile - avec signature -- FR (6C)</v>
      </c>
      <c r="H328" s="2"/>
      <c r="I328" s="2"/>
      <c r="J328" s="2"/>
      <c r="K328" s="2" t="str">
        <f t="shared" si="43"/>
        <v>986737</v>
      </c>
      <c r="L328" s="2" t="str">
        <f>"0,650 kg"</f>
        <v>0,650 kg</v>
      </c>
    </row>
    <row r="329" spans="1:12" x14ac:dyDescent="0.3">
      <c r="A329" s="2" t="str">
        <f>"6A26093042574"</f>
        <v>6A26093042574</v>
      </c>
      <c r="B329" s="2" t="str">
        <f>"4,250 kg"</f>
        <v>4,250 kg</v>
      </c>
      <c r="C329" s="2" t="str">
        <f>"4,250 kg"</f>
        <v>4,250 kg</v>
      </c>
      <c r="D329" s="2" t="str">
        <f>"4,250 kg"</f>
        <v>4,250 kg</v>
      </c>
      <c r="E329" s="2" t="str">
        <f t="shared" si="42"/>
        <v>Domicile</v>
      </c>
      <c r="F329" s="2" t="str">
        <f>"6A"</f>
        <v>6A</v>
      </c>
      <c r="G329" s="2" t="str">
        <f>"Colissimo  Domicile - sans signature -- FR (6A)"</f>
        <v>Colissimo  Domicile - sans signature -- FR (6A)</v>
      </c>
      <c r="H329" s="2"/>
      <c r="I329" s="2"/>
      <c r="J329" s="2"/>
      <c r="K329" s="2" t="str">
        <f t="shared" si="43"/>
        <v>986737</v>
      </c>
      <c r="L329" s="2" t="str">
        <f>"4,250 kg"</f>
        <v>4,250 kg</v>
      </c>
    </row>
    <row r="330" spans="1:12" x14ac:dyDescent="0.3">
      <c r="A330" s="2" t="str">
        <f>"6C15873169723"</f>
        <v>6C15873169723</v>
      </c>
      <c r="B330" s="2" t="str">
        <f>"0,900 kg"</f>
        <v>0,900 kg</v>
      </c>
      <c r="C330" s="2" t="str">
        <f>"0,900 kg"</f>
        <v>0,900 kg</v>
      </c>
      <c r="D330" s="2" t="str">
        <f>"0,900 kg"</f>
        <v>0,900 kg</v>
      </c>
      <c r="E330" s="2" t="str">
        <f t="shared" si="42"/>
        <v>Domicile</v>
      </c>
      <c r="F330" s="2" t="str">
        <f t="shared" ref="F330:F341" si="44">"6C"</f>
        <v>6C</v>
      </c>
      <c r="G330" s="2" t="str">
        <f t="shared" ref="G330:G341" si="45">"Colissimo  Domicile - avec signature -- FR (6C)"</f>
        <v>Colissimo  Domicile - avec signature -- FR (6C)</v>
      </c>
      <c r="H330" s="2"/>
      <c r="I330" s="2"/>
      <c r="J330" s="2"/>
      <c r="K330" s="2" t="str">
        <f t="shared" si="43"/>
        <v>986737</v>
      </c>
      <c r="L330" s="2" t="str">
        <f>"0,900 kg"</f>
        <v>0,900 kg</v>
      </c>
    </row>
    <row r="331" spans="1:12" x14ac:dyDescent="0.3">
      <c r="A331" s="2" t="str">
        <f>"6C15866313140"</f>
        <v>6C15866313140</v>
      </c>
      <c r="B331" s="2"/>
      <c r="C331" s="2" t="str">
        <f>"5,350 kg"</f>
        <v>5,350 kg</v>
      </c>
      <c r="D331" s="2" t="str">
        <f>"5,350 kg"</f>
        <v>5,350 kg</v>
      </c>
      <c r="E331" s="2" t="str">
        <f t="shared" si="42"/>
        <v>Domicile</v>
      </c>
      <c r="F331" s="2" t="str">
        <f t="shared" si="44"/>
        <v>6C</v>
      </c>
      <c r="G331" s="2" t="str">
        <f t="shared" si="45"/>
        <v>Colissimo  Domicile - avec signature -- FR (6C)</v>
      </c>
      <c r="H331" s="2"/>
      <c r="I331" s="2"/>
      <c r="J331" s="2"/>
      <c r="K331" s="2" t="str">
        <f t="shared" si="43"/>
        <v>986737</v>
      </c>
      <c r="L331" s="2" t="str">
        <f>"5,350 kg"</f>
        <v>5,350 kg</v>
      </c>
    </row>
    <row r="332" spans="1:12" x14ac:dyDescent="0.3">
      <c r="A332" s="2" t="str">
        <f>"6C15873479310"</f>
        <v>6C15873479310</v>
      </c>
      <c r="B332" s="2" t="str">
        <f>"2,870 kg"</f>
        <v>2,870 kg</v>
      </c>
      <c r="C332" s="2" t="str">
        <f>"2,850 kg"</f>
        <v>2,850 kg</v>
      </c>
      <c r="D332" s="2" t="str">
        <f>"2,850 kg"</f>
        <v>2,850 kg</v>
      </c>
      <c r="E332" s="2" t="str">
        <f t="shared" si="42"/>
        <v>Domicile</v>
      </c>
      <c r="F332" s="2" t="str">
        <f t="shared" si="44"/>
        <v>6C</v>
      </c>
      <c r="G332" s="2" t="str">
        <f t="shared" si="45"/>
        <v>Colissimo  Domicile - avec signature -- FR (6C)</v>
      </c>
      <c r="H332" s="2"/>
      <c r="I332" s="2"/>
      <c r="J332" s="2"/>
      <c r="K332" s="2" t="str">
        <f t="shared" si="43"/>
        <v>986737</v>
      </c>
      <c r="L332" s="2" t="str">
        <f>"2,850 kg"</f>
        <v>2,850 kg</v>
      </c>
    </row>
    <row r="333" spans="1:12" x14ac:dyDescent="0.3">
      <c r="A333" s="2" t="str">
        <f>"6C15865713583"</f>
        <v>6C15865713583</v>
      </c>
      <c r="B333" s="2" t="str">
        <f>"0,620 kg"</f>
        <v>0,620 kg</v>
      </c>
      <c r="C333" s="2" t="str">
        <f>"0,600 kg"</f>
        <v>0,600 kg</v>
      </c>
      <c r="D333" s="2" t="str">
        <f>"0,600 kg"</f>
        <v>0,600 kg</v>
      </c>
      <c r="E333" s="2" t="str">
        <f t="shared" si="42"/>
        <v>Domicile</v>
      </c>
      <c r="F333" s="2" t="str">
        <f t="shared" si="44"/>
        <v>6C</v>
      </c>
      <c r="G333" s="2" t="str">
        <f t="shared" si="45"/>
        <v>Colissimo  Domicile - avec signature -- FR (6C)</v>
      </c>
      <c r="H333" s="2"/>
      <c r="I333" s="2"/>
      <c r="J333" s="2"/>
      <c r="K333" s="2" t="str">
        <f t="shared" si="43"/>
        <v>986737</v>
      </c>
      <c r="L333" s="2" t="str">
        <f>"0,600 kg"</f>
        <v>0,600 kg</v>
      </c>
    </row>
    <row r="334" spans="1:12" x14ac:dyDescent="0.3">
      <c r="A334" s="2" t="str">
        <f>"6C15875040211"</f>
        <v>6C15875040211</v>
      </c>
      <c r="B334" s="2" t="str">
        <f>"1,870 kg"</f>
        <v>1,870 kg</v>
      </c>
      <c r="C334" s="2" t="str">
        <f>"1,850 kg"</f>
        <v>1,850 kg</v>
      </c>
      <c r="D334" s="2" t="str">
        <f>"1,850 kg"</f>
        <v>1,850 kg</v>
      </c>
      <c r="E334" s="2" t="str">
        <f t="shared" si="42"/>
        <v>Domicile</v>
      </c>
      <c r="F334" s="2" t="str">
        <f t="shared" si="44"/>
        <v>6C</v>
      </c>
      <c r="G334" s="2" t="str">
        <f t="shared" si="45"/>
        <v>Colissimo  Domicile - avec signature -- FR (6C)</v>
      </c>
      <c r="H334" s="2"/>
      <c r="I334" s="2"/>
      <c r="J334" s="2"/>
      <c r="K334" s="2" t="str">
        <f t="shared" si="43"/>
        <v>986737</v>
      </c>
      <c r="L334" s="2" t="str">
        <f>"1,850 kg"</f>
        <v>1,850 kg</v>
      </c>
    </row>
    <row r="335" spans="1:12" x14ac:dyDescent="0.3">
      <c r="A335" s="2" t="str">
        <f>"6C15866283405"</f>
        <v>6C15866283405</v>
      </c>
      <c r="B335" s="2"/>
      <c r="C335" s="2"/>
      <c r="D335" s="2" t="str">
        <f>"1,120 kg"</f>
        <v>1,120 kg</v>
      </c>
      <c r="E335" s="2" t="str">
        <f t="shared" si="42"/>
        <v>Domicile</v>
      </c>
      <c r="F335" s="2" t="str">
        <f t="shared" si="44"/>
        <v>6C</v>
      </c>
      <c r="G335" s="2" t="str">
        <f t="shared" si="45"/>
        <v>Colissimo  Domicile - avec signature -- FR (6C)</v>
      </c>
      <c r="H335" s="2"/>
      <c r="I335" s="2"/>
      <c r="J335" s="2"/>
      <c r="K335" s="2" t="str">
        <f t="shared" si="43"/>
        <v>986737</v>
      </c>
      <c r="L335" s="2" t="str">
        <f>"1,120 kg"</f>
        <v>1,120 kg</v>
      </c>
    </row>
    <row r="336" spans="1:12" x14ac:dyDescent="0.3">
      <c r="A336" s="2" t="str">
        <f>"6C15874077072"</f>
        <v>6C15874077072</v>
      </c>
      <c r="B336" s="2" t="str">
        <f>"2,870 kg"</f>
        <v>2,870 kg</v>
      </c>
      <c r="C336" s="2" t="str">
        <f>"2,850 kg"</f>
        <v>2,850 kg</v>
      </c>
      <c r="D336" s="2" t="str">
        <f>"2,850 kg"</f>
        <v>2,850 kg</v>
      </c>
      <c r="E336" s="2" t="str">
        <f t="shared" si="42"/>
        <v>Domicile</v>
      </c>
      <c r="F336" s="2" t="str">
        <f t="shared" si="44"/>
        <v>6C</v>
      </c>
      <c r="G336" s="2" t="str">
        <f t="shared" si="45"/>
        <v>Colissimo  Domicile - avec signature -- FR (6C)</v>
      </c>
      <c r="H336" s="2"/>
      <c r="I336" s="2"/>
      <c r="J336" s="2"/>
      <c r="K336" s="2" t="str">
        <f t="shared" si="43"/>
        <v>986737</v>
      </c>
      <c r="L336" s="2" t="str">
        <f>"2,850 kg"</f>
        <v>2,850 kg</v>
      </c>
    </row>
    <row r="337" spans="1:12" x14ac:dyDescent="0.3">
      <c r="A337" s="2" t="str">
        <f>"6C15865547621"</f>
        <v>6C15865547621</v>
      </c>
      <c r="B337" s="2"/>
      <c r="C337" s="2" t="str">
        <f>"4,100 kg"</f>
        <v>4,100 kg</v>
      </c>
      <c r="D337" s="2" t="str">
        <f>"4,100 kg"</f>
        <v>4,100 kg</v>
      </c>
      <c r="E337" s="2" t="str">
        <f t="shared" si="42"/>
        <v>Domicile</v>
      </c>
      <c r="F337" s="2" t="str">
        <f t="shared" si="44"/>
        <v>6C</v>
      </c>
      <c r="G337" s="2" t="str">
        <f t="shared" si="45"/>
        <v>Colissimo  Domicile - avec signature -- FR (6C)</v>
      </c>
      <c r="H337" s="2"/>
      <c r="I337" s="2"/>
      <c r="J337" s="2"/>
      <c r="K337" s="2" t="str">
        <f t="shared" si="43"/>
        <v>986737</v>
      </c>
      <c r="L337" s="2" t="str">
        <f>"4,100 kg"</f>
        <v>4,100 kg</v>
      </c>
    </row>
    <row r="338" spans="1:12" x14ac:dyDescent="0.3">
      <c r="A338" s="2" t="str">
        <f>"6C15866509444"</f>
        <v>6C15866509444</v>
      </c>
      <c r="B338" s="2"/>
      <c r="C338" s="2" t="str">
        <f>"2,500 kg"</f>
        <v>2,500 kg</v>
      </c>
      <c r="D338" s="2" t="str">
        <f>"2,500 kg"</f>
        <v>2,500 kg</v>
      </c>
      <c r="E338" s="2" t="str">
        <f t="shared" si="42"/>
        <v>Domicile</v>
      </c>
      <c r="F338" s="2" t="str">
        <f t="shared" si="44"/>
        <v>6C</v>
      </c>
      <c r="G338" s="2" t="str">
        <f t="shared" si="45"/>
        <v>Colissimo  Domicile - avec signature -- FR (6C)</v>
      </c>
      <c r="H338" s="2"/>
      <c r="I338" s="2"/>
      <c r="J338" s="2"/>
      <c r="K338" s="2" t="str">
        <f t="shared" si="43"/>
        <v>986737</v>
      </c>
      <c r="L338" s="2" t="str">
        <f>"2,500 kg"</f>
        <v>2,500 kg</v>
      </c>
    </row>
    <row r="339" spans="1:12" x14ac:dyDescent="0.3">
      <c r="A339" s="2" t="str">
        <f>"6C15874770430"</f>
        <v>6C15874770430</v>
      </c>
      <c r="B339" s="2"/>
      <c r="C339" s="2" t="str">
        <f>"1,900 kg"</f>
        <v>1,900 kg</v>
      </c>
      <c r="D339" s="2" t="str">
        <f>"1,900 kg"</f>
        <v>1,900 kg</v>
      </c>
      <c r="E339" s="2" t="str">
        <f t="shared" si="42"/>
        <v>Domicile</v>
      </c>
      <c r="F339" s="2" t="str">
        <f t="shared" si="44"/>
        <v>6C</v>
      </c>
      <c r="G339" s="2" t="str">
        <f t="shared" si="45"/>
        <v>Colissimo  Domicile - avec signature -- FR (6C)</v>
      </c>
      <c r="H339" s="2"/>
      <c r="I339" s="2"/>
      <c r="J339" s="2"/>
      <c r="K339" s="2" t="str">
        <f t="shared" si="43"/>
        <v>986737</v>
      </c>
      <c r="L339" s="2" t="str">
        <f>"1,900 kg"</f>
        <v>1,900 kg</v>
      </c>
    </row>
    <row r="340" spans="1:12" x14ac:dyDescent="0.3">
      <c r="A340" s="2" t="str">
        <f>"6C15903165435"</f>
        <v>6C15903165435</v>
      </c>
      <c r="B340" s="2" t="str">
        <f>"1,880 kg"</f>
        <v>1,880 kg</v>
      </c>
      <c r="C340" s="2" t="str">
        <f>"1,900 kg"</f>
        <v>1,900 kg</v>
      </c>
      <c r="D340" s="2" t="str">
        <f>"1,900 kg"</f>
        <v>1,900 kg</v>
      </c>
      <c r="E340" s="2" t="str">
        <f t="shared" si="42"/>
        <v>Domicile</v>
      </c>
      <c r="F340" s="2" t="str">
        <f t="shared" si="44"/>
        <v>6C</v>
      </c>
      <c r="G340" s="2" t="str">
        <f t="shared" si="45"/>
        <v>Colissimo  Domicile - avec signature -- FR (6C)</v>
      </c>
      <c r="H340" s="2"/>
      <c r="I340" s="2"/>
      <c r="J340" s="2"/>
      <c r="K340" s="2" t="str">
        <f t="shared" si="43"/>
        <v>986737</v>
      </c>
      <c r="L340" s="2" t="str">
        <f>"1,900 kg"</f>
        <v>1,900 kg</v>
      </c>
    </row>
    <row r="341" spans="1:12" x14ac:dyDescent="0.3">
      <c r="A341" s="2" t="str">
        <f>"6C15901761233"</f>
        <v>6C15901761233</v>
      </c>
      <c r="B341" s="2" t="str">
        <f>"5,460 kg"</f>
        <v>5,460 kg</v>
      </c>
      <c r="C341" s="2" t="str">
        <f>"5,420 kg"</f>
        <v>5,420 kg</v>
      </c>
      <c r="D341" s="2" t="str">
        <f>"5,450 kg"</f>
        <v>5,450 kg</v>
      </c>
      <c r="E341" s="2" t="str">
        <f t="shared" si="42"/>
        <v>Domicile</v>
      </c>
      <c r="F341" s="2" t="str">
        <f t="shared" si="44"/>
        <v>6C</v>
      </c>
      <c r="G341" s="2" t="str">
        <f t="shared" si="45"/>
        <v>Colissimo  Domicile - avec signature -- FR (6C)</v>
      </c>
      <c r="H341" s="2"/>
      <c r="I341" s="2"/>
      <c r="J341" s="2"/>
      <c r="K341" s="2" t="str">
        <f t="shared" si="43"/>
        <v>986737</v>
      </c>
      <c r="L341" s="2" t="str">
        <f>"5,450 kg"</f>
        <v>5,450 kg</v>
      </c>
    </row>
    <row r="342" spans="1:12" x14ac:dyDescent="0.3">
      <c r="A342" s="2" t="str">
        <f>"6A26489977329"</f>
        <v>6A26489977329</v>
      </c>
      <c r="B342" s="2" t="str">
        <f>"5,000 kg"</f>
        <v>5,000 kg</v>
      </c>
      <c r="C342" s="2" t="str">
        <f>"5,820 kg"</f>
        <v>5,820 kg</v>
      </c>
      <c r="D342" s="2" t="str">
        <f>"5,850 kg"</f>
        <v>5,850 kg</v>
      </c>
      <c r="E342" s="2" t="str">
        <f t="shared" si="42"/>
        <v>Domicile</v>
      </c>
      <c r="F342" s="2" t="str">
        <f>"6A"</f>
        <v>6A</v>
      </c>
      <c r="G342" s="2" t="str">
        <f>"Colissimo  Domicile - sans signature -- FR (6A)"</f>
        <v>Colissimo  Domicile - sans signature -- FR (6A)</v>
      </c>
      <c r="H342" s="2"/>
      <c r="I342" s="2"/>
      <c r="J342" s="2"/>
      <c r="K342" s="2" t="str">
        <f t="shared" si="43"/>
        <v>986737</v>
      </c>
      <c r="L342" s="2" t="str">
        <f>"5,850 kg"</f>
        <v>5,850 kg</v>
      </c>
    </row>
    <row r="343" spans="1:12" x14ac:dyDescent="0.3">
      <c r="A343" s="2" t="str">
        <f>"6C15903287182"</f>
        <v>6C15903287182</v>
      </c>
      <c r="B343" s="2"/>
      <c r="C343" s="2" t="str">
        <f>"1,850 kg"</f>
        <v>1,850 kg</v>
      </c>
      <c r="D343" s="2" t="str">
        <f>"1,850 kg"</f>
        <v>1,850 kg</v>
      </c>
      <c r="E343" s="2" t="str">
        <f t="shared" si="42"/>
        <v>Domicile</v>
      </c>
      <c r="F343" s="2" t="str">
        <f t="shared" ref="F343:F379" si="46">"6C"</f>
        <v>6C</v>
      </c>
      <c r="G343" s="2" t="str">
        <f t="shared" ref="G343:G379" si="47">"Colissimo  Domicile - avec signature -- FR (6C)"</f>
        <v>Colissimo  Domicile - avec signature -- FR (6C)</v>
      </c>
      <c r="H343" s="2"/>
      <c r="I343" s="2"/>
      <c r="J343" s="2"/>
      <c r="K343" s="2" t="str">
        <f t="shared" si="43"/>
        <v>986737</v>
      </c>
      <c r="L343" s="2" t="str">
        <f>"1,850 kg"</f>
        <v>1,850 kg</v>
      </c>
    </row>
    <row r="344" spans="1:12" x14ac:dyDescent="0.3">
      <c r="A344" s="2" t="str">
        <f>"6C15888489069"</f>
        <v>6C15888489069</v>
      </c>
      <c r="B344" s="2" t="str">
        <f>"0,230 kg"</f>
        <v>0,230 kg</v>
      </c>
      <c r="C344" s="2" t="str">
        <f>"0,230 kg"</f>
        <v>0,230 kg</v>
      </c>
      <c r="D344" s="2" t="str">
        <f>"0,230 kg"</f>
        <v>0,230 kg</v>
      </c>
      <c r="E344" s="2" t="str">
        <f t="shared" si="42"/>
        <v>Domicile</v>
      </c>
      <c r="F344" s="2" t="str">
        <f t="shared" si="46"/>
        <v>6C</v>
      </c>
      <c r="G344" s="2" t="str">
        <f t="shared" si="47"/>
        <v>Colissimo  Domicile - avec signature -- FR (6C)</v>
      </c>
      <c r="H344" s="2"/>
      <c r="I344" s="2"/>
      <c r="J344" s="2"/>
      <c r="K344" s="2" t="str">
        <f t="shared" si="43"/>
        <v>986737</v>
      </c>
      <c r="L344" s="2" t="str">
        <f>"0,230 kg"</f>
        <v>0,230 kg</v>
      </c>
    </row>
    <row r="345" spans="1:12" x14ac:dyDescent="0.3">
      <c r="A345" s="2" t="str">
        <f>"6C15891664187"</f>
        <v>6C15891664187</v>
      </c>
      <c r="B345" s="2" t="str">
        <f>"10,090 kg"</f>
        <v>10,090 kg</v>
      </c>
      <c r="C345" s="2" t="str">
        <f>"10,100 kg"</f>
        <v>10,100 kg</v>
      </c>
      <c r="D345" s="2" t="str">
        <f>"10,100 kg"</f>
        <v>10,100 kg</v>
      </c>
      <c r="E345" s="2" t="str">
        <f t="shared" si="42"/>
        <v>Domicile</v>
      </c>
      <c r="F345" s="2" t="str">
        <f t="shared" si="46"/>
        <v>6C</v>
      </c>
      <c r="G345" s="2" t="str">
        <f t="shared" si="47"/>
        <v>Colissimo  Domicile - avec signature -- FR (6C)</v>
      </c>
      <c r="H345" s="2"/>
      <c r="I345" s="2"/>
      <c r="J345" s="2"/>
      <c r="K345" s="2" t="str">
        <f t="shared" si="43"/>
        <v>986737</v>
      </c>
      <c r="L345" s="2" t="str">
        <f>"10,100 kg"</f>
        <v>10,100 kg</v>
      </c>
    </row>
    <row r="346" spans="1:12" x14ac:dyDescent="0.3">
      <c r="A346" s="2" t="str">
        <f>"6C15904360792"</f>
        <v>6C15904360792</v>
      </c>
      <c r="B346" s="2"/>
      <c r="C346" s="2" t="str">
        <f>"1,500 kg"</f>
        <v>1,500 kg</v>
      </c>
      <c r="D346" s="2" t="str">
        <f>"1,500 kg"</f>
        <v>1,500 kg</v>
      </c>
      <c r="E346" s="2" t="str">
        <f t="shared" si="42"/>
        <v>Domicile</v>
      </c>
      <c r="F346" s="2" t="str">
        <f t="shared" si="46"/>
        <v>6C</v>
      </c>
      <c r="G346" s="2" t="str">
        <f t="shared" si="47"/>
        <v>Colissimo  Domicile - avec signature -- FR (6C)</v>
      </c>
      <c r="H346" s="2"/>
      <c r="I346" s="2"/>
      <c r="J346" s="2"/>
      <c r="K346" s="2" t="str">
        <f t="shared" si="43"/>
        <v>986737</v>
      </c>
      <c r="L346" s="2" t="str">
        <f>"1,500 kg"</f>
        <v>1,500 kg</v>
      </c>
    </row>
    <row r="347" spans="1:12" x14ac:dyDescent="0.3">
      <c r="A347" s="2" t="str">
        <f>"6C15910428103"</f>
        <v>6C15910428103</v>
      </c>
      <c r="B347" s="2" t="str">
        <f>"6,890 kg"</f>
        <v>6,890 kg</v>
      </c>
      <c r="C347" s="2" t="str">
        <f>"6,850 kg"</f>
        <v>6,850 kg</v>
      </c>
      <c r="D347" s="2" t="str">
        <f>"6,850 kg"</f>
        <v>6,850 kg</v>
      </c>
      <c r="E347" s="2" t="str">
        <f t="shared" si="42"/>
        <v>Domicile</v>
      </c>
      <c r="F347" s="2" t="str">
        <f t="shared" si="46"/>
        <v>6C</v>
      </c>
      <c r="G347" s="2" t="str">
        <f t="shared" si="47"/>
        <v>Colissimo  Domicile - avec signature -- FR (6C)</v>
      </c>
      <c r="H347" s="2"/>
      <c r="I347" s="2"/>
      <c r="J347" s="2"/>
      <c r="K347" s="2" t="str">
        <f t="shared" si="43"/>
        <v>986737</v>
      </c>
      <c r="L347" s="2" t="str">
        <f>"6,850 kg"</f>
        <v>6,850 kg</v>
      </c>
    </row>
    <row r="348" spans="1:12" x14ac:dyDescent="0.3">
      <c r="A348" s="2" t="str">
        <f>"6C15909533023"</f>
        <v>6C15909533023</v>
      </c>
      <c r="B348" s="2" t="str">
        <f>"5,470 kg"</f>
        <v>5,470 kg</v>
      </c>
      <c r="C348" s="2" t="str">
        <f>"5,450 kg"</f>
        <v>5,450 kg</v>
      </c>
      <c r="D348" s="2" t="str">
        <f>"5,450 kg"</f>
        <v>5,450 kg</v>
      </c>
      <c r="E348" s="2" t="str">
        <f t="shared" si="42"/>
        <v>Domicile</v>
      </c>
      <c r="F348" s="2" t="str">
        <f t="shared" si="46"/>
        <v>6C</v>
      </c>
      <c r="G348" s="2" t="str">
        <f t="shared" si="47"/>
        <v>Colissimo  Domicile - avec signature -- FR (6C)</v>
      </c>
      <c r="H348" s="2"/>
      <c r="I348" s="2"/>
      <c r="J348" s="2"/>
      <c r="K348" s="2" t="str">
        <f t="shared" si="43"/>
        <v>986737</v>
      </c>
      <c r="L348" s="2" t="str">
        <f>"5,450 kg"</f>
        <v>5,450 kg</v>
      </c>
    </row>
    <row r="349" spans="1:12" x14ac:dyDescent="0.3">
      <c r="A349" s="2" t="str">
        <f>"6C16347202113"</f>
        <v>6C16347202113</v>
      </c>
      <c r="B349" s="2" t="str">
        <f>"1,810 kg"</f>
        <v>1,810 kg</v>
      </c>
      <c r="C349" s="2" t="str">
        <f>"1,900 kg"</f>
        <v>1,900 kg</v>
      </c>
      <c r="D349" s="2" t="str">
        <f>"1,900 kg"</f>
        <v>1,900 kg</v>
      </c>
      <c r="E349" s="2" t="str">
        <f t="shared" si="42"/>
        <v>Domicile</v>
      </c>
      <c r="F349" s="2" t="str">
        <f t="shared" si="46"/>
        <v>6C</v>
      </c>
      <c r="G349" s="2" t="str">
        <f t="shared" si="47"/>
        <v>Colissimo  Domicile - avec signature -- FR (6C)</v>
      </c>
      <c r="H349" s="2"/>
      <c r="I349" s="2"/>
      <c r="J349" s="2"/>
      <c r="K349" s="2" t="str">
        <f t="shared" si="43"/>
        <v>986737</v>
      </c>
      <c r="L349" s="2" t="str">
        <f>"1,900 kg"</f>
        <v>1,900 kg</v>
      </c>
    </row>
    <row r="350" spans="1:12" x14ac:dyDescent="0.3">
      <c r="A350" s="2" t="str">
        <f>"6C16609288015"</f>
        <v>6C16609288015</v>
      </c>
      <c r="B350" s="2" t="str">
        <f>"1,580 kg"</f>
        <v>1,580 kg</v>
      </c>
      <c r="C350" s="2" t="str">
        <f>"1,550 kg"</f>
        <v>1,550 kg</v>
      </c>
      <c r="D350" s="2" t="str">
        <f>"1,550 kg"</f>
        <v>1,550 kg</v>
      </c>
      <c r="E350" s="2" t="str">
        <f t="shared" si="42"/>
        <v>Domicile</v>
      </c>
      <c r="F350" s="2" t="str">
        <f t="shared" si="46"/>
        <v>6C</v>
      </c>
      <c r="G350" s="2" t="str">
        <f t="shared" si="47"/>
        <v>Colissimo  Domicile - avec signature -- FR (6C)</v>
      </c>
      <c r="H350" s="2"/>
      <c r="I350" s="2"/>
      <c r="J350" s="2"/>
      <c r="K350" s="2" t="str">
        <f t="shared" si="43"/>
        <v>986737</v>
      </c>
      <c r="L350" s="2" t="str">
        <f>"1,550 kg"</f>
        <v>1,550 kg</v>
      </c>
    </row>
    <row r="351" spans="1:12" x14ac:dyDescent="0.3">
      <c r="A351" s="2" t="str">
        <f>"6C16127779149"</f>
        <v>6C16127779149</v>
      </c>
      <c r="B351" s="2" t="str">
        <f>"1,430 kg"</f>
        <v>1,430 kg</v>
      </c>
      <c r="C351" s="2" t="str">
        <f>"1,400 kg"</f>
        <v>1,400 kg</v>
      </c>
      <c r="D351" s="2" t="str">
        <f>"1,400 kg"</f>
        <v>1,400 kg</v>
      </c>
      <c r="E351" s="2" t="str">
        <f t="shared" si="42"/>
        <v>Domicile</v>
      </c>
      <c r="F351" s="2" t="str">
        <f t="shared" si="46"/>
        <v>6C</v>
      </c>
      <c r="G351" s="2" t="str">
        <f t="shared" si="47"/>
        <v>Colissimo  Domicile - avec signature -- FR (6C)</v>
      </c>
      <c r="H351" s="2"/>
      <c r="I351" s="2"/>
      <c r="J351" s="2"/>
      <c r="K351" s="2" t="str">
        <f t="shared" si="43"/>
        <v>986737</v>
      </c>
      <c r="L351" s="2" t="str">
        <f>"1,400 kg"</f>
        <v>1,400 kg</v>
      </c>
    </row>
    <row r="352" spans="1:12" x14ac:dyDescent="0.3">
      <c r="A352" s="2" t="str">
        <f>"6C16040642568"</f>
        <v>6C16040642568</v>
      </c>
      <c r="B352" s="2" t="str">
        <f>"1,050 kg"</f>
        <v>1,050 kg</v>
      </c>
      <c r="C352" s="2" t="str">
        <f>"1,050 kg"</f>
        <v>1,050 kg</v>
      </c>
      <c r="D352" s="2" t="str">
        <f>"1,050 kg"</f>
        <v>1,050 kg</v>
      </c>
      <c r="E352" s="2" t="str">
        <f t="shared" si="42"/>
        <v>Domicile</v>
      </c>
      <c r="F352" s="2" t="str">
        <f t="shared" si="46"/>
        <v>6C</v>
      </c>
      <c r="G352" s="2" t="str">
        <f t="shared" si="47"/>
        <v>Colissimo  Domicile - avec signature -- FR (6C)</v>
      </c>
      <c r="H352" s="2"/>
      <c r="I352" s="2"/>
      <c r="J352" s="2"/>
      <c r="K352" s="2" t="str">
        <f t="shared" si="43"/>
        <v>986737</v>
      </c>
      <c r="L352" s="2" t="str">
        <f>"1,050 kg"</f>
        <v>1,050 kg</v>
      </c>
    </row>
    <row r="353" spans="1:12" x14ac:dyDescent="0.3">
      <c r="A353" s="2" t="str">
        <f>"6C16325850831"</f>
        <v>6C16325850831</v>
      </c>
      <c r="B353" s="2"/>
      <c r="C353" s="2" t="str">
        <f>"1,850 kg"</f>
        <v>1,850 kg</v>
      </c>
      <c r="D353" s="2" t="str">
        <f>"1,850 kg"</f>
        <v>1,850 kg</v>
      </c>
      <c r="E353" s="2" t="str">
        <f t="shared" si="42"/>
        <v>Domicile</v>
      </c>
      <c r="F353" s="2" t="str">
        <f t="shared" si="46"/>
        <v>6C</v>
      </c>
      <c r="G353" s="2" t="str">
        <f t="shared" si="47"/>
        <v>Colissimo  Domicile - avec signature -- FR (6C)</v>
      </c>
      <c r="H353" s="2"/>
      <c r="I353" s="2"/>
      <c r="J353" s="2"/>
      <c r="K353" s="2" t="str">
        <f t="shared" si="43"/>
        <v>986737</v>
      </c>
      <c r="L353" s="2" t="str">
        <f>"1,850 kg"</f>
        <v>1,850 kg</v>
      </c>
    </row>
    <row r="354" spans="1:12" x14ac:dyDescent="0.3">
      <c r="A354" s="2" t="str">
        <f>"6C16040642131"</f>
        <v>6C16040642131</v>
      </c>
      <c r="B354" s="2"/>
      <c r="C354" s="2" t="str">
        <f>"1,050 kg"</f>
        <v>1,050 kg</v>
      </c>
      <c r="D354" s="2" t="str">
        <f>"1,050 kg"</f>
        <v>1,050 kg</v>
      </c>
      <c r="E354" s="2" t="str">
        <f t="shared" si="42"/>
        <v>Domicile</v>
      </c>
      <c r="F354" s="2" t="str">
        <f t="shared" si="46"/>
        <v>6C</v>
      </c>
      <c r="G354" s="2" t="str">
        <f t="shared" si="47"/>
        <v>Colissimo  Domicile - avec signature -- FR (6C)</v>
      </c>
      <c r="H354" s="2"/>
      <c r="I354" s="2"/>
      <c r="J354" s="2"/>
      <c r="K354" s="2" t="str">
        <f t="shared" si="43"/>
        <v>986737</v>
      </c>
      <c r="L354" s="2" t="str">
        <f>"1,050 kg"</f>
        <v>1,050 kg</v>
      </c>
    </row>
    <row r="355" spans="1:12" x14ac:dyDescent="0.3">
      <c r="A355" s="2" t="str">
        <f>"6C16085046673"</f>
        <v>6C16085046673</v>
      </c>
      <c r="B355" s="2" t="str">
        <f>"8,460 kg"</f>
        <v>8,460 kg</v>
      </c>
      <c r="C355" s="2" t="str">
        <f>"8,450 kg"</f>
        <v>8,450 kg</v>
      </c>
      <c r="D355" s="2" t="str">
        <f>"8,450 kg"</f>
        <v>8,450 kg</v>
      </c>
      <c r="E355" s="2" t="str">
        <f t="shared" si="42"/>
        <v>Domicile</v>
      </c>
      <c r="F355" s="2" t="str">
        <f t="shared" si="46"/>
        <v>6C</v>
      </c>
      <c r="G355" s="2" t="str">
        <f t="shared" si="47"/>
        <v>Colissimo  Domicile - avec signature -- FR (6C)</v>
      </c>
      <c r="H355" s="2"/>
      <c r="I355" s="2"/>
      <c r="J355" s="2"/>
      <c r="K355" s="2" t="str">
        <f t="shared" si="43"/>
        <v>986737</v>
      </c>
      <c r="L355" s="2" t="str">
        <f>"8,450 kg"</f>
        <v>8,450 kg</v>
      </c>
    </row>
    <row r="356" spans="1:12" x14ac:dyDescent="0.3">
      <c r="A356" s="2" t="str">
        <f>"6C16085074973"</f>
        <v>6C16085074973</v>
      </c>
      <c r="B356" s="2"/>
      <c r="C356" s="2" t="str">
        <f>"4,650 kg"</f>
        <v>4,650 kg</v>
      </c>
      <c r="D356" s="2" t="str">
        <f>"4,650 kg"</f>
        <v>4,650 kg</v>
      </c>
      <c r="E356" s="2" t="str">
        <f t="shared" si="42"/>
        <v>Domicile</v>
      </c>
      <c r="F356" s="2" t="str">
        <f t="shared" si="46"/>
        <v>6C</v>
      </c>
      <c r="G356" s="2" t="str">
        <f t="shared" si="47"/>
        <v>Colissimo  Domicile - avec signature -- FR (6C)</v>
      </c>
      <c r="H356" s="2"/>
      <c r="I356" s="2"/>
      <c r="J356" s="2"/>
      <c r="K356" s="2" t="str">
        <f t="shared" si="43"/>
        <v>986737</v>
      </c>
      <c r="L356" s="2" t="str">
        <f>"4,650 kg"</f>
        <v>4,650 kg</v>
      </c>
    </row>
    <row r="357" spans="1:12" x14ac:dyDescent="0.3">
      <c r="A357" s="2" t="str">
        <f>"6C16040485479"</f>
        <v>6C16040485479</v>
      </c>
      <c r="B357" s="2" t="str">
        <f>"1,880 kg"</f>
        <v>1,880 kg</v>
      </c>
      <c r="C357" s="2" t="str">
        <f>"1,900 kg"</f>
        <v>1,900 kg</v>
      </c>
      <c r="D357" s="2" t="str">
        <f>"1,900 kg"</f>
        <v>1,900 kg</v>
      </c>
      <c r="E357" s="2" t="str">
        <f t="shared" si="42"/>
        <v>Domicile</v>
      </c>
      <c r="F357" s="2" t="str">
        <f t="shared" si="46"/>
        <v>6C</v>
      </c>
      <c r="G357" s="2" t="str">
        <f t="shared" si="47"/>
        <v>Colissimo  Domicile - avec signature -- FR (6C)</v>
      </c>
      <c r="H357" s="2"/>
      <c r="I357" s="2"/>
      <c r="J357" s="2"/>
      <c r="K357" s="2" t="str">
        <f t="shared" si="43"/>
        <v>986737</v>
      </c>
      <c r="L357" s="2" t="str">
        <f>"1,900 kg"</f>
        <v>1,900 kg</v>
      </c>
    </row>
    <row r="358" spans="1:12" x14ac:dyDescent="0.3">
      <c r="A358" s="2" t="str">
        <f>"6C16609293743"</f>
        <v>6C16609293743</v>
      </c>
      <c r="B358" s="2"/>
      <c r="C358" s="2" t="str">
        <f>"1,050 kg"</f>
        <v>1,050 kg</v>
      </c>
      <c r="D358" s="2" t="str">
        <f>"1,050 kg"</f>
        <v>1,050 kg</v>
      </c>
      <c r="E358" s="2" t="str">
        <f t="shared" si="42"/>
        <v>Domicile</v>
      </c>
      <c r="F358" s="2" t="str">
        <f t="shared" si="46"/>
        <v>6C</v>
      </c>
      <c r="G358" s="2" t="str">
        <f t="shared" si="47"/>
        <v>Colissimo  Domicile - avec signature -- FR (6C)</v>
      </c>
      <c r="H358" s="2"/>
      <c r="I358" s="2"/>
      <c r="J358" s="2"/>
      <c r="K358" s="2" t="str">
        <f t="shared" si="43"/>
        <v>986737</v>
      </c>
      <c r="L358" s="2" t="str">
        <f>"1,050 kg"</f>
        <v>1,050 kg</v>
      </c>
    </row>
    <row r="359" spans="1:12" x14ac:dyDescent="0.3">
      <c r="A359" s="2" t="str">
        <f>"6C17245016505"</f>
        <v>6C17245016505</v>
      </c>
      <c r="B359" s="2" t="str">
        <f>"2,880 kg"</f>
        <v>2,880 kg</v>
      </c>
      <c r="C359" s="2" t="str">
        <f>"1,850 kg"</f>
        <v>1,850 kg</v>
      </c>
      <c r="D359" s="2" t="str">
        <f>"1,900 kg"</f>
        <v>1,900 kg</v>
      </c>
      <c r="E359" s="2" t="str">
        <f t="shared" si="42"/>
        <v>Domicile</v>
      </c>
      <c r="F359" s="2" t="str">
        <f t="shared" si="46"/>
        <v>6C</v>
      </c>
      <c r="G359" s="2" t="str">
        <f t="shared" si="47"/>
        <v>Colissimo  Domicile - avec signature -- FR (6C)</v>
      </c>
      <c r="H359" s="2"/>
      <c r="I359" s="2"/>
      <c r="J359" s="2"/>
      <c r="K359" s="2" t="str">
        <f t="shared" si="43"/>
        <v>986737</v>
      </c>
      <c r="L359" s="2" t="str">
        <f>"1,900 kg"</f>
        <v>1,900 kg</v>
      </c>
    </row>
    <row r="360" spans="1:12" x14ac:dyDescent="0.3">
      <c r="A360" s="2" t="str">
        <f>"6C17245156089"</f>
        <v>6C17245156089</v>
      </c>
      <c r="B360" s="2"/>
      <c r="C360" s="2" t="str">
        <f>"0,750 kg"</f>
        <v>0,750 kg</v>
      </c>
      <c r="D360" s="2" t="str">
        <f>"0,750 kg"</f>
        <v>0,750 kg</v>
      </c>
      <c r="E360" s="2" t="str">
        <f t="shared" si="42"/>
        <v>Domicile</v>
      </c>
      <c r="F360" s="2" t="str">
        <f t="shared" si="46"/>
        <v>6C</v>
      </c>
      <c r="G360" s="2" t="str">
        <f t="shared" si="47"/>
        <v>Colissimo  Domicile - avec signature -- FR (6C)</v>
      </c>
      <c r="H360" s="2"/>
      <c r="I360" s="2"/>
      <c r="J360" s="2"/>
      <c r="K360" s="2" t="str">
        <f t="shared" si="43"/>
        <v>986737</v>
      </c>
      <c r="L360" s="2" t="str">
        <f>"0,750 kg"</f>
        <v>0,750 kg</v>
      </c>
    </row>
    <row r="361" spans="1:12" x14ac:dyDescent="0.3">
      <c r="A361" s="2" t="str">
        <f>"6C17268991551"</f>
        <v>6C17268991551</v>
      </c>
      <c r="B361" s="2"/>
      <c r="C361" s="2" t="str">
        <f>"11,550 kg"</f>
        <v>11,550 kg</v>
      </c>
      <c r="D361" s="2" t="str">
        <f>"11,550 kg"</f>
        <v>11,550 kg</v>
      </c>
      <c r="E361" s="2" t="str">
        <f t="shared" si="42"/>
        <v>Domicile</v>
      </c>
      <c r="F361" s="2" t="str">
        <f t="shared" si="46"/>
        <v>6C</v>
      </c>
      <c r="G361" s="2" t="str">
        <f t="shared" si="47"/>
        <v>Colissimo  Domicile - avec signature -- FR (6C)</v>
      </c>
      <c r="H361" s="2"/>
      <c r="I361" s="2"/>
      <c r="J361" s="2"/>
      <c r="K361" s="2" t="str">
        <f t="shared" si="43"/>
        <v>986737</v>
      </c>
      <c r="L361" s="2" t="str">
        <f>"11,550 kg"</f>
        <v>11,550 kg</v>
      </c>
    </row>
    <row r="362" spans="1:12" x14ac:dyDescent="0.3">
      <c r="A362" s="2" t="str">
        <f>"6C17215181783"</f>
        <v>6C17215181783</v>
      </c>
      <c r="B362" s="2" t="str">
        <f>"1,840 kg"</f>
        <v>1,840 kg</v>
      </c>
      <c r="C362" s="2" t="str">
        <f>"1,850 kg"</f>
        <v>1,850 kg</v>
      </c>
      <c r="D362" s="2" t="str">
        <f>"1,850 kg"</f>
        <v>1,850 kg</v>
      </c>
      <c r="E362" s="2" t="str">
        <f t="shared" si="42"/>
        <v>Domicile</v>
      </c>
      <c r="F362" s="2" t="str">
        <f t="shared" si="46"/>
        <v>6C</v>
      </c>
      <c r="G362" s="2" t="str">
        <f t="shared" si="47"/>
        <v>Colissimo  Domicile - avec signature -- FR (6C)</v>
      </c>
      <c r="H362" s="2"/>
      <c r="I362" s="2"/>
      <c r="J362" s="2"/>
      <c r="K362" s="2" t="str">
        <f t="shared" si="43"/>
        <v>986737</v>
      </c>
      <c r="L362" s="2" t="str">
        <f>"1,850 kg"</f>
        <v>1,850 kg</v>
      </c>
    </row>
    <row r="363" spans="1:12" x14ac:dyDescent="0.3">
      <c r="A363" s="2" t="str">
        <f>"6C17245062847"</f>
        <v>6C17245062847</v>
      </c>
      <c r="B363" s="2"/>
      <c r="C363" s="2" t="str">
        <f>"11,550 kg"</f>
        <v>11,550 kg</v>
      </c>
      <c r="D363" s="2" t="str">
        <f>"11,550 kg"</f>
        <v>11,550 kg</v>
      </c>
      <c r="E363" s="2" t="str">
        <f t="shared" si="42"/>
        <v>Domicile</v>
      </c>
      <c r="F363" s="2" t="str">
        <f t="shared" si="46"/>
        <v>6C</v>
      </c>
      <c r="G363" s="2" t="str">
        <f t="shared" si="47"/>
        <v>Colissimo  Domicile - avec signature -- FR (6C)</v>
      </c>
      <c r="H363" s="2"/>
      <c r="I363" s="2"/>
      <c r="J363" s="2"/>
      <c r="K363" s="2" t="str">
        <f t="shared" si="43"/>
        <v>986737</v>
      </c>
      <c r="L363" s="2" t="str">
        <f>"11,550 kg"</f>
        <v>11,550 kg</v>
      </c>
    </row>
    <row r="364" spans="1:12" x14ac:dyDescent="0.3">
      <c r="A364" s="2" t="str">
        <f>"6C17245617184"</f>
        <v>6C17245617184</v>
      </c>
      <c r="B364" s="2" t="str">
        <f>"11,530 kg"</f>
        <v>11,530 kg</v>
      </c>
      <c r="C364" s="2" t="str">
        <f>"11,550 kg"</f>
        <v>11,550 kg</v>
      </c>
      <c r="D364" s="2" t="str">
        <f>"11,550 kg"</f>
        <v>11,550 kg</v>
      </c>
      <c r="E364" s="2" t="str">
        <f t="shared" si="42"/>
        <v>Domicile</v>
      </c>
      <c r="F364" s="2" t="str">
        <f t="shared" si="46"/>
        <v>6C</v>
      </c>
      <c r="G364" s="2" t="str">
        <f t="shared" si="47"/>
        <v>Colissimo  Domicile - avec signature -- FR (6C)</v>
      </c>
      <c r="H364" s="2"/>
      <c r="I364" s="2"/>
      <c r="J364" s="2"/>
      <c r="K364" s="2" t="str">
        <f t="shared" si="43"/>
        <v>986737</v>
      </c>
      <c r="L364" s="2" t="str">
        <f>"11,550 kg"</f>
        <v>11,550 kg</v>
      </c>
    </row>
    <row r="365" spans="1:12" x14ac:dyDescent="0.3">
      <c r="A365" s="2" t="str">
        <f>"6C17161049717"</f>
        <v>6C17161049717</v>
      </c>
      <c r="B365" s="2"/>
      <c r="C365" s="2" t="str">
        <f>"1,850 kg"</f>
        <v>1,850 kg</v>
      </c>
      <c r="D365" s="2" t="str">
        <f>"1,850 kg"</f>
        <v>1,850 kg</v>
      </c>
      <c r="E365" s="2" t="str">
        <f t="shared" si="42"/>
        <v>Domicile</v>
      </c>
      <c r="F365" s="2" t="str">
        <f t="shared" si="46"/>
        <v>6C</v>
      </c>
      <c r="G365" s="2" t="str">
        <f t="shared" si="47"/>
        <v>Colissimo  Domicile - avec signature -- FR (6C)</v>
      </c>
      <c r="H365" s="2"/>
      <c r="I365" s="2"/>
      <c r="J365" s="2"/>
      <c r="K365" s="2" t="str">
        <f t="shared" si="43"/>
        <v>986737</v>
      </c>
      <c r="L365" s="2" t="str">
        <f>"1,850 kg"</f>
        <v>1,850 kg</v>
      </c>
    </row>
    <row r="366" spans="1:12" x14ac:dyDescent="0.3">
      <c r="A366" s="2" t="str">
        <f>"6C17245661644"</f>
        <v>6C17245661644</v>
      </c>
      <c r="B366" s="2" t="str">
        <f>"2,880 kg"</f>
        <v>2,880 kg</v>
      </c>
      <c r="C366" s="2" t="str">
        <f>"1,850 kg"</f>
        <v>1,850 kg</v>
      </c>
      <c r="D366" s="2" t="str">
        <f>"1,850 kg"</f>
        <v>1,850 kg</v>
      </c>
      <c r="E366" s="2" t="str">
        <f t="shared" si="42"/>
        <v>Domicile</v>
      </c>
      <c r="F366" s="2" t="str">
        <f t="shared" si="46"/>
        <v>6C</v>
      </c>
      <c r="G366" s="2" t="str">
        <f t="shared" si="47"/>
        <v>Colissimo  Domicile - avec signature -- FR (6C)</v>
      </c>
      <c r="H366" s="2"/>
      <c r="I366" s="2"/>
      <c r="J366" s="2"/>
      <c r="K366" s="2" t="str">
        <f t="shared" si="43"/>
        <v>986737</v>
      </c>
      <c r="L366" s="2" t="str">
        <f>"1,850 kg"</f>
        <v>1,850 kg</v>
      </c>
    </row>
    <row r="367" spans="1:12" x14ac:dyDescent="0.3">
      <c r="A367" s="2" t="str">
        <f>"6C17215776583"</f>
        <v>6C17215776583</v>
      </c>
      <c r="B367" s="2" t="str">
        <f>"1,840 kg"</f>
        <v>1,840 kg</v>
      </c>
      <c r="C367" s="2" t="str">
        <f>"1,900 kg"</f>
        <v>1,900 kg</v>
      </c>
      <c r="D367" s="2" t="str">
        <f>"1,900 kg"</f>
        <v>1,900 kg</v>
      </c>
      <c r="E367" s="2" t="str">
        <f t="shared" si="42"/>
        <v>Domicile</v>
      </c>
      <c r="F367" s="2" t="str">
        <f t="shared" si="46"/>
        <v>6C</v>
      </c>
      <c r="G367" s="2" t="str">
        <f t="shared" si="47"/>
        <v>Colissimo  Domicile - avec signature -- FR (6C)</v>
      </c>
      <c r="H367" s="2"/>
      <c r="I367" s="2"/>
      <c r="J367" s="2"/>
      <c r="K367" s="2" t="str">
        <f t="shared" si="43"/>
        <v>986737</v>
      </c>
      <c r="L367" s="2" t="str">
        <f>"1,900 kg"</f>
        <v>1,900 kg</v>
      </c>
    </row>
    <row r="368" spans="1:12" x14ac:dyDescent="0.3">
      <c r="A368" s="2" t="str">
        <f>"6C16984515386"</f>
        <v>6C16984515386</v>
      </c>
      <c r="B368" s="2" t="str">
        <f>"4,520 kg"</f>
        <v>4,520 kg</v>
      </c>
      <c r="C368" s="2" t="str">
        <f>"4,500 kg"</f>
        <v>4,500 kg</v>
      </c>
      <c r="D368" s="2" t="str">
        <f>"4,500 kg"</f>
        <v>4,500 kg</v>
      </c>
      <c r="E368" s="2" t="str">
        <f t="shared" si="42"/>
        <v>Domicile</v>
      </c>
      <c r="F368" s="2" t="str">
        <f t="shared" si="46"/>
        <v>6C</v>
      </c>
      <c r="G368" s="2" t="str">
        <f t="shared" si="47"/>
        <v>Colissimo  Domicile - avec signature -- FR (6C)</v>
      </c>
      <c r="H368" s="2"/>
      <c r="I368" s="2"/>
      <c r="J368" s="2"/>
      <c r="K368" s="2" t="str">
        <f t="shared" si="43"/>
        <v>986737</v>
      </c>
      <c r="L368" s="2" t="str">
        <f>"4,500 kg"</f>
        <v>4,500 kg</v>
      </c>
    </row>
    <row r="369" spans="1:12" x14ac:dyDescent="0.3">
      <c r="A369" s="2" t="str">
        <f>"6C17245057553"</f>
        <v>6C17245057553</v>
      </c>
      <c r="B369" s="2" t="str">
        <f>"11,530 kg"</f>
        <v>11,530 kg</v>
      </c>
      <c r="C369" s="2" t="str">
        <f>"11,650 kg"</f>
        <v>11,650 kg</v>
      </c>
      <c r="D369" s="2" t="str">
        <f>"11,650 kg"</f>
        <v>11,650 kg</v>
      </c>
      <c r="E369" s="2" t="str">
        <f t="shared" si="42"/>
        <v>Domicile</v>
      </c>
      <c r="F369" s="2" t="str">
        <f t="shared" si="46"/>
        <v>6C</v>
      </c>
      <c r="G369" s="2" t="str">
        <f t="shared" si="47"/>
        <v>Colissimo  Domicile - avec signature -- FR (6C)</v>
      </c>
      <c r="H369" s="2"/>
      <c r="I369" s="2"/>
      <c r="J369" s="2"/>
      <c r="K369" s="2" t="str">
        <f t="shared" si="43"/>
        <v>986737</v>
      </c>
      <c r="L369" s="2" t="str">
        <f>"11,650 kg"</f>
        <v>11,650 kg</v>
      </c>
    </row>
    <row r="370" spans="1:12" x14ac:dyDescent="0.3">
      <c r="A370" s="2" t="str">
        <f>"6C16829205281"</f>
        <v>6C16829205281</v>
      </c>
      <c r="B370" s="2"/>
      <c r="C370" s="2" t="str">
        <f>"7,500 kg"</f>
        <v>7,500 kg</v>
      </c>
      <c r="D370" s="2" t="str">
        <f>"7,500 kg"</f>
        <v>7,500 kg</v>
      </c>
      <c r="E370" s="2" t="str">
        <f t="shared" si="42"/>
        <v>Domicile</v>
      </c>
      <c r="F370" s="2" t="str">
        <f t="shared" si="46"/>
        <v>6C</v>
      </c>
      <c r="G370" s="2" t="str">
        <f t="shared" si="47"/>
        <v>Colissimo  Domicile - avec signature -- FR (6C)</v>
      </c>
      <c r="H370" s="2"/>
      <c r="I370" s="2"/>
      <c r="J370" s="2"/>
      <c r="K370" s="2" t="str">
        <f t="shared" si="43"/>
        <v>986737</v>
      </c>
      <c r="L370" s="2" t="str">
        <f>"7,500 kg"</f>
        <v>7,500 kg</v>
      </c>
    </row>
    <row r="371" spans="1:12" x14ac:dyDescent="0.3">
      <c r="A371" s="2" t="str">
        <f>"6C17215181103"</f>
        <v>6C17215181103</v>
      </c>
      <c r="B371" s="2" t="str">
        <f>"1,840 kg"</f>
        <v>1,840 kg</v>
      </c>
      <c r="C371" s="2" t="str">
        <f t="shared" ref="C371:D373" si="48">"1,850 kg"</f>
        <v>1,850 kg</v>
      </c>
      <c r="D371" s="2" t="str">
        <f t="shared" si="48"/>
        <v>1,850 kg</v>
      </c>
      <c r="E371" s="2" t="str">
        <f t="shared" si="42"/>
        <v>Domicile</v>
      </c>
      <c r="F371" s="2" t="str">
        <f t="shared" si="46"/>
        <v>6C</v>
      </c>
      <c r="G371" s="2" t="str">
        <f t="shared" si="47"/>
        <v>Colissimo  Domicile - avec signature -- FR (6C)</v>
      </c>
      <c r="H371" s="2"/>
      <c r="I371" s="2"/>
      <c r="J371" s="2"/>
      <c r="K371" s="2" t="str">
        <f t="shared" si="43"/>
        <v>986737</v>
      </c>
      <c r="L371" s="2" t="str">
        <f>"1,850 kg"</f>
        <v>1,850 kg</v>
      </c>
    </row>
    <row r="372" spans="1:12" x14ac:dyDescent="0.3">
      <c r="A372" s="2" t="str">
        <f>"6C16589353642"</f>
        <v>6C16589353642</v>
      </c>
      <c r="B372" s="2" t="str">
        <f>"1,870 kg"</f>
        <v>1,870 kg</v>
      </c>
      <c r="C372" s="2" t="str">
        <f t="shared" si="48"/>
        <v>1,850 kg</v>
      </c>
      <c r="D372" s="2" t="str">
        <f t="shared" si="48"/>
        <v>1,850 kg</v>
      </c>
      <c r="E372" s="2" t="str">
        <f t="shared" si="42"/>
        <v>Domicile</v>
      </c>
      <c r="F372" s="2" t="str">
        <f t="shared" si="46"/>
        <v>6C</v>
      </c>
      <c r="G372" s="2" t="str">
        <f t="shared" si="47"/>
        <v>Colissimo  Domicile - avec signature -- FR (6C)</v>
      </c>
      <c r="H372" s="2"/>
      <c r="I372" s="2"/>
      <c r="J372" s="2"/>
      <c r="K372" s="2" t="str">
        <f t="shared" si="43"/>
        <v>986737</v>
      </c>
      <c r="L372" s="2" t="str">
        <f>"1,850 kg"</f>
        <v>1,850 kg</v>
      </c>
    </row>
    <row r="373" spans="1:12" x14ac:dyDescent="0.3">
      <c r="A373" s="2" t="str">
        <f>"6C17245703375"</f>
        <v>6C17245703375</v>
      </c>
      <c r="B373" s="2" t="str">
        <f>"1,840 kg"</f>
        <v>1,840 kg</v>
      </c>
      <c r="C373" s="2" t="str">
        <f t="shared" si="48"/>
        <v>1,850 kg</v>
      </c>
      <c r="D373" s="2" t="str">
        <f t="shared" si="48"/>
        <v>1,850 kg</v>
      </c>
      <c r="E373" s="2" t="str">
        <f t="shared" si="42"/>
        <v>Domicile</v>
      </c>
      <c r="F373" s="2" t="str">
        <f t="shared" si="46"/>
        <v>6C</v>
      </c>
      <c r="G373" s="2" t="str">
        <f t="shared" si="47"/>
        <v>Colissimo  Domicile - avec signature -- FR (6C)</v>
      </c>
      <c r="H373" s="2"/>
      <c r="I373" s="2"/>
      <c r="J373" s="2"/>
      <c r="K373" s="2" t="str">
        <f t="shared" si="43"/>
        <v>986737</v>
      </c>
      <c r="L373" s="2" t="str">
        <f>"1,850 kg"</f>
        <v>1,850 kg</v>
      </c>
    </row>
    <row r="374" spans="1:12" x14ac:dyDescent="0.3">
      <c r="A374" s="2" t="str">
        <f>"6C17245014716"</f>
        <v>6C17245014716</v>
      </c>
      <c r="B374" s="2" t="str">
        <f>"5,750 kg"</f>
        <v>5,750 kg</v>
      </c>
      <c r="C374" s="2" t="str">
        <f>"3,950 kg"</f>
        <v>3,950 kg</v>
      </c>
      <c r="D374" s="2" t="str">
        <f>"3,950 kg"</f>
        <v>3,950 kg</v>
      </c>
      <c r="E374" s="2" t="str">
        <f t="shared" si="42"/>
        <v>Domicile</v>
      </c>
      <c r="F374" s="2" t="str">
        <f t="shared" si="46"/>
        <v>6C</v>
      </c>
      <c r="G374" s="2" t="str">
        <f t="shared" si="47"/>
        <v>Colissimo  Domicile - avec signature -- FR (6C)</v>
      </c>
      <c r="H374" s="2"/>
      <c r="I374" s="2"/>
      <c r="J374" s="2"/>
      <c r="K374" s="2" t="str">
        <f t="shared" si="43"/>
        <v>986737</v>
      </c>
      <c r="L374" s="2" t="str">
        <f>"3,950 kg"</f>
        <v>3,950 kg</v>
      </c>
    </row>
    <row r="375" spans="1:12" x14ac:dyDescent="0.3">
      <c r="A375" s="2" t="str">
        <f>"6C16872561044"</f>
        <v>6C16872561044</v>
      </c>
      <c r="B375" s="2" t="str">
        <f>"1,800 kg"</f>
        <v>1,800 kg</v>
      </c>
      <c r="C375" s="2" t="str">
        <f>"1,870 kg"</f>
        <v>1,870 kg</v>
      </c>
      <c r="D375" s="2" t="str">
        <f>"1,900 kg"</f>
        <v>1,900 kg</v>
      </c>
      <c r="E375" s="2" t="str">
        <f t="shared" si="42"/>
        <v>Domicile</v>
      </c>
      <c r="F375" s="2" t="str">
        <f t="shared" si="46"/>
        <v>6C</v>
      </c>
      <c r="G375" s="2" t="str">
        <f t="shared" si="47"/>
        <v>Colissimo  Domicile - avec signature -- FR (6C)</v>
      </c>
      <c r="H375" s="2"/>
      <c r="I375" s="2"/>
      <c r="J375" s="2"/>
      <c r="K375" s="2" t="str">
        <f t="shared" si="43"/>
        <v>986737</v>
      </c>
      <c r="L375" s="2" t="str">
        <f>"1,900 kg"</f>
        <v>1,900 kg</v>
      </c>
    </row>
    <row r="376" spans="1:12" x14ac:dyDescent="0.3">
      <c r="A376" s="2" t="str">
        <f>"6C17316997719"</f>
        <v>6C17316997719</v>
      </c>
      <c r="B376" s="2"/>
      <c r="C376" s="2" t="str">
        <f>"1,850 kg"</f>
        <v>1,850 kg</v>
      </c>
      <c r="D376" s="2" t="str">
        <f>"1,900 kg"</f>
        <v>1,900 kg</v>
      </c>
      <c r="E376" s="2" t="str">
        <f t="shared" si="42"/>
        <v>Domicile</v>
      </c>
      <c r="F376" s="2" t="str">
        <f t="shared" si="46"/>
        <v>6C</v>
      </c>
      <c r="G376" s="2" t="str">
        <f t="shared" si="47"/>
        <v>Colissimo  Domicile - avec signature -- FR (6C)</v>
      </c>
      <c r="H376" s="2"/>
      <c r="I376" s="2"/>
      <c r="J376" s="2"/>
      <c r="K376" s="2" t="str">
        <f t="shared" si="43"/>
        <v>986737</v>
      </c>
      <c r="L376" s="2"/>
    </row>
    <row r="377" spans="1:12" x14ac:dyDescent="0.3">
      <c r="A377" s="2" t="str">
        <f>"6C17527276177"</f>
        <v>6C17527276177</v>
      </c>
      <c r="B377" s="2" t="str">
        <f>"6,040 kg"</f>
        <v>6,040 kg</v>
      </c>
      <c r="C377" s="2" t="str">
        <f>"6,050 kg"</f>
        <v>6,050 kg</v>
      </c>
      <c r="D377" s="2" t="str">
        <f>"6,050 kg"</f>
        <v>6,050 kg</v>
      </c>
      <c r="E377" s="2" t="str">
        <f t="shared" si="42"/>
        <v>Domicile</v>
      </c>
      <c r="F377" s="2" t="str">
        <f t="shared" si="46"/>
        <v>6C</v>
      </c>
      <c r="G377" s="2" t="str">
        <f t="shared" si="47"/>
        <v>Colissimo  Domicile - avec signature -- FR (6C)</v>
      </c>
      <c r="H377" s="2"/>
      <c r="I377" s="2"/>
      <c r="J377" s="2"/>
      <c r="K377" s="2" t="str">
        <f t="shared" si="43"/>
        <v>986737</v>
      </c>
      <c r="L377" s="2"/>
    </row>
    <row r="378" spans="1:12" x14ac:dyDescent="0.3">
      <c r="A378" s="2" t="str">
        <f>"6C17406014333"</f>
        <v>6C17406014333</v>
      </c>
      <c r="B378" s="2" t="str">
        <f>"2,000 kg"</f>
        <v>2,000 kg</v>
      </c>
      <c r="C378" s="2" t="str">
        <f>"2,830 kg"</f>
        <v>2,830 kg</v>
      </c>
      <c r="D378" s="2" t="str">
        <f>"2,830 kg"</f>
        <v>2,830 kg</v>
      </c>
      <c r="E378" s="2" t="str">
        <f t="shared" si="42"/>
        <v>Domicile</v>
      </c>
      <c r="F378" s="2" t="str">
        <f t="shared" si="46"/>
        <v>6C</v>
      </c>
      <c r="G378" s="2" t="str">
        <f t="shared" si="47"/>
        <v>Colissimo  Domicile - avec signature -- FR (6C)</v>
      </c>
      <c r="H378" s="2"/>
      <c r="I378" s="2"/>
      <c r="J378" s="2" t="str">
        <f>"BORDEAUX FONDAUDEGE BP"</f>
        <v>BORDEAUX FONDAUDEGE BP</v>
      </c>
      <c r="K378" s="2" t="str">
        <f t="shared" si="43"/>
        <v>986737</v>
      </c>
      <c r="L378" s="2"/>
    </row>
    <row r="379" spans="1:12" x14ac:dyDescent="0.3">
      <c r="A379" s="2" t="str">
        <f>"6C15603075430"</f>
        <v>6C15603075430</v>
      </c>
      <c r="B379" s="2" t="str">
        <f>"3,650 kg"</f>
        <v>3,650 kg</v>
      </c>
      <c r="C379" s="2" t="str">
        <f>"3,650 kg"</f>
        <v>3,650 kg</v>
      </c>
      <c r="D379" s="2" t="str">
        <f>"3,650 kg"</f>
        <v>3,650 kg</v>
      </c>
      <c r="E379" s="2" t="str">
        <f t="shared" si="42"/>
        <v>Domicile</v>
      </c>
      <c r="F379" s="2" t="str">
        <f t="shared" si="46"/>
        <v>6C</v>
      </c>
      <c r="G379" s="2" t="str">
        <f t="shared" si="47"/>
        <v>Colissimo  Domicile - avec signature -- FR (6C)</v>
      </c>
      <c r="H379" s="2"/>
      <c r="I379" s="2"/>
      <c r="J379" s="2"/>
      <c r="K379" s="2" t="str">
        <f t="shared" si="43"/>
        <v>986737</v>
      </c>
      <c r="L379" s="2" t="str">
        <f>"3,650 kg"</f>
        <v>3,650 kg</v>
      </c>
    </row>
    <row r="380" spans="1:12" x14ac:dyDescent="0.3">
      <c r="A380" s="2" t="str">
        <f>"6A25291222115"</f>
        <v>6A25291222115</v>
      </c>
      <c r="B380" s="2" t="str">
        <f>"0,710 kg"</f>
        <v>0,710 kg</v>
      </c>
      <c r="C380" s="2" t="str">
        <f>"0,700 kg"</f>
        <v>0,700 kg</v>
      </c>
      <c r="D380" s="2" t="str">
        <f>"0,700 kg"</f>
        <v>0,700 kg</v>
      </c>
      <c r="E380" s="2" t="str">
        <f t="shared" si="42"/>
        <v>Domicile</v>
      </c>
      <c r="F380" s="2" t="str">
        <f>"6A"</f>
        <v>6A</v>
      </c>
      <c r="G380" s="2" t="str">
        <f>"Colissimo  Domicile - sans signature -- FR (6A)"</f>
        <v>Colissimo  Domicile - sans signature -- FR (6A)</v>
      </c>
      <c r="H380" s="2"/>
      <c r="I380" s="2"/>
      <c r="J380" s="2"/>
      <c r="K380" s="2" t="str">
        <f t="shared" si="43"/>
        <v>986737</v>
      </c>
      <c r="L380" s="2" t="str">
        <f>"0,700 kg"</f>
        <v>0,700 kg</v>
      </c>
    </row>
    <row r="381" spans="1:12" x14ac:dyDescent="0.3">
      <c r="A381" s="2" t="str">
        <f>"6A25284884900"</f>
        <v>6A25284884900</v>
      </c>
      <c r="B381" s="2" t="str">
        <f>"9,990 kg"</f>
        <v>9,990 kg</v>
      </c>
      <c r="C381" s="2" t="str">
        <f>"9,900 kg"</f>
        <v>9,900 kg</v>
      </c>
      <c r="D381" s="2" t="str">
        <f>"9,900 kg"</f>
        <v>9,900 kg</v>
      </c>
      <c r="E381" s="2" t="str">
        <f t="shared" si="42"/>
        <v>Domicile</v>
      </c>
      <c r="F381" s="2" t="str">
        <f>"6A"</f>
        <v>6A</v>
      </c>
      <c r="G381" s="2" t="str">
        <f>"Colissimo  Domicile - sans signature -- FR (6A)"</f>
        <v>Colissimo  Domicile - sans signature -- FR (6A)</v>
      </c>
      <c r="H381" s="2"/>
      <c r="I381" s="2"/>
      <c r="J381" s="2"/>
      <c r="K381" s="2" t="str">
        <f t="shared" si="43"/>
        <v>986737</v>
      </c>
      <c r="L381" s="2" t="str">
        <f>"9,900 kg"</f>
        <v>9,900 kg</v>
      </c>
    </row>
    <row r="382" spans="1:12" x14ac:dyDescent="0.3">
      <c r="A382" s="2" t="str">
        <f>"6C15579146080"</f>
        <v>6C15579146080</v>
      </c>
      <c r="B382" s="2" t="str">
        <f>"0,650 kg"</f>
        <v>0,650 kg</v>
      </c>
      <c r="C382" s="2" t="str">
        <f>"0,700 kg"</f>
        <v>0,700 kg</v>
      </c>
      <c r="D382" s="2" t="str">
        <f>"0,700 kg"</f>
        <v>0,700 kg</v>
      </c>
      <c r="E382" s="2" t="str">
        <f t="shared" si="42"/>
        <v>Domicile</v>
      </c>
      <c r="F382" s="2" t="str">
        <f>"6C"</f>
        <v>6C</v>
      </c>
      <c r="G382" s="2" t="str">
        <f>"Colissimo  Domicile - avec signature -- FR (6C)"</f>
        <v>Colissimo  Domicile - avec signature -- FR (6C)</v>
      </c>
      <c r="H382" s="2"/>
      <c r="I382" s="2"/>
      <c r="J382" s="2"/>
      <c r="K382" s="2" t="str">
        <f t="shared" si="43"/>
        <v>986737</v>
      </c>
      <c r="L382" s="2" t="str">
        <f>"0,700 kg"</f>
        <v>0,700 kg</v>
      </c>
    </row>
    <row r="383" spans="1:12" x14ac:dyDescent="0.3">
      <c r="A383" s="2" t="str">
        <f>"6C15586608014"</f>
        <v>6C15586608014</v>
      </c>
      <c r="B383" s="2" t="str">
        <f>"3,440 kg"</f>
        <v>3,440 kg</v>
      </c>
      <c r="C383" s="2" t="str">
        <f>"3,450 kg"</f>
        <v>3,450 kg</v>
      </c>
      <c r="D383" s="2" t="str">
        <f>"3,450 kg"</f>
        <v>3,450 kg</v>
      </c>
      <c r="E383" s="2" t="str">
        <f t="shared" si="42"/>
        <v>Domicile</v>
      </c>
      <c r="F383" s="2" t="str">
        <f>"6C"</f>
        <v>6C</v>
      </c>
      <c r="G383" s="2" t="str">
        <f>"Colissimo  Domicile - avec signature -- FR (6C)"</f>
        <v>Colissimo  Domicile - avec signature -- FR (6C)</v>
      </c>
      <c r="H383" s="2"/>
      <c r="I383" s="2"/>
      <c r="J383" s="2"/>
      <c r="K383" s="2" t="str">
        <f t="shared" si="43"/>
        <v>986737</v>
      </c>
      <c r="L383" s="2" t="str">
        <f>"3,450 kg"</f>
        <v>3,450 kg</v>
      </c>
    </row>
    <row r="384" spans="1:12" x14ac:dyDescent="0.3">
      <c r="A384" s="2" t="str">
        <f>"6A25190448579"</f>
        <v>6A25190448579</v>
      </c>
      <c r="B384" s="2" t="str">
        <f>"5,000 kg"</f>
        <v>5,000 kg</v>
      </c>
      <c r="C384" s="2" t="str">
        <f>"4,950 kg"</f>
        <v>4,950 kg</v>
      </c>
      <c r="D384" s="2" t="str">
        <f>"4,950 kg"</f>
        <v>4,950 kg</v>
      </c>
      <c r="E384" s="2" t="str">
        <f t="shared" si="42"/>
        <v>Domicile</v>
      </c>
      <c r="F384" s="2" t="str">
        <f>"6A"</f>
        <v>6A</v>
      </c>
      <c r="G384" s="2" t="str">
        <f>"Colissimo  Domicile - sans signature -- FR (6A)"</f>
        <v>Colissimo  Domicile - sans signature -- FR (6A)</v>
      </c>
      <c r="H384" s="2"/>
      <c r="I384" s="2"/>
      <c r="J384" s="2"/>
      <c r="K384" s="2" t="str">
        <f t="shared" si="43"/>
        <v>986737</v>
      </c>
      <c r="L384" s="2" t="str">
        <f>"4,950 kg"</f>
        <v>4,950 kg</v>
      </c>
    </row>
    <row r="385" spans="1:12" x14ac:dyDescent="0.3">
      <c r="A385" s="2" t="str">
        <f>"6C15580340262"</f>
        <v>6C15580340262</v>
      </c>
      <c r="B385" s="2"/>
      <c r="C385" s="2" t="str">
        <f>"0,690 kg"</f>
        <v>0,690 kg</v>
      </c>
      <c r="D385" s="2" t="str">
        <f>"0,700 kg"</f>
        <v>0,700 kg</v>
      </c>
      <c r="E385" s="2" t="str">
        <f t="shared" si="42"/>
        <v>Domicile</v>
      </c>
      <c r="F385" s="2" t="str">
        <f>"6C"</f>
        <v>6C</v>
      </c>
      <c r="G385" s="2" t="str">
        <f>"Colissimo  Domicile - avec signature -- FR (6C)"</f>
        <v>Colissimo  Domicile - avec signature -- FR (6C)</v>
      </c>
      <c r="H385" s="2"/>
      <c r="I385" s="2"/>
      <c r="J385" s="2"/>
      <c r="K385" s="2" t="str">
        <f t="shared" si="43"/>
        <v>986737</v>
      </c>
      <c r="L385" s="2" t="str">
        <f>"0,700 kg"</f>
        <v>0,700 kg</v>
      </c>
    </row>
    <row r="386" spans="1:12" x14ac:dyDescent="0.3">
      <c r="A386" s="2" t="str">
        <f>"6A25211133569"</f>
        <v>6A25211133569</v>
      </c>
      <c r="B386" s="2" t="str">
        <f>"10,220 kg"</f>
        <v>10,220 kg</v>
      </c>
      <c r="C386" s="2" t="str">
        <f>"10,150 kg"</f>
        <v>10,150 kg</v>
      </c>
      <c r="D386" s="2" t="str">
        <f>"10,150 kg"</f>
        <v>10,150 kg</v>
      </c>
      <c r="E386" s="2" t="str">
        <f t="shared" ref="E386:E449" si="49">"Domicile"</f>
        <v>Domicile</v>
      </c>
      <c r="F386" s="2" t="str">
        <f>"6A"</f>
        <v>6A</v>
      </c>
      <c r="G386" s="2" t="str">
        <f>"Colissimo  Domicile - sans signature -- FR (6A)"</f>
        <v>Colissimo  Domicile - sans signature -- FR (6A)</v>
      </c>
      <c r="H386" s="2"/>
      <c r="I386" s="2"/>
      <c r="J386" s="2"/>
      <c r="K386" s="2" t="str">
        <f t="shared" ref="K386:K449" si="50">"986737"</f>
        <v>986737</v>
      </c>
      <c r="L386" s="2" t="str">
        <f>"10,150 kg"</f>
        <v>10,150 kg</v>
      </c>
    </row>
    <row r="387" spans="1:12" x14ac:dyDescent="0.3">
      <c r="A387" s="2" t="str">
        <f>"6A25291481611"</f>
        <v>6A25291481611</v>
      </c>
      <c r="B387" s="2" t="str">
        <f>"0,710 kg"</f>
        <v>0,710 kg</v>
      </c>
      <c r="C387" s="2" t="str">
        <f>"0,850 kg"</f>
        <v>0,850 kg</v>
      </c>
      <c r="D387" s="2" t="str">
        <f>"0,850 kg"</f>
        <v>0,850 kg</v>
      </c>
      <c r="E387" s="2" t="str">
        <f t="shared" si="49"/>
        <v>Domicile</v>
      </c>
      <c r="F387" s="2" t="str">
        <f>"6A"</f>
        <v>6A</v>
      </c>
      <c r="G387" s="2" t="str">
        <f>"Colissimo  Domicile - sans signature -- FR (6A)"</f>
        <v>Colissimo  Domicile - sans signature -- FR (6A)</v>
      </c>
      <c r="H387" s="2"/>
      <c r="I387" s="2"/>
      <c r="J387" s="2"/>
      <c r="K387" s="2" t="str">
        <f t="shared" si="50"/>
        <v>986737</v>
      </c>
      <c r="L387" s="2" t="str">
        <f>"0,850 kg"</f>
        <v>0,850 kg</v>
      </c>
    </row>
    <row r="388" spans="1:12" x14ac:dyDescent="0.3">
      <c r="A388" s="2" t="str">
        <f>"6C15580302369"</f>
        <v>6C15580302369</v>
      </c>
      <c r="B388" s="2" t="str">
        <f>"0,590 kg"</f>
        <v>0,590 kg</v>
      </c>
      <c r="C388" s="2" t="str">
        <f>"0,700 kg"</f>
        <v>0,700 kg</v>
      </c>
      <c r="D388" s="2" t="str">
        <f>"0,700 kg"</f>
        <v>0,700 kg</v>
      </c>
      <c r="E388" s="2" t="str">
        <f t="shared" si="49"/>
        <v>Domicile</v>
      </c>
      <c r="F388" s="2" t="str">
        <f t="shared" ref="F388:F395" si="51">"6C"</f>
        <v>6C</v>
      </c>
      <c r="G388" s="2" t="str">
        <f t="shared" ref="G388:G395" si="52">"Colissimo  Domicile - avec signature -- FR (6C)"</f>
        <v>Colissimo  Domicile - avec signature -- FR (6C)</v>
      </c>
      <c r="H388" s="2"/>
      <c r="I388" s="2"/>
      <c r="J388" s="2"/>
      <c r="K388" s="2" t="str">
        <f t="shared" si="50"/>
        <v>986737</v>
      </c>
      <c r="L388" s="2" t="str">
        <f>"0,700 kg"</f>
        <v>0,700 kg</v>
      </c>
    </row>
    <row r="389" spans="1:12" x14ac:dyDescent="0.3">
      <c r="A389" s="2" t="str">
        <f>"6C15587296555"</f>
        <v>6C15587296555</v>
      </c>
      <c r="B389" s="2" t="str">
        <f>"6,550 kg"</f>
        <v>6,550 kg</v>
      </c>
      <c r="C389" s="2" t="str">
        <f>"6,550 kg"</f>
        <v>6,550 kg</v>
      </c>
      <c r="D389" s="2" t="str">
        <f>"6,550 kg"</f>
        <v>6,550 kg</v>
      </c>
      <c r="E389" s="2" t="str">
        <f t="shared" si="49"/>
        <v>Domicile</v>
      </c>
      <c r="F389" s="2" t="str">
        <f t="shared" si="51"/>
        <v>6C</v>
      </c>
      <c r="G389" s="2" t="str">
        <f t="shared" si="52"/>
        <v>Colissimo  Domicile - avec signature -- FR (6C)</v>
      </c>
      <c r="H389" s="2"/>
      <c r="I389" s="2"/>
      <c r="J389" s="2"/>
      <c r="K389" s="2" t="str">
        <f t="shared" si="50"/>
        <v>986737</v>
      </c>
      <c r="L389" s="2" t="str">
        <f>"6,550 kg"</f>
        <v>6,550 kg</v>
      </c>
    </row>
    <row r="390" spans="1:12" x14ac:dyDescent="0.3">
      <c r="A390" s="2" t="str">
        <f>"6C15626663720"</f>
        <v>6C15626663720</v>
      </c>
      <c r="B390" s="2" t="str">
        <f>"2,350 kg"</f>
        <v>2,350 kg</v>
      </c>
      <c r="C390" s="2" t="str">
        <f>"2,300 kg"</f>
        <v>2,300 kg</v>
      </c>
      <c r="D390" s="2" t="str">
        <f>"2,300 kg"</f>
        <v>2,300 kg</v>
      </c>
      <c r="E390" s="2" t="str">
        <f t="shared" si="49"/>
        <v>Domicile</v>
      </c>
      <c r="F390" s="2" t="str">
        <f t="shared" si="51"/>
        <v>6C</v>
      </c>
      <c r="G390" s="2" t="str">
        <f t="shared" si="52"/>
        <v>Colissimo  Domicile - avec signature -- FR (6C)</v>
      </c>
      <c r="H390" s="2"/>
      <c r="I390" s="2"/>
      <c r="J390" s="2"/>
      <c r="K390" s="2" t="str">
        <f t="shared" si="50"/>
        <v>986737</v>
      </c>
      <c r="L390" s="2" t="str">
        <f>"2,300 kg"</f>
        <v>2,300 kg</v>
      </c>
    </row>
    <row r="391" spans="1:12" x14ac:dyDescent="0.3">
      <c r="A391" s="2" t="str">
        <f>"6C15586645354"</f>
        <v>6C15586645354</v>
      </c>
      <c r="B391" s="2" t="str">
        <f>"7,200 kg"</f>
        <v>7,200 kg</v>
      </c>
      <c r="C391" s="2" t="str">
        <f>"6,550 kg"</f>
        <v>6,550 kg</v>
      </c>
      <c r="D391" s="2" t="str">
        <f>"6,550 kg"</f>
        <v>6,550 kg</v>
      </c>
      <c r="E391" s="2" t="str">
        <f t="shared" si="49"/>
        <v>Domicile</v>
      </c>
      <c r="F391" s="2" t="str">
        <f t="shared" si="51"/>
        <v>6C</v>
      </c>
      <c r="G391" s="2" t="str">
        <f t="shared" si="52"/>
        <v>Colissimo  Domicile - avec signature -- FR (6C)</v>
      </c>
      <c r="H391" s="2"/>
      <c r="I391" s="2"/>
      <c r="J391" s="2"/>
      <c r="K391" s="2" t="str">
        <f t="shared" si="50"/>
        <v>986737</v>
      </c>
      <c r="L391" s="2" t="str">
        <f>"6,550 kg"</f>
        <v>6,550 kg</v>
      </c>
    </row>
    <row r="392" spans="1:12" x14ac:dyDescent="0.3">
      <c r="A392" s="2" t="str">
        <f>"6C15580563968"</f>
        <v>6C15580563968</v>
      </c>
      <c r="B392" s="2" t="str">
        <f>"1,800 kg"</f>
        <v>1,800 kg</v>
      </c>
      <c r="C392" s="2" t="str">
        <f>"1,850 kg"</f>
        <v>1,850 kg</v>
      </c>
      <c r="D392" s="2" t="str">
        <f>"1,850 kg"</f>
        <v>1,850 kg</v>
      </c>
      <c r="E392" s="2" t="str">
        <f t="shared" si="49"/>
        <v>Domicile</v>
      </c>
      <c r="F392" s="2" t="str">
        <f t="shared" si="51"/>
        <v>6C</v>
      </c>
      <c r="G392" s="2" t="str">
        <f t="shared" si="52"/>
        <v>Colissimo  Domicile - avec signature -- FR (6C)</v>
      </c>
      <c r="H392" s="2"/>
      <c r="I392" s="2"/>
      <c r="J392" s="2"/>
      <c r="K392" s="2" t="str">
        <f t="shared" si="50"/>
        <v>986737</v>
      </c>
      <c r="L392" s="2" t="str">
        <f>"1,850 kg"</f>
        <v>1,850 kg</v>
      </c>
    </row>
    <row r="393" spans="1:12" x14ac:dyDescent="0.3">
      <c r="A393" s="2" t="str">
        <f>"6C15579146103"</f>
        <v>6C15579146103</v>
      </c>
      <c r="B393" s="2" t="str">
        <f>"0,650 kg"</f>
        <v>0,650 kg</v>
      </c>
      <c r="C393" s="2" t="str">
        <f>"0,700 kg"</f>
        <v>0,700 kg</v>
      </c>
      <c r="D393" s="2" t="str">
        <f>"0,700 kg"</f>
        <v>0,700 kg</v>
      </c>
      <c r="E393" s="2" t="str">
        <f t="shared" si="49"/>
        <v>Domicile</v>
      </c>
      <c r="F393" s="2" t="str">
        <f t="shared" si="51"/>
        <v>6C</v>
      </c>
      <c r="G393" s="2" t="str">
        <f t="shared" si="52"/>
        <v>Colissimo  Domicile - avec signature -- FR (6C)</v>
      </c>
      <c r="H393" s="2"/>
      <c r="I393" s="2"/>
      <c r="J393" s="2"/>
      <c r="K393" s="2" t="str">
        <f t="shared" si="50"/>
        <v>986737</v>
      </c>
      <c r="L393" s="2" t="str">
        <f>"0,700 kg"</f>
        <v>0,700 kg</v>
      </c>
    </row>
    <row r="394" spans="1:12" x14ac:dyDescent="0.3">
      <c r="A394" s="2" t="str">
        <f>"6C15605472978"</f>
        <v>6C15605472978</v>
      </c>
      <c r="B394" s="2" t="str">
        <f>"3,650 kg"</f>
        <v>3,650 kg</v>
      </c>
      <c r="C394" s="2" t="str">
        <f>"3,640 kg"</f>
        <v>3,640 kg</v>
      </c>
      <c r="D394" s="2" t="str">
        <f>"3,650 kg"</f>
        <v>3,650 kg</v>
      </c>
      <c r="E394" s="2" t="str">
        <f t="shared" si="49"/>
        <v>Domicile</v>
      </c>
      <c r="F394" s="2" t="str">
        <f t="shared" si="51"/>
        <v>6C</v>
      </c>
      <c r="G394" s="2" t="str">
        <f t="shared" si="52"/>
        <v>Colissimo  Domicile - avec signature -- FR (6C)</v>
      </c>
      <c r="H394" s="2"/>
      <c r="I394" s="2"/>
      <c r="J394" s="2"/>
      <c r="K394" s="2" t="str">
        <f t="shared" si="50"/>
        <v>986737</v>
      </c>
      <c r="L394" s="2" t="str">
        <f>"3,650 kg"</f>
        <v>3,650 kg</v>
      </c>
    </row>
    <row r="395" spans="1:12" x14ac:dyDescent="0.3">
      <c r="A395" s="2" t="str">
        <f>"6C15577411647"</f>
        <v>6C15577411647</v>
      </c>
      <c r="B395" s="2"/>
      <c r="C395" s="2" t="str">
        <f>"2,550 kg"</f>
        <v>2,550 kg</v>
      </c>
      <c r="D395" s="2" t="str">
        <f>"2,550 kg"</f>
        <v>2,550 kg</v>
      </c>
      <c r="E395" s="2" t="str">
        <f t="shared" si="49"/>
        <v>Domicile</v>
      </c>
      <c r="F395" s="2" t="str">
        <f t="shared" si="51"/>
        <v>6C</v>
      </c>
      <c r="G395" s="2" t="str">
        <f t="shared" si="52"/>
        <v>Colissimo  Domicile - avec signature -- FR (6C)</v>
      </c>
      <c r="H395" s="2"/>
      <c r="I395" s="2"/>
      <c r="J395" s="2"/>
      <c r="K395" s="2" t="str">
        <f t="shared" si="50"/>
        <v>986737</v>
      </c>
      <c r="L395" s="2" t="str">
        <f>"2,550 kg"</f>
        <v>2,550 kg</v>
      </c>
    </row>
    <row r="396" spans="1:12" x14ac:dyDescent="0.3">
      <c r="A396" s="2" t="str">
        <f>"6A25291481550"</f>
        <v>6A25291481550</v>
      </c>
      <c r="B396" s="2" t="str">
        <f>"0,710 kg"</f>
        <v>0,710 kg</v>
      </c>
      <c r="C396" s="2" t="str">
        <f>"0,850 kg"</f>
        <v>0,850 kg</v>
      </c>
      <c r="D396" s="2" t="str">
        <f>"0,850 kg"</f>
        <v>0,850 kg</v>
      </c>
      <c r="E396" s="2" t="str">
        <f t="shared" si="49"/>
        <v>Domicile</v>
      </c>
      <c r="F396" s="2" t="str">
        <f>"6A"</f>
        <v>6A</v>
      </c>
      <c r="G396" s="2" t="str">
        <f>"Colissimo  Domicile - sans signature -- FR (6A)"</f>
        <v>Colissimo  Domicile - sans signature -- FR (6A)</v>
      </c>
      <c r="H396" s="2"/>
      <c r="I396" s="2"/>
      <c r="J396" s="2"/>
      <c r="K396" s="2" t="str">
        <f t="shared" si="50"/>
        <v>986737</v>
      </c>
      <c r="L396" s="2" t="str">
        <f>"0,850 kg"</f>
        <v>0,850 kg</v>
      </c>
    </row>
    <row r="397" spans="1:12" x14ac:dyDescent="0.3">
      <c r="A397" s="2" t="str">
        <f>"6C15579125047"</f>
        <v>6C15579125047</v>
      </c>
      <c r="B397" s="2" t="str">
        <f>"6,090 kg"</f>
        <v>6,090 kg</v>
      </c>
      <c r="C397" s="2" t="str">
        <f>"6,200 kg"</f>
        <v>6,200 kg</v>
      </c>
      <c r="D397" s="2" t="str">
        <f>"6,200 kg"</f>
        <v>6,200 kg</v>
      </c>
      <c r="E397" s="2" t="str">
        <f t="shared" si="49"/>
        <v>Domicile</v>
      </c>
      <c r="F397" s="2" t="str">
        <f>"6C"</f>
        <v>6C</v>
      </c>
      <c r="G397" s="2" t="str">
        <f>"Colissimo  Domicile - avec signature -- FR (6C)"</f>
        <v>Colissimo  Domicile - avec signature -- FR (6C)</v>
      </c>
      <c r="H397" s="2"/>
      <c r="I397" s="2"/>
      <c r="J397" s="2"/>
      <c r="K397" s="2" t="str">
        <f t="shared" si="50"/>
        <v>986737</v>
      </c>
      <c r="L397" s="2" t="str">
        <f>"6,200 kg"</f>
        <v>6,200 kg</v>
      </c>
    </row>
    <row r="398" spans="1:12" x14ac:dyDescent="0.3">
      <c r="A398" s="2" t="str">
        <f>"6A25232736992"</f>
        <v>6A25232736992</v>
      </c>
      <c r="B398" s="2" t="str">
        <f>"2,000 kg"</f>
        <v>2,000 kg</v>
      </c>
      <c r="C398" s="2" t="str">
        <f>"1,850 kg"</f>
        <v>1,850 kg</v>
      </c>
      <c r="D398" s="2" t="str">
        <f>"1,850 kg"</f>
        <v>1,850 kg</v>
      </c>
      <c r="E398" s="2" t="str">
        <f t="shared" si="49"/>
        <v>Domicile</v>
      </c>
      <c r="F398" s="2" t="str">
        <f>"6A"</f>
        <v>6A</v>
      </c>
      <c r="G398" s="2" t="str">
        <f>"Colissimo  Domicile - sans signature -- FR (6A)"</f>
        <v>Colissimo  Domicile - sans signature -- FR (6A)</v>
      </c>
      <c r="H398" s="2"/>
      <c r="I398" s="2"/>
      <c r="J398" s="2"/>
      <c r="K398" s="2" t="str">
        <f t="shared" si="50"/>
        <v>986737</v>
      </c>
      <c r="L398" s="2" t="str">
        <f>"1,850 kg"</f>
        <v>1,850 kg</v>
      </c>
    </row>
    <row r="399" spans="1:12" x14ac:dyDescent="0.3">
      <c r="A399" s="2" t="str">
        <f>"6A25289682921"</f>
        <v>6A25289682921</v>
      </c>
      <c r="B399" s="2"/>
      <c r="C399" s="2" t="str">
        <f>"10,200 kg"</f>
        <v>10,200 kg</v>
      </c>
      <c r="D399" s="2" t="str">
        <f>"10,200 kg"</f>
        <v>10,200 kg</v>
      </c>
      <c r="E399" s="2" t="str">
        <f t="shared" si="49"/>
        <v>Domicile</v>
      </c>
      <c r="F399" s="2" t="str">
        <f>"6A"</f>
        <v>6A</v>
      </c>
      <c r="G399" s="2" t="str">
        <f>"Colissimo  Domicile - sans signature -- FR (6A)"</f>
        <v>Colissimo  Domicile - sans signature -- FR (6A)</v>
      </c>
      <c r="H399" s="2"/>
      <c r="I399" s="2"/>
      <c r="J399" s="2"/>
      <c r="K399" s="2" t="str">
        <f t="shared" si="50"/>
        <v>986737</v>
      </c>
      <c r="L399" s="2" t="str">
        <f>"10,200 kg"</f>
        <v>10,200 kg</v>
      </c>
    </row>
    <row r="400" spans="1:12" x14ac:dyDescent="0.3">
      <c r="A400" s="2" t="str">
        <f>"6C15587296104"</f>
        <v>6C15587296104</v>
      </c>
      <c r="B400" s="2" t="str">
        <f>"1,110 kg"</f>
        <v>1,110 kg</v>
      </c>
      <c r="C400" s="2" t="str">
        <f>"1,100 kg"</f>
        <v>1,100 kg</v>
      </c>
      <c r="D400" s="2" t="str">
        <f>"1,100 kg"</f>
        <v>1,100 kg</v>
      </c>
      <c r="E400" s="2" t="str">
        <f t="shared" si="49"/>
        <v>Domicile</v>
      </c>
      <c r="F400" s="2" t="str">
        <f>"6C"</f>
        <v>6C</v>
      </c>
      <c r="G400" s="2" t="str">
        <f>"Colissimo  Domicile - avec signature -- FR (6C)"</f>
        <v>Colissimo  Domicile - avec signature -- FR (6C)</v>
      </c>
      <c r="H400" s="2"/>
      <c r="I400" s="2"/>
      <c r="J400" s="2"/>
      <c r="K400" s="2" t="str">
        <f t="shared" si="50"/>
        <v>986737</v>
      </c>
      <c r="L400" s="2" t="str">
        <f>"1,100 kg"</f>
        <v>1,100 kg</v>
      </c>
    </row>
    <row r="401" spans="1:12" x14ac:dyDescent="0.3">
      <c r="A401" s="2" t="str">
        <f>"6C15604217402"</f>
        <v>6C15604217402</v>
      </c>
      <c r="B401" s="2"/>
      <c r="C401" s="2" t="str">
        <f>"1,850 kg"</f>
        <v>1,850 kg</v>
      </c>
      <c r="D401" s="2" t="str">
        <f>"1,850 kg"</f>
        <v>1,850 kg</v>
      </c>
      <c r="E401" s="2" t="str">
        <f t="shared" si="49"/>
        <v>Domicile</v>
      </c>
      <c r="F401" s="2" t="str">
        <f>"6C"</f>
        <v>6C</v>
      </c>
      <c r="G401" s="2" t="str">
        <f>"Colissimo  Domicile - avec signature -- FR (6C)"</f>
        <v>Colissimo  Domicile - avec signature -- FR (6C)</v>
      </c>
      <c r="H401" s="2"/>
      <c r="I401" s="2"/>
      <c r="J401" s="2"/>
      <c r="K401" s="2" t="str">
        <f t="shared" si="50"/>
        <v>986737</v>
      </c>
      <c r="L401" s="2" t="str">
        <f>"1,850 kg"</f>
        <v>1,850 kg</v>
      </c>
    </row>
    <row r="402" spans="1:12" x14ac:dyDescent="0.3">
      <c r="A402" s="2" t="str">
        <f>"6A25288024425"</f>
        <v>6A25288024425</v>
      </c>
      <c r="B402" s="2" t="str">
        <f>"0,710 kg"</f>
        <v>0,710 kg</v>
      </c>
      <c r="C402" s="2" t="str">
        <f t="shared" ref="C402:D405" si="53">"0,700 kg"</f>
        <v>0,700 kg</v>
      </c>
      <c r="D402" s="2" t="str">
        <f t="shared" si="53"/>
        <v>0,700 kg</v>
      </c>
      <c r="E402" s="2" t="str">
        <f t="shared" si="49"/>
        <v>Domicile</v>
      </c>
      <c r="F402" s="2" t="str">
        <f>"6A"</f>
        <v>6A</v>
      </c>
      <c r="G402" s="2" t="str">
        <f>"Colissimo  Domicile - sans signature -- FR (6A)"</f>
        <v>Colissimo  Domicile - sans signature -- FR (6A)</v>
      </c>
      <c r="H402" s="2"/>
      <c r="I402" s="2"/>
      <c r="J402" s="2"/>
      <c r="K402" s="2" t="str">
        <f t="shared" si="50"/>
        <v>986737</v>
      </c>
      <c r="L402" s="2" t="str">
        <f>"0,700 kg"</f>
        <v>0,700 kg</v>
      </c>
    </row>
    <row r="403" spans="1:12" x14ac:dyDescent="0.3">
      <c r="A403" s="2" t="str">
        <f>"6A25289621784"</f>
        <v>6A25289621784</v>
      </c>
      <c r="B403" s="2" t="str">
        <f>"0,710 kg"</f>
        <v>0,710 kg</v>
      </c>
      <c r="C403" s="2" t="str">
        <f t="shared" si="53"/>
        <v>0,700 kg</v>
      </c>
      <c r="D403" s="2" t="str">
        <f t="shared" si="53"/>
        <v>0,700 kg</v>
      </c>
      <c r="E403" s="2" t="str">
        <f t="shared" si="49"/>
        <v>Domicile</v>
      </c>
      <c r="F403" s="2" t="str">
        <f>"6A"</f>
        <v>6A</v>
      </c>
      <c r="G403" s="2" t="str">
        <f>"Colissimo  Domicile - sans signature -- FR (6A)"</f>
        <v>Colissimo  Domicile - sans signature -- FR (6A)</v>
      </c>
      <c r="H403" s="2"/>
      <c r="I403" s="2"/>
      <c r="J403" s="2"/>
      <c r="K403" s="2" t="str">
        <f t="shared" si="50"/>
        <v>986737</v>
      </c>
      <c r="L403" s="2" t="str">
        <f>"0,700 kg"</f>
        <v>0,700 kg</v>
      </c>
    </row>
    <row r="404" spans="1:12" x14ac:dyDescent="0.3">
      <c r="A404" s="2" t="str">
        <f>"6A25291105487"</f>
        <v>6A25291105487</v>
      </c>
      <c r="B404" s="2" t="str">
        <f>"0,710 kg"</f>
        <v>0,710 kg</v>
      </c>
      <c r="C404" s="2" t="str">
        <f t="shared" si="53"/>
        <v>0,700 kg</v>
      </c>
      <c r="D404" s="2" t="str">
        <f t="shared" si="53"/>
        <v>0,700 kg</v>
      </c>
      <c r="E404" s="2" t="str">
        <f t="shared" si="49"/>
        <v>Domicile</v>
      </c>
      <c r="F404" s="2" t="str">
        <f>"6A"</f>
        <v>6A</v>
      </c>
      <c r="G404" s="2" t="str">
        <f>"Colissimo  Domicile - sans signature -- FR (6A)"</f>
        <v>Colissimo  Domicile - sans signature -- FR (6A)</v>
      </c>
      <c r="H404" s="2"/>
      <c r="I404" s="2"/>
      <c r="J404" s="2"/>
      <c r="K404" s="2" t="str">
        <f t="shared" si="50"/>
        <v>986737</v>
      </c>
      <c r="L404" s="2" t="str">
        <f>"0,700 kg"</f>
        <v>0,700 kg</v>
      </c>
    </row>
    <row r="405" spans="1:12" x14ac:dyDescent="0.3">
      <c r="A405" s="2" t="str">
        <f>"6C15604719005"</f>
        <v>6C15604719005</v>
      </c>
      <c r="B405" s="2" t="str">
        <f>"0,710 kg"</f>
        <v>0,710 kg</v>
      </c>
      <c r="C405" s="2" t="str">
        <f t="shared" si="53"/>
        <v>0,700 kg</v>
      </c>
      <c r="D405" s="2" t="str">
        <f t="shared" si="53"/>
        <v>0,700 kg</v>
      </c>
      <c r="E405" s="2" t="str">
        <f t="shared" si="49"/>
        <v>Domicile</v>
      </c>
      <c r="F405" s="2" t="str">
        <f>"6C"</f>
        <v>6C</v>
      </c>
      <c r="G405" s="2" t="str">
        <f>"Colissimo  Domicile - avec signature -- FR (6C)"</f>
        <v>Colissimo  Domicile - avec signature -- FR (6C)</v>
      </c>
      <c r="H405" s="2"/>
      <c r="I405" s="2"/>
      <c r="J405" s="2"/>
      <c r="K405" s="2" t="str">
        <f t="shared" si="50"/>
        <v>986737</v>
      </c>
      <c r="L405" s="2" t="str">
        <f>"0,700 kg"</f>
        <v>0,700 kg</v>
      </c>
    </row>
    <row r="406" spans="1:12" x14ac:dyDescent="0.3">
      <c r="A406" s="2" t="str">
        <f>"6A25291481727"</f>
        <v>6A25291481727</v>
      </c>
      <c r="B406" s="2" t="str">
        <f>"0,710 kg"</f>
        <v>0,710 kg</v>
      </c>
      <c r="C406" s="2" t="str">
        <f>"0,850 kg"</f>
        <v>0,850 kg</v>
      </c>
      <c r="D406" s="2" t="str">
        <f>"0,850 kg"</f>
        <v>0,850 kg</v>
      </c>
      <c r="E406" s="2" t="str">
        <f t="shared" si="49"/>
        <v>Domicile</v>
      </c>
      <c r="F406" s="2" t="str">
        <f>"6A"</f>
        <v>6A</v>
      </c>
      <c r="G406" s="2" t="str">
        <f>"Colissimo  Domicile - sans signature -- FR (6A)"</f>
        <v>Colissimo  Domicile - sans signature -- FR (6A)</v>
      </c>
      <c r="H406" s="2"/>
      <c r="I406" s="2"/>
      <c r="J406" s="2"/>
      <c r="K406" s="2" t="str">
        <f t="shared" si="50"/>
        <v>986737</v>
      </c>
      <c r="L406" s="2" t="str">
        <f>"0,850 kg"</f>
        <v>0,850 kg</v>
      </c>
    </row>
    <row r="407" spans="1:12" x14ac:dyDescent="0.3">
      <c r="A407" s="2" t="str">
        <f>"6C15580319374"</f>
        <v>6C15580319374</v>
      </c>
      <c r="B407" s="2" t="str">
        <f>"6,090 kg"</f>
        <v>6,090 kg</v>
      </c>
      <c r="C407" s="2" t="str">
        <f>"6,250 kg"</f>
        <v>6,250 kg</v>
      </c>
      <c r="D407" s="2" t="str">
        <f>"6,250 kg"</f>
        <v>6,250 kg</v>
      </c>
      <c r="E407" s="2" t="str">
        <f t="shared" si="49"/>
        <v>Domicile</v>
      </c>
      <c r="F407" s="2" t="str">
        <f>"6C"</f>
        <v>6C</v>
      </c>
      <c r="G407" s="2" t="str">
        <f>"Colissimo  Domicile - avec signature -- FR (6C)"</f>
        <v>Colissimo  Domicile - avec signature -- FR (6C)</v>
      </c>
      <c r="H407" s="2"/>
      <c r="I407" s="2"/>
      <c r="J407" s="2"/>
      <c r="K407" s="2" t="str">
        <f t="shared" si="50"/>
        <v>986737</v>
      </c>
      <c r="L407" s="2" t="str">
        <f>"6,250 kg"</f>
        <v>6,250 kg</v>
      </c>
    </row>
    <row r="408" spans="1:12" x14ac:dyDescent="0.3">
      <c r="A408" s="2" t="str">
        <f>"6A25289621937"</f>
        <v>6A25289621937</v>
      </c>
      <c r="B408" s="2" t="str">
        <f>"0,710 kg"</f>
        <v>0,710 kg</v>
      </c>
      <c r="C408" s="2"/>
      <c r="D408" s="2" t="str">
        <f>"0,710 kg"</f>
        <v>0,710 kg</v>
      </c>
      <c r="E408" s="2" t="str">
        <f t="shared" si="49"/>
        <v>Domicile</v>
      </c>
      <c r="F408" s="2" t="str">
        <f t="shared" ref="F408:F414" si="54">"6A"</f>
        <v>6A</v>
      </c>
      <c r="G408" s="2" t="str">
        <f t="shared" ref="G408:G414" si="55">"Colissimo  Domicile - sans signature -- FR (6A)"</f>
        <v>Colissimo  Domicile - sans signature -- FR (6A)</v>
      </c>
      <c r="H408" s="2"/>
      <c r="I408" s="2"/>
      <c r="J408" s="2"/>
      <c r="K408" s="2" t="str">
        <f t="shared" si="50"/>
        <v>986737</v>
      </c>
      <c r="L408" s="2"/>
    </row>
    <row r="409" spans="1:12" x14ac:dyDescent="0.3">
      <c r="A409" s="2" t="str">
        <f>"6A25196207330"</f>
        <v>6A25196207330</v>
      </c>
      <c r="B409" s="2" t="str">
        <f>"0,010 kg"</f>
        <v>0,010 kg</v>
      </c>
      <c r="C409" s="2" t="str">
        <f>"6,200 kg"</f>
        <v>6,200 kg</v>
      </c>
      <c r="D409" s="2" t="str">
        <f>"6,200 kg"</f>
        <v>6,200 kg</v>
      </c>
      <c r="E409" s="2" t="str">
        <f t="shared" si="49"/>
        <v>Domicile</v>
      </c>
      <c r="F409" s="2" t="str">
        <f t="shared" si="54"/>
        <v>6A</v>
      </c>
      <c r="G409" s="2" t="str">
        <f t="shared" si="55"/>
        <v>Colissimo  Domicile - sans signature -- FR (6A)</v>
      </c>
      <c r="H409" s="2"/>
      <c r="I409" s="2"/>
      <c r="J409" s="2"/>
      <c r="K409" s="2" t="str">
        <f t="shared" si="50"/>
        <v>986737</v>
      </c>
      <c r="L409" s="2" t="str">
        <f>"6,200 kg"</f>
        <v>6,200 kg</v>
      </c>
    </row>
    <row r="410" spans="1:12" x14ac:dyDescent="0.3">
      <c r="A410" s="2" t="str">
        <f>"6A25189957198"</f>
        <v>6A25189957198</v>
      </c>
      <c r="B410" s="2" t="str">
        <f>"6,210 kg"</f>
        <v>6,210 kg</v>
      </c>
      <c r="C410" s="2" t="str">
        <f>"6,200 kg"</f>
        <v>6,200 kg</v>
      </c>
      <c r="D410" s="2" t="str">
        <f>"6,200 kg"</f>
        <v>6,200 kg</v>
      </c>
      <c r="E410" s="2" t="str">
        <f t="shared" si="49"/>
        <v>Domicile</v>
      </c>
      <c r="F410" s="2" t="str">
        <f t="shared" si="54"/>
        <v>6A</v>
      </c>
      <c r="G410" s="2" t="str">
        <f t="shared" si="55"/>
        <v>Colissimo  Domicile - sans signature -- FR (6A)</v>
      </c>
      <c r="H410" s="2"/>
      <c r="I410" s="2"/>
      <c r="J410" s="2"/>
      <c r="K410" s="2" t="str">
        <f t="shared" si="50"/>
        <v>986737</v>
      </c>
      <c r="L410" s="2" t="str">
        <f>"6,200 kg"</f>
        <v>6,200 kg</v>
      </c>
    </row>
    <row r="411" spans="1:12" x14ac:dyDescent="0.3">
      <c r="A411" s="2" t="str">
        <f>"6A25288085747"</f>
        <v>6A25288085747</v>
      </c>
      <c r="B411" s="2" t="str">
        <f>"10,220 kg"</f>
        <v>10,220 kg</v>
      </c>
      <c r="C411" s="2" t="str">
        <f>"10,200 kg"</f>
        <v>10,200 kg</v>
      </c>
      <c r="D411" s="2" t="str">
        <f>"10,200 kg"</f>
        <v>10,200 kg</v>
      </c>
      <c r="E411" s="2" t="str">
        <f t="shared" si="49"/>
        <v>Domicile</v>
      </c>
      <c r="F411" s="2" t="str">
        <f t="shared" si="54"/>
        <v>6A</v>
      </c>
      <c r="G411" s="2" t="str">
        <f t="shared" si="55"/>
        <v>Colissimo  Domicile - sans signature -- FR (6A)</v>
      </c>
      <c r="H411" s="2"/>
      <c r="I411" s="2"/>
      <c r="J411" s="2"/>
      <c r="K411" s="2" t="str">
        <f t="shared" si="50"/>
        <v>986737</v>
      </c>
      <c r="L411" s="2" t="str">
        <f>"10,200 kg"</f>
        <v>10,200 kg</v>
      </c>
    </row>
    <row r="412" spans="1:12" x14ac:dyDescent="0.3">
      <c r="A412" s="2" t="str">
        <f>"6A25291106071"</f>
        <v>6A25291106071</v>
      </c>
      <c r="B412" s="2" t="str">
        <f>"0,710 kg"</f>
        <v>0,710 kg</v>
      </c>
      <c r="C412" s="2" t="str">
        <f>"0,700 kg"</f>
        <v>0,700 kg</v>
      </c>
      <c r="D412" s="2" t="str">
        <f>"0,700 kg"</f>
        <v>0,700 kg</v>
      </c>
      <c r="E412" s="2" t="str">
        <f t="shared" si="49"/>
        <v>Domicile</v>
      </c>
      <c r="F412" s="2" t="str">
        <f t="shared" si="54"/>
        <v>6A</v>
      </c>
      <c r="G412" s="2" t="str">
        <f t="shared" si="55"/>
        <v>Colissimo  Domicile - sans signature -- FR (6A)</v>
      </c>
      <c r="H412" s="2"/>
      <c r="I412" s="2"/>
      <c r="J412" s="2"/>
      <c r="K412" s="2" t="str">
        <f t="shared" si="50"/>
        <v>986737</v>
      </c>
      <c r="L412" s="2" t="str">
        <f>"0,700 kg"</f>
        <v>0,700 kg</v>
      </c>
    </row>
    <row r="413" spans="1:12" x14ac:dyDescent="0.3">
      <c r="A413" s="2" t="str">
        <f>"6A25190448265"</f>
        <v>6A25190448265</v>
      </c>
      <c r="B413" s="2"/>
      <c r="C413" s="2" t="str">
        <f>"4,900 kg"</f>
        <v>4,900 kg</v>
      </c>
      <c r="D413" s="2" t="str">
        <f>"4,900 kg"</f>
        <v>4,900 kg</v>
      </c>
      <c r="E413" s="2" t="str">
        <f t="shared" si="49"/>
        <v>Domicile</v>
      </c>
      <c r="F413" s="2" t="str">
        <f t="shared" si="54"/>
        <v>6A</v>
      </c>
      <c r="G413" s="2" t="str">
        <f t="shared" si="55"/>
        <v>Colissimo  Domicile - sans signature -- FR (6A)</v>
      </c>
      <c r="H413" s="2"/>
      <c r="I413" s="2"/>
      <c r="J413" s="2"/>
      <c r="K413" s="2" t="str">
        <f t="shared" si="50"/>
        <v>986737</v>
      </c>
      <c r="L413" s="2" t="str">
        <f>"4,900 kg"</f>
        <v>4,900 kg</v>
      </c>
    </row>
    <row r="414" spans="1:12" x14ac:dyDescent="0.3">
      <c r="A414" s="2" t="str">
        <f>"6A25291482014"</f>
        <v>6A25291482014</v>
      </c>
      <c r="B414" s="2" t="str">
        <f>"0,710 kg"</f>
        <v>0,710 kg</v>
      </c>
      <c r="C414" s="2" t="str">
        <f>"0,850 kg"</f>
        <v>0,850 kg</v>
      </c>
      <c r="D414" s="2" t="str">
        <f>"0,850 kg"</f>
        <v>0,850 kg</v>
      </c>
      <c r="E414" s="2" t="str">
        <f t="shared" si="49"/>
        <v>Domicile</v>
      </c>
      <c r="F414" s="2" t="str">
        <f t="shared" si="54"/>
        <v>6A</v>
      </c>
      <c r="G414" s="2" t="str">
        <f t="shared" si="55"/>
        <v>Colissimo  Domicile - sans signature -- FR (6A)</v>
      </c>
      <c r="H414" s="2"/>
      <c r="I414" s="2"/>
      <c r="J414" s="2"/>
      <c r="K414" s="2" t="str">
        <f t="shared" si="50"/>
        <v>986737</v>
      </c>
      <c r="L414" s="2" t="str">
        <f>"0,850 kg"</f>
        <v>0,850 kg</v>
      </c>
    </row>
    <row r="415" spans="1:12" x14ac:dyDescent="0.3">
      <c r="A415" s="2" t="str">
        <f>"6C15587191614"</f>
        <v>6C15587191614</v>
      </c>
      <c r="B415" s="2" t="str">
        <f>"4,670 kg"</f>
        <v>4,670 kg</v>
      </c>
      <c r="C415" s="2" t="str">
        <f>"4,680 kg"</f>
        <v>4,680 kg</v>
      </c>
      <c r="D415" s="2" t="str">
        <f>"4,700 kg"</f>
        <v>4,700 kg</v>
      </c>
      <c r="E415" s="2" t="str">
        <f t="shared" si="49"/>
        <v>Domicile</v>
      </c>
      <c r="F415" s="2" t="str">
        <f>"6C"</f>
        <v>6C</v>
      </c>
      <c r="G415" s="2" t="str">
        <f>"Colissimo  Domicile - avec signature -- FR (6C)"</f>
        <v>Colissimo  Domicile - avec signature -- FR (6C)</v>
      </c>
      <c r="H415" s="2"/>
      <c r="I415" s="2"/>
      <c r="J415" s="2"/>
      <c r="K415" s="2" t="str">
        <f t="shared" si="50"/>
        <v>986737</v>
      </c>
      <c r="L415" s="2" t="str">
        <f>"4,700 kg"</f>
        <v>4,700 kg</v>
      </c>
    </row>
    <row r="416" spans="1:12" x14ac:dyDescent="0.3">
      <c r="A416" s="2" t="str">
        <f>"6C15587214856"</f>
        <v>6C15587214856</v>
      </c>
      <c r="B416" s="2" t="str">
        <f>"0,710 kg"</f>
        <v>0,710 kg</v>
      </c>
      <c r="C416" s="2" t="str">
        <f>"0,700 kg"</f>
        <v>0,700 kg</v>
      </c>
      <c r="D416" s="2" t="str">
        <f>"0,700 kg"</f>
        <v>0,700 kg</v>
      </c>
      <c r="E416" s="2" t="str">
        <f t="shared" si="49"/>
        <v>Domicile</v>
      </c>
      <c r="F416" s="2" t="str">
        <f>"6C"</f>
        <v>6C</v>
      </c>
      <c r="G416" s="2" t="str">
        <f>"Colissimo  Domicile - avec signature -- FR (6C)"</f>
        <v>Colissimo  Domicile - avec signature -- FR (6C)</v>
      </c>
      <c r="H416" s="2"/>
      <c r="I416" s="2"/>
      <c r="J416" s="2"/>
      <c r="K416" s="2" t="str">
        <f t="shared" si="50"/>
        <v>986737</v>
      </c>
      <c r="L416" s="2" t="str">
        <f>"0,700 kg"</f>
        <v>0,700 kg</v>
      </c>
    </row>
    <row r="417" spans="1:12" x14ac:dyDescent="0.3">
      <c r="A417" s="2" t="str">
        <f>"6A25233009033"</f>
        <v>6A25233009033</v>
      </c>
      <c r="B417" s="2" t="str">
        <f>"0,710 kg"</f>
        <v>0,710 kg</v>
      </c>
      <c r="C417" s="2" t="str">
        <f>"0,700 kg"</f>
        <v>0,700 kg</v>
      </c>
      <c r="D417" s="2" t="str">
        <f>"0,700 kg"</f>
        <v>0,700 kg</v>
      </c>
      <c r="E417" s="2" t="str">
        <f t="shared" si="49"/>
        <v>Domicile</v>
      </c>
      <c r="F417" s="2" t="str">
        <f>"6A"</f>
        <v>6A</v>
      </c>
      <c r="G417" s="2" t="str">
        <f>"Colissimo  Domicile - sans signature -- FR (6A)"</f>
        <v>Colissimo  Domicile - sans signature -- FR (6A)</v>
      </c>
      <c r="H417" s="2"/>
      <c r="I417" s="2"/>
      <c r="J417" s="2"/>
      <c r="K417" s="2" t="str">
        <f t="shared" si="50"/>
        <v>986737</v>
      </c>
      <c r="L417" s="2" t="str">
        <f>"0,700 kg"</f>
        <v>0,700 kg</v>
      </c>
    </row>
    <row r="418" spans="1:12" x14ac:dyDescent="0.3">
      <c r="A418" s="2" t="str">
        <f>"6C15580294169"</f>
        <v>6C15580294169</v>
      </c>
      <c r="B418" s="2"/>
      <c r="C418" s="2" t="str">
        <f>"0,750 kg"</f>
        <v>0,750 kg</v>
      </c>
      <c r="D418" s="2" t="str">
        <f>"0,750 kg"</f>
        <v>0,750 kg</v>
      </c>
      <c r="E418" s="2" t="str">
        <f t="shared" si="49"/>
        <v>Domicile</v>
      </c>
      <c r="F418" s="2" t="str">
        <f>"6C"</f>
        <v>6C</v>
      </c>
      <c r="G418" s="2" t="str">
        <f>"Colissimo  Domicile - avec signature -- FR (6C)"</f>
        <v>Colissimo  Domicile - avec signature -- FR (6C)</v>
      </c>
      <c r="H418" s="2"/>
      <c r="I418" s="2"/>
      <c r="J418" s="2"/>
      <c r="K418" s="2" t="str">
        <f t="shared" si="50"/>
        <v>986737</v>
      </c>
      <c r="L418" s="2" t="str">
        <f>"0,750 kg"</f>
        <v>0,750 kg</v>
      </c>
    </row>
    <row r="419" spans="1:12" x14ac:dyDescent="0.3">
      <c r="A419" s="2" t="str">
        <f>"6A25291221972"</f>
        <v>6A25291221972</v>
      </c>
      <c r="B419" s="2" t="str">
        <f>"0,710 kg"</f>
        <v>0,710 kg</v>
      </c>
      <c r="C419" s="2" t="str">
        <f>"0,700 kg"</f>
        <v>0,700 kg</v>
      </c>
      <c r="D419" s="2" t="str">
        <f>"0,700 kg"</f>
        <v>0,700 kg</v>
      </c>
      <c r="E419" s="2" t="str">
        <f t="shared" si="49"/>
        <v>Domicile</v>
      </c>
      <c r="F419" s="2" t="str">
        <f>"6A"</f>
        <v>6A</v>
      </c>
      <c r="G419" s="2" t="str">
        <f>"Colissimo  Domicile - sans signature -- FR (6A)"</f>
        <v>Colissimo  Domicile - sans signature -- FR (6A)</v>
      </c>
      <c r="H419" s="2"/>
      <c r="I419" s="2"/>
      <c r="J419" s="2"/>
      <c r="K419" s="2" t="str">
        <f t="shared" si="50"/>
        <v>986737</v>
      </c>
      <c r="L419" s="2" t="str">
        <f>"0,700 kg"</f>
        <v>0,700 kg</v>
      </c>
    </row>
    <row r="420" spans="1:12" x14ac:dyDescent="0.3">
      <c r="A420" s="2" t="str">
        <f>"6C15586591460"</f>
        <v>6C15586591460</v>
      </c>
      <c r="B420" s="2" t="str">
        <f>"5,050 kg"</f>
        <v>5,050 kg</v>
      </c>
      <c r="C420" s="2" t="str">
        <f>"4,700 kg"</f>
        <v>4,700 kg</v>
      </c>
      <c r="D420" s="2" t="str">
        <f>"4,700 kg"</f>
        <v>4,700 kg</v>
      </c>
      <c r="E420" s="2" t="str">
        <f t="shared" si="49"/>
        <v>Domicile</v>
      </c>
      <c r="F420" s="2" t="str">
        <f>"6C"</f>
        <v>6C</v>
      </c>
      <c r="G420" s="2" t="str">
        <f>"Colissimo  Domicile - avec signature -- FR (6C)"</f>
        <v>Colissimo  Domicile - avec signature -- FR (6C)</v>
      </c>
      <c r="H420" s="2"/>
      <c r="I420" s="2"/>
      <c r="J420" s="2"/>
      <c r="K420" s="2" t="str">
        <f t="shared" si="50"/>
        <v>986737</v>
      </c>
      <c r="L420" s="2" t="str">
        <f>"4,700 kg"</f>
        <v>4,700 kg</v>
      </c>
    </row>
    <row r="421" spans="1:12" x14ac:dyDescent="0.3">
      <c r="A421" s="2" t="str">
        <f>"6C15578611558"</f>
        <v>6C15578611558</v>
      </c>
      <c r="B421" s="2"/>
      <c r="C421" s="2" t="str">
        <f>"9,350 kg"</f>
        <v>9,350 kg</v>
      </c>
      <c r="D421" s="2" t="str">
        <f>"9,350 kg"</f>
        <v>9,350 kg</v>
      </c>
      <c r="E421" s="2" t="str">
        <f t="shared" si="49"/>
        <v>Domicile</v>
      </c>
      <c r="F421" s="2" t="str">
        <f>"6C"</f>
        <v>6C</v>
      </c>
      <c r="G421" s="2" t="str">
        <f>"Colissimo  Domicile - avec signature -- FR (6C)"</f>
        <v>Colissimo  Domicile - avec signature -- FR (6C)</v>
      </c>
      <c r="H421" s="2"/>
      <c r="I421" s="2"/>
      <c r="J421" s="2"/>
      <c r="K421" s="2" t="str">
        <f t="shared" si="50"/>
        <v>986737</v>
      </c>
      <c r="L421" s="2" t="str">
        <f>"9,350 kg"</f>
        <v>9,350 kg</v>
      </c>
    </row>
    <row r="422" spans="1:12" x14ac:dyDescent="0.3">
      <c r="A422" s="2" t="str">
        <f>"6C15577896451"</f>
        <v>6C15577896451</v>
      </c>
      <c r="B422" s="2"/>
      <c r="C422" s="2" t="str">
        <f>"0,700 kg"</f>
        <v>0,700 kg</v>
      </c>
      <c r="D422" s="2" t="str">
        <f>"0,700 kg"</f>
        <v>0,700 kg</v>
      </c>
      <c r="E422" s="2" t="str">
        <f t="shared" si="49"/>
        <v>Domicile</v>
      </c>
      <c r="F422" s="2" t="str">
        <f>"6C"</f>
        <v>6C</v>
      </c>
      <c r="G422" s="2" t="str">
        <f>"Colissimo  Domicile - avec signature -- FR (6C)"</f>
        <v>Colissimo  Domicile - avec signature -- FR (6C)</v>
      </c>
      <c r="H422" s="2"/>
      <c r="I422" s="2"/>
      <c r="J422" s="2"/>
      <c r="K422" s="2" t="str">
        <f t="shared" si="50"/>
        <v>986737</v>
      </c>
      <c r="L422" s="2" t="str">
        <f>"0,700 kg"</f>
        <v>0,700 kg</v>
      </c>
    </row>
    <row r="423" spans="1:12" x14ac:dyDescent="0.3">
      <c r="A423" s="2" t="str">
        <f>"6C15579106336"</f>
        <v>6C15579106336</v>
      </c>
      <c r="B423" s="2" t="str">
        <f>"0,650 kg"</f>
        <v>0,650 kg</v>
      </c>
      <c r="C423" s="2" t="str">
        <f>"0,750 kg"</f>
        <v>0,750 kg</v>
      </c>
      <c r="D423" s="2" t="str">
        <f>"0,750 kg"</f>
        <v>0,750 kg</v>
      </c>
      <c r="E423" s="2" t="str">
        <f t="shared" si="49"/>
        <v>Domicile</v>
      </c>
      <c r="F423" s="2" t="str">
        <f>"6C"</f>
        <v>6C</v>
      </c>
      <c r="G423" s="2" t="str">
        <f>"Colissimo  Domicile - avec signature -- FR (6C)"</f>
        <v>Colissimo  Domicile - avec signature -- FR (6C)</v>
      </c>
      <c r="H423" s="2"/>
      <c r="I423" s="2"/>
      <c r="J423" s="2"/>
      <c r="K423" s="2" t="str">
        <f t="shared" si="50"/>
        <v>986737</v>
      </c>
      <c r="L423" s="2" t="str">
        <f>"0,750 kg"</f>
        <v>0,750 kg</v>
      </c>
    </row>
    <row r="424" spans="1:12" x14ac:dyDescent="0.3">
      <c r="A424" s="2" t="str">
        <f>"6A25231405943"</f>
        <v>6A25231405943</v>
      </c>
      <c r="B424" s="2" t="str">
        <f>"0,710 kg"</f>
        <v>0,710 kg</v>
      </c>
      <c r="C424" s="2" t="str">
        <f>"0,690 kg"</f>
        <v>0,690 kg</v>
      </c>
      <c r="D424" s="2" t="str">
        <f>"0,700 kg"</f>
        <v>0,700 kg</v>
      </c>
      <c r="E424" s="2" t="str">
        <f t="shared" si="49"/>
        <v>Domicile</v>
      </c>
      <c r="F424" s="2" t="str">
        <f>"6A"</f>
        <v>6A</v>
      </c>
      <c r="G424" s="2" t="str">
        <f>"Colissimo  Domicile - sans signature -- FR (6A)"</f>
        <v>Colissimo  Domicile - sans signature -- FR (6A)</v>
      </c>
      <c r="H424" s="2"/>
      <c r="I424" s="2"/>
      <c r="J424" s="2"/>
      <c r="K424" s="2" t="str">
        <f t="shared" si="50"/>
        <v>986737</v>
      </c>
      <c r="L424" s="2" t="str">
        <f>"0,700 kg"</f>
        <v>0,700 kg</v>
      </c>
    </row>
    <row r="425" spans="1:12" x14ac:dyDescent="0.3">
      <c r="A425" s="2" t="str">
        <f>"6C15580302437"</f>
        <v>6C15580302437</v>
      </c>
      <c r="B425" s="2" t="str">
        <f>"0,590 kg"</f>
        <v>0,590 kg</v>
      </c>
      <c r="C425" s="2" t="str">
        <f>"0,700 kg"</f>
        <v>0,700 kg</v>
      </c>
      <c r="D425" s="2" t="str">
        <f>"0,700 kg"</f>
        <v>0,700 kg</v>
      </c>
      <c r="E425" s="2" t="str">
        <f t="shared" si="49"/>
        <v>Domicile</v>
      </c>
      <c r="F425" s="2" t="str">
        <f>"6C"</f>
        <v>6C</v>
      </c>
      <c r="G425" s="2" t="str">
        <f>"Colissimo  Domicile - avec signature -- FR (6C)"</f>
        <v>Colissimo  Domicile - avec signature -- FR (6C)</v>
      </c>
      <c r="H425" s="2"/>
      <c r="I425" s="2"/>
      <c r="J425" s="2"/>
      <c r="K425" s="2" t="str">
        <f t="shared" si="50"/>
        <v>986737</v>
      </c>
      <c r="L425" s="2" t="str">
        <f>"0,700 kg"</f>
        <v>0,700 kg</v>
      </c>
    </row>
    <row r="426" spans="1:12" x14ac:dyDescent="0.3">
      <c r="A426" s="2" t="str">
        <f>"6C15577816718"</f>
        <v>6C15577816718</v>
      </c>
      <c r="B426" s="2" t="str">
        <f>"10,590 kg"</f>
        <v>10,590 kg</v>
      </c>
      <c r="C426" s="2" t="str">
        <f>"10,650 kg"</f>
        <v>10,650 kg</v>
      </c>
      <c r="D426" s="2" t="str">
        <f>"10,650 kg"</f>
        <v>10,650 kg</v>
      </c>
      <c r="E426" s="2" t="str">
        <f t="shared" si="49"/>
        <v>Domicile</v>
      </c>
      <c r="F426" s="2" t="str">
        <f>"6C"</f>
        <v>6C</v>
      </c>
      <c r="G426" s="2" t="str">
        <f>"Colissimo  Domicile - avec signature -- FR (6C)"</f>
        <v>Colissimo  Domicile - avec signature -- FR (6C)</v>
      </c>
      <c r="H426" s="2"/>
      <c r="I426" s="2"/>
      <c r="J426" s="2"/>
      <c r="K426" s="2" t="str">
        <f t="shared" si="50"/>
        <v>986737</v>
      </c>
      <c r="L426" s="2" t="str">
        <f>"10,650 kg"</f>
        <v>10,650 kg</v>
      </c>
    </row>
    <row r="427" spans="1:12" x14ac:dyDescent="0.3">
      <c r="A427" s="2" t="str">
        <f>"6A25289682938"</f>
        <v>6A25289682938</v>
      </c>
      <c r="B427" s="2" t="str">
        <f>"10,220 kg"</f>
        <v>10,220 kg</v>
      </c>
      <c r="C427" s="2" t="str">
        <f>"10,150 kg"</f>
        <v>10,150 kg</v>
      </c>
      <c r="D427" s="2" t="str">
        <f>"10,150 kg"</f>
        <v>10,150 kg</v>
      </c>
      <c r="E427" s="2" t="str">
        <f t="shared" si="49"/>
        <v>Domicile</v>
      </c>
      <c r="F427" s="2" t="str">
        <f>"6A"</f>
        <v>6A</v>
      </c>
      <c r="G427" s="2" t="str">
        <f>"Colissimo  Domicile - sans signature -- FR (6A)"</f>
        <v>Colissimo  Domicile - sans signature -- FR (6A)</v>
      </c>
      <c r="H427" s="2"/>
      <c r="I427" s="2"/>
      <c r="J427" s="2"/>
      <c r="K427" s="2" t="str">
        <f t="shared" si="50"/>
        <v>986737</v>
      </c>
      <c r="L427" s="2" t="str">
        <f>"10,150 kg"</f>
        <v>10,150 kg</v>
      </c>
    </row>
    <row r="428" spans="1:12" x14ac:dyDescent="0.3">
      <c r="A428" s="2" t="str">
        <f>"6A25190448418"</f>
        <v>6A25190448418</v>
      </c>
      <c r="B428" s="2" t="str">
        <f>"5,000 kg"</f>
        <v>5,000 kg</v>
      </c>
      <c r="C428" s="2" t="str">
        <f>"4,600 kg"</f>
        <v>4,600 kg</v>
      </c>
      <c r="D428" s="2" t="str">
        <f>"4,600 kg"</f>
        <v>4,600 kg</v>
      </c>
      <c r="E428" s="2" t="str">
        <f t="shared" si="49"/>
        <v>Domicile</v>
      </c>
      <c r="F428" s="2" t="str">
        <f>"6A"</f>
        <v>6A</v>
      </c>
      <c r="G428" s="2" t="str">
        <f>"Colissimo  Domicile - sans signature -- FR (6A)"</f>
        <v>Colissimo  Domicile - sans signature -- FR (6A)</v>
      </c>
      <c r="H428" s="2"/>
      <c r="I428" s="2"/>
      <c r="J428" s="2"/>
      <c r="K428" s="2" t="str">
        <f t="shared" si="50"/>
        <v>986737</v>
      </c>
      <c r="L428" s="2" t="str">
        <f>"4,600 kg"</f>
        <v>4,600 kg</v>
      </c>
    </row>
    <row r="429" spans="1:12" x14ac:dyDescent="0.3">
      <c r="A429" s="2" t="str">
        <f>"6C15580113491"</f>
        <v>6C15580113491</v>
      </c>
      <c r="B429" s="2" t="str">
        <f>"7,580 kg"</f>
        <v>7,580 kg</v>
      </c>
      <c r="C429" s="2" t="str">
        <f>"7,550 kg"</f>
        <v>7,550 kg</v>
      </c>
      <c r="D429" s="2" t="str">
        <f>"7,550 kg"</f>
        <v>7,550 kg</v>
      </c>
      <c r="E429" s="2" t="str">
        <f t="shared" si="49"/>
        <v>Domicile</v>
      </c>
      <c r="F429" s="2" t="str">
        <f>"6C"</f>
        <v>6C</v>
      </c>
      <c r="G429" s="2" t="str">
        <f>"Colissimo  Domicile - avec signature -- FR (6C)"</f>
        <v>Colissimo  Domicile - avec signature -- FR (6C)</v>
      </c>
      <c r="H429" s="2"/>
      <c r="I429" s="2"/>
      <c r="J429" s="2"/>
      <c r="K429" s="2" t="str">
        <f t="shared" si="50"/>
        <v>986737</v>
      </c>
      <c r="L429" s="2" t="str">
        <f>"7,550 kg"</f>
        <v>7,550 kg</v>
      </c>
    </row>
    <row r="430" spans="1:12" x14ac:dyDescent="0.3">
      <c r="A430" s="2" t="str">
        <f>"6A25233222364"</f>
        <v>6A25233222364</v>
      </c>
      <c r="B430" s="2" t="str">
        <f>"10,220 kg"</f>
        <v>10,220 kg</v>
      </c>
      <c r="C430" s="2" t="str">
        <f>"9,850 kg"</f>
        <v>9,850 kg</v>
      </c>
      <c r="D430" s="2" t="str">
        <f>"10,200 kg"</f>
        <v>10,200 kg</v>
      </c>
      <c r="E430" s="2" t="str">
        <f t="shared" si="49"/>
        <v>Domicile</v>
      </c>
      <c r="F430" s="2" t="str">
        <f>"6A"</f>
        <v>6A</v>
      </c>
      <c r="G430" s="2" t="str">
        <f>"Colissimo  Domicile - sans signature -- FR (6A)"</f>
        <v>Colissimo  Domicile - sans signature -- FR (6A)</v>
      </c>
      <c r="H430" s="2"/>
      <c r="I430" s="2"/>
      <c r="J430" s="2"/>
      <c r="K430" s="2" t="str">
        <f t="shared" si="50"/>
        <v>986737</v>
      </c>
      <c r="L430" s="2" t="str">
        <f>"10,200 kg"</f>
        <v>10,200 kg</v>
      </c>
    </row>
    <row r="431" spans="1:12" x14ac:dyDescent="0.3">
      <c r="A431" s="2" t="str">
        <f>"6C15577943780"</f>
        <v>6C15577943780</v>
      </c>
      <c r="B431" s="2"/>
      <c r="C431" s="2" t="str">
        <f>"0,700 kg"</f>
        <v>0,700 kg</v>
      </c>
      <c r="D431" s="2" t="str">
        <f>"0,700 kg"</f>
        <v>0,700 kg</v>
      </c>
      <c r="E431" s="2" t="str">
        <f t="shared" si="49"/>
        <v>Domicile</v>
      </c>
      <c r="F431" s="2" t="str">
        <f t="shared" ref="F431:F440" si="56">"6C"</f>
        <v>6C</v>
      </c>
      <c r="G431" s="2" t="str">
        <f t="shared" ref="G431:G440" si="57">"Colissimo  Domicile - avec signature -- FR (6C)"</f>
        <v>Colissimo  Domicile - avec signature -- FR (6C)</v>
      </c>
      <c r="H431" s="2"/>
      <c r="I431" s="2"/>
      <c r="J431" s="2"/>
      <c r="K431" s="2" t="str">
        <f t="shared" si="50"/>
        <v>986737</v>
      </c>
      <c r="L431" s="2" t="str">
        <f>"0,700 kg"</f>
        <v>0,700 kg</v>
      </c>
    </row>
    <row r="432" spans="1:12" x14ac:dyDescent="0.3">
      <c r="A432" s="2" t="str">
        <f>"6C15636942440"</f>
        <v>6C15636942440</v>
      </c>
      <c r="B432" s="2" t="str">
        <f>"1,620 kg"</f>
        <v>1,620 kg</v>
      </c>
      <c r="C432" s="2" t="str">
        <f>"1,600 kg"</f>
        <v>1,600 kg</v>
      </c>
      <c r="D432" s="2" t="str">
        <f>"1,600 kg"</f>
        <v>1,600 kg</v>
      </c>
      <c r="E432" s="2" t="str">
        <f t="shared" si="49"/>
        <v>Domicile</v>
      </c>
      <c r="F432" s="2" t="str">
        <f t="shared" si="56"/>
        <v>6C</v>
      </c>
      <c r="G432" s="2" t="str">
        <f t="shared" si="57"/>
        <v>Colissimo  Domicile - avec signature -- FR (6C)</v>
      </c>
      <c r="H432" s="2"/>
      <c r="I432" s="2"/>
      <c r="J432" s="2"/>
      <c r="K432" s="2" t="str">
        <f t="shared" si="50"/>
        <v>986737</v>
      </c>
      <c r="L432" s="2" t="str">
        <f>"1,600 kg"</f>
        <v>1,600 kg</v>
      </c>
    </row>
    <row r="433" spans="1:12" x14ac:dyDescent="0.3">
      <c r="A433" s="2" t="str">
        <f>"6C15661103403"</f>
        <v>6C15661103403</v>
      </c>
      <c r="B433" s="2" t="str">
        <f>"4,120 kg"</f>
        <v>4,120 kg</v>
      </c>
      <c r="C433" s="2" t="str">
        <f>"4,100 kg"</f>
        <v>4,100 kg</v>
      </c>
      <c r="D433" s="2" t="str">
        <f>"4,100 kg"</f>
        <v>4,100 kg</v>
      </c>
      <c r="E433" s="2" t="str">
        <f t="shared" si="49"/>
        <v>Domicile</v>
      </c>
      <c r="F433" s="2" t="str">
        <f t="shared" si="56"/>
        <v>6C</v>
      </c>
      <c r="G433" s="2" t="str">
        <f t="shared" si="57"/>
        <v>Colissimo  Domicile - avec signature -- FR (6C)</v>
      </c>
      <c r="H433" s="2"/>
      <c r="I433" s="2"/>
      <c r="J433" s="2"/>
      <c r="K433" s="2" t="str">
        <f t="shared" si="50"/>
        <v>986737</v>
      </c>
      <c r="L433" s="2" t="str">
        <f>"4,100 kg"</f>
        <v>4,100 kg</v>
      </c>
    </row>
    <row r="434" spans="1:12" x14ac:dyDescent="0.3">
      <c r="A434" s="2" t="str">
        <f>"6C15639295017"</f>
        <v>6C15639295017</v>
      </c>
      <c r="B434" s="2" t="str">
        <f>"0,940 kg"</f>
        <v>0,940 kg</v>
      </c>
      <c r="C434" s="2" t="str">
        <f>"0,900 kg"</f>
        <v>0,900 kg</v>
      </c>
      <c r="D434" s="2" t="str">
        <f>"0,900 kg"</f>
        <v>0,900 kg</v>
      </c>
      <c r="E434" s="2" t="str">
        <f t="shared" si="49"/>
        <v>Domicile</v>
      </c>
      <c r="F434" s="2" t="str">
        <f t="shared" si="56"/>
        <v>6C</v>
      </c>
      <c r="G434" s="2" t="str">
        <f t="shared" si="57"/>
        <v>Colissimo  Domicile - avec signature -- FR (6C)</v>
      </c>
      <c r="H434" s="2"/>
      <c r="I434" s="2"/>
      <c r="J434" s="2"/>
      <c r="K434" s="2" t="str">
        <f t="shared" si="50"/>
        <v>986737</v>
      </c>
      <c r="L434" s="2" t="str">
        <f>"0,900 kg"</f>
        <v>0,900 kg</v>
      </c>
    </row>
    <row r="435" spans="1:12" x14ac:dyDescent="0.3">
      <c r="A435" s="2" t="str">
        <f>"6C15640931713"</f>
        <v>6C15640931713</v>
      </c>
      <c r="B435" s="2"/>
      <c r="C435" s="2" t="str">
        <f>"0,060 kg"</f>
        <v>0,060 kg</v>
      </c>
      <c r="D435" s="2" t="str">
        <f>"0,060 kg"</f>
        <v>0,060 kg</v>
      </c>
      <c r="E435" s="2" t="str">
        <f t="shared" si="49"/>
        <v>Domicile</v>
      </c>
      <c r="F435" s="2" t="str">
        <f t="shared" si="56"/>
        <v>6C</v>
      </c>
      <c r="G435" s="2" t="str">
        <f t="shared" si="57"/>
        <v>Colissimo  Domicile - avec signature -- FR (6C)</v>
      </c>
      <c r="H435" s="2"/>
      <c r="I435" s="2"/>
      <c r="J435" s="2"/>
      <c r="K435" s="2" t="str">
        <f t="shared" si="50"/>
        <v>986737</v>
      </c>
      <c r="L435" s="2" t="str">
        <f>"0,060 kg"</f>
        <v>0,060 kg</v>
      </c>
    </row>
    <row r="436" spans="1:12" x14ac:dyDescent="0.3">
      <c r="A436" s="2" t="str">
        <f>"6C15673179021"</f>
        <v>6C15673179021</v>
      </c>
      <c r="B436" s="2" t="str">
        <f>"4,810 kg"</f>
        <v>4,810 kg</v>
      </c>
      <c r="C436" s="2" t="str">
        <f>"4,850 kg"</f>
        <v>4,850 kg</v>
      </c>
      <c r="D436" s="2" t="str">
        <f>"4,850 kg"</f>
        <v>4,850 kg</v>
      </c>
      <c r="E436" s="2" t="str">
        <f t="shared" si="49"/>
        <v>Domicile</v>
      </c>
      <c r="F436" s="2" t="str">
        <f t="shared" si="56"/>
        <v>6C</v>
      </c>
      <c r="G436" s="2" t="str">
        <f t="shared" si="57"/>
        <v>Colissimo  Domicile - avec signature -- FR (6C)</v>
      </c>
      <c r="H436" s="2"/>
      <c r="I436" s="2"/>
      <c r="J436" s="2"/>
      <c r="K436" s="2" t="str">
        <f t="shared" si="50"/>
        <v>986737</v>
      </c>
      <c r="L436" s="2" t="str">
        <f>"4,850 kg"</f>
        <v>4,850 kg</v>
      </c>
    </row>
    <row r="437" spans="1:12" x14ac:dyDescent="0.3">
      <c r="A437" s="2" t="str">
        <f>"6C15637327901"</f>
        <v>6C15637327901</v>
      </c>
      <c r="B437" s="2" t="str">
        <f>"1,840 kg"</f>
        <v>1,840 kg</v>
      </c>
      <c r="C437" s="2" t="str">
        <f>"1,850 kg"</f>
        <v>1,850 kg</v>
      </c>
      <c r="D437" s="2" t="str">
        <f>"1,850 kg"</f>
        <v>1,850 kg</v>
      </c>
      <c r="E437" s="2" t="str">
        <f t="shared" si="49"/>
        <v>Domicile</v>
      </c>
      <c r="F437" s="2" t="str">
        <f t="shared" si="56"/>
        <v>6C</v>
      </c>
      <c r="G437" s="2" t="str">
        <f t="shared" si="57"/>
        <v>Colissimo  Domicile - avec signature -- FR (6C)</v>
      </c>
      <c r="H437" s="2"/>
      <c r="I437" s="2"/>
      <c r="J437" s="2"/>
      <c r="K437" s="2" t="str">
        <f t="shared" si="50"/>
        <v>986737</v>
      </c>
      <c r="L437" s="2" t="str">
        <f>"1,850 kg"</f>
        <v>1,850 kg</v>
      </c>
    </row>
    <row r="438" spans="1:12" x14ac:dyDescent="0.3">
      <c r="A438" s="2" t="str">
        <f>"6C15638095731"</f>
        <v>6C15638095731</v>
      </c>
      <c r="B438" s="2" t="str">
        <f>"0,940 kg"</f>
        <v>0,940 kg</v>
      </c>
      <c r="C438" s="2" t="str">
        <f>"0,850 kg"</f>
        <v>0,850 kg</v>
      </c>
      <c r="D438" s="2" t="str">
        <f>"0,850 kg"</f>
        <v>0,850 kg</v>
      </c>
      <c r="E438" s="2" t="str">
        <f t="shared" si="49"/>
        <v>Domicile</v>
      </c>
      <c r="F438" s="2" t="str">
        <f t="shared" si="56"/>
        <v>6C</v>
      </c>
      <c r="G438" s="2" t="str">
        <f t="shared" si="57"/>
        <v>Colissimo  Domicile - avec signature -- FR (6C)</v>
      </c>
      <c r="H438" s="2"/>
      <c r="I438" s="2"/>
      <c r="J438" s="2"/>
      <c r="K438" s="2" t="str">
        <f t="shared" si="50"/>
        <v>986737</v>
      </c>
      <c r="L438" s="2" t="str">
        <f>"0,850 kg"</f>
        <v>0,850 kg</v>
      </c>
    </row>
    <row r="439" spans="1:12" x14ac:dyDescent="0.3">
      <c r="A439" s="2" t="str">
        <f>"6C15668209825"</f>
        <v>6C15668209825</v>
      </c>
      <c r="B439" s="2"/>
      <c r="C439" s="2" t="str">
        <f>"2,000 kg"</f>
        <v>2,000 kg</v>
      </c>
      <c r="D439" s="2" t="str">
        <f>"2,000 kg"</f>
        <v>2,000 kg</v>
      </c>
      <c r="E439" s="2" t="str">
        <f t="shared" si="49"/>
        <v>Domicile</v>
      </c>
      <c r="F439" s="2" t="str">
        <f t="shared" si="56"/>
        <v>6C</v>
      </c>
      <c r="G439" s="2" t="str">
        <f t="shared" si="57"/>
        <v>Colissimo  Domicile - avec signature -- FR (6C)</v>
      </c>
      <c r="H439" s="2"/>
      <c r="I439" s="2"/>
      <c r="J439" s="2"/>
      <c r="K439" s="2" t="str">
        <f t="shared" si="50"/>
        <v>986737</v>
      </c>
      <c r="L439" s="2" t="str">
        <f>"2,000 kg"</f>
        <v>2,000 kg</v>
      </c>
    </row>
    <row r="440" spans="1:12" x14ac:dyDescent="0.3">
      <c r="A440" s="2" t="str">
        <f>"6C15638289543"</f>
        <v>6C15638289543</v>
      </c>
      <c r="B440" s="2" t="str">
        <f>"5,340 kg"</f>
        <v>5,340 kg</v>
      </c>
      <c r="C440" s="2" t="str">
        <f>"5,340 kg"</f>
        <v>5,340 kg</v>
      </c>
      <c r="D440" s="2" t="str">
        <f>"5,350 kg"</f>
        <v>5,350 kg</v>
      </c>
      <c r="E440" s="2" t="str">
        <f t="shared" si="49"/>
        <v>Domicile</v>
      </c>
      <c r="F440" s="2" t="str">
        <f t="shared" si="56"/>
        <v>6C</v>
      </c>
      <c r="G440" s="2" t="str">
        <f t="shared" si="57"/>
        <v>Colissimo  Domicile - avec signature -- FR (6C)</v>
      </c>
      <c r="H440" s="2"/>
      <c r="I440" s="2"/>
      <c r="J440" s="2"/>
      <c r="K440" s="2" t="str">
        <f t="shared" si="50"/>
        <v>986737</v>
      </c>
      <c r="L440" s="2" t="str">
        <f>"5,350 kg"</f>
        <v>5,350 kg</v>
      </c>
    </row>
    <row r="441" spans="1:12" x14ac:dyDescent="0.3">
      <c r="A441" s="2" t="str">
        <f>"6A25609541976"</f>
        <v>6A25609541976</v>
      </c>
      <c r="B441" s="2" t="str">
        <f>"7,550 kg"</f>
        <v>7,550 kg</v>
      </c>
      <c r="C441" s="2" t="str">
        <f>"7,490 kg"</f>
        <v>7,490 kg</v>
      </c>
      <c r="D441" s="2" t="str">
        <f>"7,500 kg"</f>
        <v>7,500 kg</v>
      </c>
      <c r="E441" s="2" t="str">
        <f t="shared" si="49"/>
        <v>Domicile</v>
      </c>
      <c r="F441" s="2" t="str">
        <f>"6A"</f>
        <v>6A</v>
      </c>
      <c r="G441" s="2" t="str">
        <f>"Colissimo  Domicile - sans signature -- FR (6A)"</f>
        <v>Colissimo  Domicile - sans signature -- FR (6A)</v>
      </c>
      <c r="H441" s="2"/>
      <c r="I441" s="2"/>
      <c r="J441" s="2"/>
      <c r="K441" s="2" t="str">
        <f t="shared" si="50"/>
        <v>986737</v>
      </c>
      <c r="L441" s="2" t="str">
        <f>"7,500 kg"</f>
        <v>7,500 kg</v>
      </c>
    </row>
    <row r="442" spans="1:12" x14ac:dyDescent="0.3">
      <c r="A442" s="2" t="str">
        <f>"6C15638141148"</f>
        <v>6C15638141148</v>
      </c>
      <c r="B442" s="2" t="str">
        <f>"1,860 kg"</f>
        <v>1,860 kg</v>
      </c>
      <c r="C442" s="2" t="str">
        <f>"1,860 kg"</f>
        <v>1,860 kg</v>
      </c>
      <c r="D442" s="2" t="str">
        <f>"1,900 kg"</f>
        <v>1,900 kg</v>
      </c>
      <c r="E442" s="2" t="str">
        <f t="shared" si="49"/>
        <v>Domicile</v>
      </c>
      <c r="F442" s="2" t="str">
        <f t="shared" ref="F442:F449" si="58">"6C"</f>
        <v>6C</v>
      </c>
      <c r="G442" s="2" t="str">
        <f t="shared" ref="G442:G449" si="59">"Colissimo  Domicile - avec signature -- FR (6C)"</f>
        <v>Colissimo  Domicile - avec signature -- FR (6C)</v>
      </c>
      <c r="H442" s="2"/>
      <c r="I442" s="2"/>
      <c r="J442" s="2"/>
      <c r="K442" s="2" t="str">
        <f t="shared" si="50"/>
        <v>986737</v>
      </c>
      <c r="L442" s="2" t="str">
        <f>"1,900 kg"</f>
        <v>1,900 kg</v>
      </c>
    </row>
    <row r="443" spans="1:12" x14ac:dyDescent="0.3">
      <c r="A443" s="2" t="str">
        <f>"6C15715251951"</f>
        <v>6C15715251951</v>
      </c>
      <c r="B443" s="2" t="str">
        <f>"1,340 kg"</f>
        <v>1,340 kg</v>
      </c>
      <c r="C443" s="2" t="str">
        <f>"1,340 kg"</f>
        <v>1,340 kg</v>
      </c>
      <c r="D443" s="2" t="str">
        <f>"1,350 kg"</f>
        <v>1,350 kg</v>
      </c>
      <c r="E443" s="2" t="str">
        <f t="shared" si="49"/>
        <v>Domicile</v>
      </c>
      <c r="F443" s="2" t="str">
        <f t="shared" si="58"/>
        <v>6C</v>
      </c>
      <c r="G443" s="2" t="str">
        <f t="shared" si="59"/>
        <v>Colissimo  Domicile - avec signature -- FR (6C)</v>
      </c>
      <c r="H443" s="2"/>
      <c r="I443" s="2"/>
      <c r="J443" s="2"/>
      <c r="K443" s="2" t="str">
        <f t="shared" si="50"/>
        <v>986737</v>
      </c>
      <c r="L443" s="2" t="str">
        <f>"1,350 kg"</f>
        <v>1,350 kg</v>
      </c>
    </row>
    <row r="444" spans="1:12" x14ac:dyDescent="0.3">
      <c r="A444" s="2" t="str">
        <f>"6C15747407494"</f>
        <v>6C15747407494</v>
      </c>
      <c r="B444" s="2" t="str">
        <f>"5,740 kg"</f>
        <v>5,740 kg</v>
      </c>
      <c r="C444" s="2" t="str">
        <f>"5,750 kg"</f>
        <v>5,750 kg</v>
      </c>
      <c r="D444" s="2" t="str">
        <f>"5,750 kg"</f>
        <v>5,750 kg</v>
      </c>
      <c r="E444" s="2" t="str">
        <f t="shared" si="49"/>
        <v>Domicile</v>
      </c>
      <c r="F444" s="2" t="str">
        <f t="shared" si="58"/>
        <v>6C</v>
      </c>
      <c r="G444" s="2" t="str">
        <f t="shared" si="59"/>
        <v>Colissimo  Domicile - avec signature -- FR (6C)</v>
      </c>
      <c r="H444" s="2"/>
      <c r="I444" s="2"/>
      <c r="J444" s="2"/>
      <c r="K444" s="2" t="str">
        <f t="shared" si="50"/>
        <v>986737</v>
      </c>
      <c r="L444" s="2" t="str">
        <f>"5,750 kg"</f>
        <v>5,750 kg</v>
      </c>
    </row>
    <row r="445" spans="1:12" x14ac:dyDescent="0.3">
      <c r="A445" s="2" t="str">
        <f>"6C15738358002"</f>
        <v>6C15738358002</v>
      </c>
      <c r="B445" s="2"/>
      <c r="C445" s="2" t="str">
        <f>"4,750 kg"</f>
        <v>4,750 kg</v>
      </c>
      <c r="D445" s="2" t="str">
        <f>"4,750 kg"</f>
        <v>4,750 kg</v>
      </c>
      <c r="E445" s="2" t="str">
        <f t="shared" si="49"/>
        <v>Domicile</v>
      </c>
      <c r="F445" s="2" t="str">
        <f t="shared" si="58"/>
        <v>6C</v>
      </c>
      <c r="G445" s="2" t="str">
        <f t="shared" si="59"/>
        <v>Colissimo  Domicile - avec signature -- FR (6C)</v>
      </c>
      <c r="H445" s="2"/>
      <c r="I445" s="2"/>
      <c r="J445" s="2"/>
      <c r="K445" s="2" t="str">
        <f t="shared" si="50"/>
        <v>986737</v>
      </c>
      <c r="L445" s="2" t="str">
        <f>"4,750 kg"</f>
        <v>4,750 kg</v>
      </c>
    </row>
    <row r="446" spans="1:12" x14ac:dyDescent="0.3">
      <c r="A446" s="2" t="str">
        <f>"6C15728824906"</f>
        <v>6C15728824906</v>
      </c>
      <c r="B446" s="2" t="str">
        <f>"6,430 kg"</f>
        <v>6,430 kg</v>
      </c>
      <c r="C446" s="2" t="str">
        <f>"4,100 kg"</f>
        <v>4,100 kg</v>
      </c>
      <c r="D446" s="2" t="str">
        <f>"4,100 kg"</f>
        <v>4,100 kg</v>
      </c>
      <c r="E446" s="2" t="str">
        <f t="shared" si="49"/>
        <v>Domicile</v>
      </c>
      <c r="F446" s="2" t="str">
        <f t="shared" si="58"/>
        <v>6C</v>
      </c>
      <c r="G446" s="2" t="str">
        <f t="shared" si="59"/>
        <v>Colissimo  Domicile - avec signature -- FR (6C)</v>
      </c>
      <c r="H446" s="2"/>
      <c r="I446" s="2"/>
      <c r="J446" s="2"/>
      <c r="K446" s="2" t="str">
        <f t="shared" si="50"/>
        <v>986737</v>
      </c>
      <c r="L446" s="2" t="str">
        <f>"4,100 kg"</f>
        <v>4,100 kg</v>
      </c>
    </row>
    <row r="447" spans="1:12" x14ac:dyDescent="0.3">
      <c r="A447" s="2" t="str">
        <f>"6C15688537038"</f>
        <v>6C15688537038</v>
      </c>
      <c r="B447" s="2"/>
      <c r="C447" s="2" t="str">
        <f>"1,700 kg"</f>
        <v>1,700 kg</v>
      </c>
      <c r="D447" s="2" t="str">
        <f>"1,750 kg"</f>
        <v>1,750 kg</v>
      </c>
      <c r="E447" s="2" t="str">
        <f t="shared" si="49"/>
        <v>Domicile</v>
      </c>
      <c r="F447" s="2" t="str">
        <f t="shared" si="58"/>
        <v>6C</v>
      </c>
      <c r="G447" s="2" t="str">
        <f t="shared" si="59"/>
        <v>Colissimo  Domicile - avec signature -- FR (6C)</v>
      </c>
      <c r="H447" s="2"/>
      <c r="I447" s="2"/>
      <c r="J447" s="2"/>
      <c r="K447" s="2" t="str">
        <f t="shared" si="50"/>
        <v>986737</v>
      </c>
      <c r="L447" s="2" t="str">
        <f>"1,750 kg"</f>
        <v>1,750 kg</v>
      </c>
    </row>
    <row r="448" spans="1:12" x14ac:dyDescent="0.3">
      <c r="A448" s="2" t="str">
        <f>"6C15714668279"</f>
        <v>6C15714668279</v>
      </c>
      <c r="B448" s="2"/>
      <c r="C448" s="2" t="str">
        <f>"3,050 kg"</f>
        <v>3,050 kg</v>
      </c>
      <c r="D448" s="2" t="str">
        <f>"3,050 kg"</f>
        <v>3,050 kg</v>
      </c>
      <c r="E448" s="2" t="str">
        <f t="shared" si="49"/>
        <v>Domicile</v>
      </c>
      <c r="F448" s="2" t="str">
        <f t="shared" si="58"/>
        <v>6C</v>
      </c>
      <c r="G448" s="2" t="str">
        <f t="shared" si="59"/>
        <v>Colissimo  Domicile - avec signature -- FR (6C)</v>
      </c>
      <c r="H448" s="2"/>
      <c r="I448" s="2"/>
      <c r="J448" s="2"/>
      <c r="K448" s="2" t="str">
        <f t="shared" si="50"/>
        <v>986737</v>
      </c>
      <c r="L448" s="2" t="str">
        <f>"3,050 kg"</f>
        <v>3,050 kg</v>
      </c>
    </row>
    <row r="449" spans="1:12" x14ac:dyDescent="0.3">
      <c r="A449" s="2" t="str">
        <f>"6C15714633871"</f>
        <v>6C15714633871</v>
      </c>
      <c r="B449" s="2"/>
      <c r="C449" s="2" t="str">
        <f>"9,040 kg"</f>
        <v>9,040 kg</v>
      </c>
      <c r="D449" s="2" t="str">
        <f>"9,050 kg"</f>
        <v>9,050 kg</v>
      </c>
      <c r="E449" s="2" t="str">
        <f t="shared" si="49"/>
        <v>Domicile</v>
      </c>
      <c r="F449" s="2" t="str">
        <f t="shared" si="58"/>
        <v>6C</v>
      </c>
      <c r="G449" s="2" t="str">
        <f t="shared" si="59"/>
        <v>Colissimo  Domicile - avec signature -- FR (6C)</v>
      </c>
      <c r="H449" s="2"/>
      <c r="I449" s="2"/>
      <c r="J449" s="2"/>
      <c r="K449" s="2" t="str">
        <f t="shared" si="50"/>
        <v>986737</v>
      </c>
      <c r="L449" s="2" t="str">
        <f>"9,050 kg"</f>
        <v>9,050 kg</v>
      </c>
    </row>
    <row r="450" spans="1:12" x14ac:dyDescent="0.3">
      <c r="A450" s="2" t="str">
        <f>"6A25938372197"</f>
        <v>6A25938372197</v>
      </c>
      <c r="B450" s="2" t="str">
        <f>"3,640 kg"</f>
        <v>3,640 kg</v>
      </c>
      <c r="C450" s="2" t="str">
        <f>"3,650 kg"</f>
        <v>3,650 kg</v>
      </c>
      <c r="D450" s="2" t="str">
        <f>"3,650 kg"</f>
        <v>3,650 kg</v>
      </c>
      <c r="E450" s="2" t="str">
        <f t="shared" ref="E450:E501" si="60">"Domicile"</f>
        <v>Domicile</v>
      </c>
      <c r="F450" s="2" t="str">
        <f>"6A"</f>
        <v>6A</v>
      </c>
      <c r="G450" s="2" t="str">
        <f>"Colissimo  Domicile - sans signature -- FR (6A)"</f>
        <v>Colissimo  Domicile - sans signature -- FR (6A)</v>
      </c>
      <c r="H450" s="2"/>
      <c r="I450" s="2"/>
      <c r="J450" s="2"/>
      <c r="K450" s="2" t="str">
        <f t="shared" ref="K450:K501" si="61">"986737"</f>
        <v>986737</v>
      </c>
      <c r="L450" s="2" t="str">
        <f>"3,650 kg"</f>
        <v>3,650 kg</v>
      </c>
    </row>
    <row r="451" spans="1:12" x14ac:dyDescent="0.3">
      <c r="A451" s="2" t="str">
        <f>"6C15705330246"</f>
        <v>6C15705330246</v>
      </c>
      <c r="B451" s="2" t="str">
        <f>"1,850 kg"</f>
        <v>1,850 kg</v>
      </c>
      <c r="C451" s="2" t="str">
        <f>"1,850 kg"</f>
        <v>1,850 kg</v>
      </c>
      <c r="D451" s="2" t="str">
        <f>"1,850 kg"</f>
        <v>1,850 kg</v>
      </c>
      <c r="E451" s="2" t="str">
        <f t="shared" si="60"/>
        <v>Domicile</v>
      </c>
      <c r="F451" s="2" t="str">
        <f>"6C"</f>
        <v>6C</v>
      </c>
      <c r="G451" s="2" t="str">
        <f>"Colissimo  Domicile - avec signature -- FR (6C)"</f>
        <v>Colissimo  Domicile - avec signature -- FR (6C)</v>
      </c>
      <c r="H451" s="2"/>
      <c r="I451" s="2"/>
      <c r="J451" s="2"/>
      <c r="K451" s="2" t="str">
        <f t="shared" si="61"/>
        <v>986737</v>
      </c>
      <c r="L451" s="2" t="str">
        <f>"1,850 kg"</f>
        <v>1,850 kg</v>
      </c>
    </row>
    <row r="452" spans="1:12" x14ac:dyDescent="0.3">
      <c r="A452" s="2" t="str">
        <f>"6C15714668163"</f>
        <v>6C15714668163</v>
      </c>
      <c r="B452" s="2" t="str">
        <f>"2,900 kg"</f>
        <v>2,900 kg</v>
      </c>
      <c r="C452" s="2" t="str">
        <f>"2,950 kg"</f>
        <v>2,950 kg</v>
      </c>
      <c r="D452" s="2" t="str">
        <f>"2,950 kg"</f>
        <v>2,950 kg</v>
      </c>
      <c r="E452" s="2" t="str">
        <f t="shared" si="60"/>
        <v>Domicile</v>
      </c>
      <c r="F452" s="2" t="str">
        <f>"6C"</f>
        <v>6C</v>
      </c>
      <c r="G452" s="2" t="str">
        <f>"Colissimo  Domicile - avec signature -- FR (6C)"</f>
        <v>Colissimo  Domicile - avec signature -- FR (6C)</v>
      </c>
      <c r="H452" s="2"/>
      <c r="I452" s="2"/>
      <c r="J452" s="2" t="str">
        <f>"LIMOGES UZURAT PPDC"</f>
        <v>LIMOGES UZURAT PPDC</v>
      </c>
      <c r="K452" s="2" t="str">
        <f t="shared" si="61"/>
        <v>986737</v>
      </c>
      <c r="L452" s="2" t="str">
        <f>"2,950 kg"</f>
        <v>2,950 kg</v>
      </c>
    </row>
    <row r="453" spans="1:12" x14ac:dyDescent="0.3">
      <c r="A453" s="2" t="str">
        <f>"6C15714052146"</f>
        <v>6C15714052146</v>
      </c>
      <c r="B453" s="2" t="str">
        <f>"1,340 kg"</f>
        <v>1,340 kg</v>
      </c>
      <c r="C453" s="2" t="str">
        <f>"1,350 kg"</f>
        <v>1,350 kg</v>
      </c>
      <c r="D453" s="2" t="str">
        <f>"1,350 kg"</f>
        <v>1,350 kg</v>
      </c>
      <c r="E453" s="2" t="str">
        <f t="shared" si="60"/>
        <v>Domicile</v>
      </c>
      <c r="F453" s="2" t="str">
        <f>"6C"</f>
        <v>6C</v>
      </c>
      <c r="G453" s="2" t="str">
        <f>"Colissimo  Domicile - avec signature -- FR (6C)"</f>
        <v>Colissimo  Domicile - avec signature -- FR (6C)</v>
      </c>
      <c r="H453" s="2"/>
      <c r="I453" s="2"/>
      <c r="J453" s="2"/>
      <c r="K453" s="2" t="str">
        <f t="shared" si="61"/>
        <v>986737</v>
      </c>
      <c r="L453" s="2" t="str">
        <f>"1,350 kg"</f>
        <v>1,350 kg</v>
      </c>
    </row>
    <row r="454" spans="1:12" x14ac:dyDescent="0.3">
      <c r="A454" s="2" t="str">
        <f>"6C15715474190"</f>
        <v>6C15715474190</v>
      </c>
      <c r="B454" s="2" t="str">
        <f>"5,550 kg"</f>
        <v>5,550 kg</v>
      </c>
      <c r="C454" s="2" t="str">
        <f>"5,550 kg"</f>
        <v>5,550 kg</v>
      </c>
      <c r="D454" s="2" t="str">
        <f>"5,550 kg"</f>
        <v>5,550 kg</v>
      </c>
      <c r="E454" s="2" t="str">
        <f t="shared" si="60"/>
        <v>Domicile</v>
      </c>
      <c r="F454" s="2" t="str">
        <f>"6C"</f>
        <v>6C</v>
      </c>
      <c r="G454" s="2" t="str">
        <f>"Colissimo  Domicile - avec signature -- FR (6C)"</f>
        <v>Colissimo  Domicile - avec signature -- FR (6C)</v>
      </c>
      <c r="H454" s="2"/>
      <c r="I454" s="2"/>
      <c r="J454" s="2"/>
      <c r="K454" s="2" t="str">
        <f t="shared" si="61"/>
        <v>986737</v>
      </c>
      <c r="L454" s="2" t="str">
        <f>"5,550 kg"</f>
        <v>5,550 kg</v>
      </c>
    </row>
    <row r="455" spans="1:12" x14ac:dyDescent="0.3">
      <c r="A455" s="2" t="str">
        <f>"6C15714663212"</f>
        <v>6C15714663212</v>
      </c>
      <c r="B455" s="2" t="str">
        <f>"1,860 kg"</f>
        <v>1,860 kg</v>
      </c>
      <c r="C455" s="2" t="str">
        <f>"1,850 kg"</f>
        <v>1,850 kg</v>
      </c>
      <c r="D455" s="2" t="str">
        <f>"1,850 kg"</f>
        <v>1,850 kg</v>
      </c>
      <c r="E455" s="2" t="str">
        <f t="shared" si="60"/>
        <v>Domicile</v>
      </c>
      <c r="F455" s="2" t="str">
        <f>"6C"</f>
        <v>6C</v>
      </c>
      <c r="G455" s="2" t="str">
        <f>"Colissimo  Domicile - avec signature -- FR (6C)"</f>
        <v>Colissimo  Domicile - avec signature -- FR (6C)</v>
      </c>
      <c r="H455" s="2"/>
      <c r="I455" s="2"/>
      <c r="J455" s="2"/>
      <c r="K455" s="2" t="str">
        <f t="shared" si="61"/>
        <v>986737</v>
      </c>
      <c r="L455" s="2" t="str">
        <f>"1,850 kg"</f>
        <v>1,850 kg</v>
      </c>
    </row>
    <row r="456" spans="1:12" x14ac:dyDescent="0.3">
      <c r="A456" s="2" t="str">
        <f>"6A25938372012"</f>
        <v>6A25938372012</v>
      </c>
      <c r="B456" s="2" t="str">
        <f>"3,640 kg"</f>
        <v>3,640 kg</v>
      </c>
      <c r="C456" s="2" t="str">
        <f>"3,700 kg"</f>
        <v>3,700 kg</v>
      </c>
      <c r="D456" s="2" t="str">
        <f>"3,700 kg"</f>
        <v>3,700 kg</v>
      </c>
      <c r="E456" s="2" t="str">
        <f t="shared" si="60"/>
        <v>Domicile</v>
      </c>
      <c r="F456" s="2" t="str">
        <f>"6A"</f>
        <v>6A</v>
      </c>
      <c r="G456" s="2" t="str">
        <f>"Colissimo  Domicile - sans signature -- FR (6A)"</f>
        <v>Colissimo  Domicile - sans signature -- FR (6A)</v>
      </c>
      <c r="H456" s="2"/>
      <c r="I456" s="2"/>
      <c r="J456" s="2"/>
      <c r="K456" s="2" t="str">
        <f t="shared" si="61"/>
        <v>986737</v>
      </c>
      <c r="L456" s="2" t="str">
        <f>"3,700 kg"</f>
        <v>3,700 kg</v>
      </c>
    </row>
    <row r="457" spans="1:12" x14ac:dyDescent="0.3">
      <c r="A457" s="2" t="str">
        <f>"6C15838358032"</f>
        <v>6C15838358032</v>
      </c>
      <c r="B457" s="2" t="str">
        <f>"2,980 kg"</f>
        <v>2,980 kg</v>
      </c>
      <c r="C457" s="2" t="str">
        <f>"2,980 kg"</f>
        <v>2,980 kg</v>
      </c>
      <c r="D457" s="2" t="str">
        <f>"3,000 kg"</f>
        <v>3,000 kg</v>
      </c>
      <c r="E457" s="2" t="str">
        <f t="shared" si="60"/>
        <v>Domicile</v>
      </c>
      <c r="F457" s="2" t="str">
        <f t="shared" ref="F457:F464" si="62">"6C"</f>
        <v>6C</v>
      </c>
      <c r="G457" s="2" t="str">
        <f t="shared" ref="G457:G464" si="63">"Colissimo  Domicile - avec signature -- FR (6C)"</f>
        <v>Colissimo  Domicile - avec signature -- FR (6C)</v>
      </c>
      <c r="H457" s="2"/>
      <c r="I457" s="2"/>
      <c r="J457" s="2"/>
      <c r="K457" s="2" t="str">
        <f t="shared" si="61"/>
        <v>986737</v>
      </c>
      <c r="L457" s="2" t="str">
        <f>"3,000 kg"</f>
        <v>3,000 kg</v>
      </c>
    </row>
    <row r="458" spans="1:12" x14ac:dyDescent="0.3">
      <c r="A458" s="2" t="str">
        <f>"6C15758003173"</f>
        <v>6C15758003173</v>
      </c>
      <c r="B458" s="2"/>
      <c r="C458" s="2" t="str">
        <f>"1,740 kg"</f>
        <v>1,740 kg</v>
      </c>
      <c r="D458" s="2" t="str">
        <f>"1,750 kg"</f>
        <v>1,750 kg</v>
      </c>
      <c r="E458" s="2" t="str">
        <f t="shared" si="60"/>
        <v>Domicile</v>
      </c>
      <c r="F458" s="2" t="str">
        <f t="shared" si="62"/>
        <v>6C</v>
      </c>
      <c r="G458" s="2" t="str">
        <f t="shared" si="63"/>
        <v>Colissimo  Domicile - avec signature -- FR (6C)</v>
      </c>
      <c r="H458" s="2"/>
      <c r="I458" s="2"/>
      <c r="J458" s="2"/>
      <c r="K458" s="2" t="str">
        <f t="shared" si="61"/>
        <v>986737</v>
      </c>
      <c r="L458" s="2" t="str">
        <f>"1,750 kg"</f>
        <v>1,750 kg</v>
      </c>
    </row>
    <row r="459" spans="1:12" x14ac:dyDescent="0.3">
      <c r="A459" s="2" t="str">
        <f>"6C15794861133"</f>
        <v>6C15794861133</v>
      </c>
      <c r="B459" s="2" t="str">
        <f>"1,180 kg"</f>
        <v>1,180 kg</v>
      </c>
      <c r="C459" s="2" t="str">
        <f>"1,180 kg"</f>
        <v>1,180 kg</v>
      </c>
      <c r="D459" s="2" t="str">
        <f>"1,200 kg"</f>
        <v>1,200 kg</v>
      </c>
      <c r="E459" s="2" t="str">
        <f t="shared" si="60"/>
        <v>Domicile</v>
      </c>
      <c r="F459" s="2" t="str">
        <f t="shared" si="62"/>
        <v>6C</v>
      </c>
      <c r="G459" s="2" t="str">
        <f t="shared" si="63"/>
        <v>Colissimo  Domicile - avec signature -- FR (6C)</v>
      </c>
      <c r="H459" s="2"/>
      <c r="I459" s="2"/>
      <c r="J459" s="2"/>
      <c r="K459" s="2" t="str">
        <f t="shared" si="61"/>
        <v>986737</v>
      </c>
      <c r="L459" s="2" t="str">
        <f>"1,200 kg"</f>
        <v>1,200 kg</v>
      </c>
    </row>
    <row r="460" spans="1:12" x14ac:dyDescent="0.3">
      <c r="A460" s="2" t="str">
        <f>"6C15776796842"</f>
        <v>6C15776796842</v>
      </c>
      <c r="B460" s="2" t="str">
        <f>"1,860 kg"</f>
        <v>1,860 kg</v>
      </c>
      <c r="C460" s="2" t="str">
        <f>"1,830 kg"</f>
        <v>1,830 kg</v>
      </c>
      <c r="D460" s="2" t="str">
        <f>"1,850 kg"</f>
        <v>1,850 kg</v>
      </c>
      <c r="E460" s="2" t="str">
        <f t="shared" si="60"/>
        <v>Domicile</v>
      </c>
      <c r="F460" s="2" t="str">
        <f t="shared" si="62"/>
        <v>6C</v>
      </c>
      <c r="G460" s="2" t="str">
        <f t="shared" si="63"/>
        <v>Colissimo  Domicile - avec signature -- FR (6C)</v>
      </c>
      <c r="H460" s="2"/>
      <c r="I460" s="2"/>
      <c r="J460" s="2"/>
      <c r="K460" s="2" t="str">
        <f t="shared" si="61"/>
        <v>986737</v>
      </c>
      <c r="L460" s="2" t="str">
        <f>"1,850 kg"</f>
        <v>1,850 kg</v>
      </c>
    </row>
    <row r="461" spans="1:12" x14ac:dyDescent="0.3">
      <c r="A461" s="2" t="str">
        <f>"6C15840996253"</f>
        <v>6C15840996253</v>
      </c>
      <c r="B461" s="2" t="str">
        <f>"1,670 kg"</f>
        <v>1,670 kg</v>
      </c>
      <c r="C461" s="2" t="str">
        <f>"1,700 kg"</f>
        <v>1,700 kg</v>
      </c>
      <c r="D461" s="2" t="str">
        <f>"1,700 kg"</f>
        <v>1,700 kg</v>
      </c>
      <c r="E461" s="2" t="str">
        <f t="shared" si="60"/>
        <v>Domicile</v>
      </c>
      <c r="F461" s="2" t="str">
        <f t="shared" si="62"/>
        <v>6C</v>
      </c>
      <c r="G461" s="2" t="str">
        <f t="shared" si="63"/>
        <v>Colissimo  Domicile - avec signature -- FR (6C)</v>
      </c>
      <c r="H461" s="2"/>
      <c r="I461" s="2"/>
      <c r="J461" s="2"/>
      <c r="K461" s="2" t="str">
        <f t="shared" si="61"/>
        <v>986737</v>
      </c>
      <c r="L461" s="2" t="str">
        <f>"1,700 kg"</f>
        <v>1,700 kg</v>
      </c>
    </row>
    <row r="462" spans="1:12" x14ac:dyDescent="0.3">
      <c r="A462" s="2" t="str">
        <f>"6C15797801938"</f>
        <v>6C15797801938</v>
      </c>
      <c r="B462" s="2" t="str">
        <f>"1,880 kg"</f>
        <v>1,880 kg</v>
      </c>
      <c r="C462" s="2" t="str">
        <f>"1,880 kg"</f>
        <v>1,880 kg</v>
      </c>
      <c r="D462" s="2" t="str">
        <f>"1,900 kg"</f>
        <v>1,900 kg</v>
      </c>
      <c r="E462" s="2" t="str">
        <f t="shared" si="60"/>
        <v>Domicile</v>
      </c>
      <c r="F462" s="2" t="str">
        <f t="shared" si="62"/>
        <v>6C</v>
      </c>
      <c r="G462" s="2" t="str">
        <f t="shared" si="63"/>
        <v>Colissimo  Domicile - avec signature -- FR (6C)</v>
      </c>
      <c r="H462" s="2"/>
      <c r="I462" s="2"/>
      <c r="J462" s="2"/>
      <c r="K462" s="2" t="str">
        <f t="shared" si="61"/>
        <v>986737</v>
      </c>
      <c r="L462" s="2" t="str">
        <f>"1,900 kg"</f>
        <v>1,900 kg</v>
      </c>
    </row>
    <row r="463" spans="1:12" x14ac:dyDescent="0.3">
      <c r="A463" s="2" t="str">
        <f>"6C15759772870"</f>
        <v>6C15759772870</v>
      </c>
      <c r="B463" s="2" t="str">
        <f>"13,070 kg"</f>
        <v>13,070 kg</v>
      </c>
      <c r="C463" s="2" t="str">
        <f>"13,050 kg"</f>
        <v>13,050 kg</v>
      </c>
      <c r="D463" s="2" t="str">
        <f>"13,050 kg"</f>
        <v>13,050 kg</v>
      </c>
      <c r="E463" s="2" t="str">
        <f t="shared" si="60"/>
        <v>Domicile</v>
      </c>
      <c r="F463" s="2" t="str">
        <f t="shared" si="62"/>
        <v>6C</v>
      </c>
      <c r="G463" s="2" t="str">
        <f t="shared" si="63"/>
        <v>Colissimo  Domicile - avec signature -- FR (6C)</v>
      </c>
      <c r="H463" s="2"/>
      <c r="I463" s="2"/>
      <c r="J463" s="2"/>
      <c r="K463" s="2" t="str">
        <f t="shared" si="61"/>
        <v>986737</v>
      </c>
      <c r="L463" s="2" t="str">
        <f>"13,050 kg"</f>
        <v>13,050 kg</v>
      </c>
    </row>
    <row r="464" spans="1:12" x14ac:dyDescent="0.3">
      <c r="A464" s="2" t="str">
        <f>"6C15788264322"</f>
        <v>6C15788264322</v>
      </c>
      <c r="B464" s="2"/>
      <c r="C464" s="2" t="str">
        <f>"0,200 kg"</f>
        <v>0,200 kg</v>
      </c>
      <c r="D464" s="2" t="str">
        <f>"0,200 kg"</f>
        <v>0,200 kg</v>
      </c>
      <c r="E464" s="2" t="str">
        <f t="shared" si="60"/>
        <v>Domicile</v>
      </c>
      <c r="F464" s="2" t="str">
        <f t="shared" si="62"/>
        <v>6C</v>
      </c>
      <c r="G464" s="2" t="str">
        <f t="shared" si="63"/>
        <v>Colissimo  Domicile - avec signature -- FR (6C)</v>
      </c>
      <c r="H464" s="2"/>
      <c r="I464" s="2"/>
      <c r="J464" s="2"/>
      <c r="K464" s="2" t="str">
        <f t="shared" si="61"/>
        <v>986737</v>
      </c>
      <c r="L464" s="2" t="str">
        <f>"0,200 kg"</f>
        <v>0,200 kg</v>
      </c>
    </row>
    <row r="465" spans="1:12" x14ac:dyDescent="0.3">
      <c r="A465" s="2" t="str">
        <f>"6A26093042321"</f>
        <v>6A26093042321</v>
      </c>
      <c r="B465" s="2" t="str">
        <f>"4,250 kg"</f>
        <v>4,250 kg</v>
      </c>
      <c r="C465" s="2" t="str">
        <f>"4,200 kg"</f>
        <v>4,200 kg</v>
      </c>
      <c r="D465" s="2" t="str">
        <f>"4,200 kg"</f>
        <v>4,200 kg</v>
      </c>
      <c r="E465" s="2" t="str">
        <f t="shared" si="60"/>
        <v>Domicile</v>
      </c>
      <c r="F465" s="2" t="str">
        <f>"6A"</f>
        <v>6A</v>
      </c>
      <c r="G465" s="2" t="str">
        <f>"Colissimo  Domicile - sans signature -- FR (6A)"</f>
        <v>Colissimo  Domicile - sans signature -- FR (6A)</v>
      </c>
      <c r="H465" s="2"/>
      <c r="I465" s="2"/>
      <c r="J465" s="2"/>
      <c r="K465" s="2" t="str">
        <f t="shared" si="61"/>
        <v>986737</v>
      </c>
      <c r="L465" s="2" t="str">
        <f>"4,200 kg"</f>
        <v>4,200 kg</v>
      </c>
    </row>
    <row r="466" spans="1:12" x14ac:dyDescent="0.3">
      <c r="A466" s="2" t="str">
        <f>"6C15789463069"</f>
        <v>6C15789463069</v>
      </c>
      <c r="B466" s="2" t="str">
        <f>"0,280 kg"</f>
        <v>0,280 kg</v>
      </c>
      <c r="C466" s="2" t="str">
        <f>"0,300 kg"</f>
        <v>0,300 kg</v>
      </c>
      <c r="D466" s="2" t="str">
        <f>"0,300 kg"</f>
        <v>0,300 kg</v>
      </c>
      <c r="E466" s="2" t="str">
        <f t="shared" si="60"/>
        <v>Domicile</v>
      </c>
      <c r="F466" s="2" t="str">
        <f>"6C"</f>
        <v>6C</v>
      </c>
      <c r="G466" s="2" t="str">
        <f>"Colissimo  Domicile - avec signature -- FR (6C)"</f>
        <v>Colissimo  Domicile - avec signature -- FR (6C)</v>
      </c>
      <c r="H466" s="2"/>
      <c r="I466" s="2"/>
      <c r="J466" s="2"/>
      <c r="K466" s="2" t="str">
        <f t="shared" si="61"/>
        <v>986737</v>
      </c>
      <c r="L466" s="2" t="str">
        <f>"0,300 kg"</f>
        <v>0,300 kg</v>
      </c>
    </row>
    <row r="467" spans="1:12" x14ac:dyDescent="0.3">
      <c r="A467" s="2" t="str">
        <f>"6A26085042315"</f>
        <v>6A26085042315</v>
      </c>
      <c r="B467" s="2"/>
      <c r="C467" s="2" t="str">
        <f>"4,190 kg"</f>
        <v>4,190 kg</v>
      </c>
      <c r="D467" s="2" t="str">
        <f>"4,250 kg"</f>
        <v>4,250 kg</v>
      </c>
      <c r="E467" s="2" t="str">
        <f t="shared" si="60"/>
        <v>Domicile</v>
      </c>
      <c r="F467" s="2" t="str">
        <f>"6A"</f>
        <v>6A</v>
      </c>
      <c r="G467" s="2" t="str">
        <f>"Colissimo  Domicile - sans signature -- FR (6A)"</f>
        <v>Colissimo  Domicile - sans signature -- FR (6A)</v>
      </c>
      <c r="H467" s="2"/>
      <c r="I467" s="2"/>
      <c r="J467" s="2"/>
      <c r="K467" s="2" t="str">
        <f t="shared" si="61"/>
        <v>986737</v>
      </c>
      <c r="L467" s="2" t="str">
        <f>"4,250 kg"</f>
        <v>4,250 kg</v>
      </c>
    </row>
    <row r="468" spans="1:12" x14ac:dyDescent="0.3">
      <c r="A468" s="2" t="str">
        <f>"6C15789463144"</f>
        <v>6C15789463144</v>
      </c>
      <c r="B468" s="2" t="str">
        <f>"0,260 kg"</f>
        <v>0,260 kg</v>
      </c>
      <c r="C468" s="2" t="str">
        <f>"0,250 kg"</f>
        <v>0,250 kg</v>
      </c>
      <c r="D468" s="2" t="str">
        <f>"0,250 kg"</f>
        <v>0,250 kg</v>
      </c>
      <c r="E468" s="2" t="str">
        <f t="shared" si="60"/>
        <v>Domicile</v>
      </c>
      <c r="F468" s="2" t="str">
        <f>"6C"</f>
        <v>6C</v>
      </c>
      <c r="G468" s="2" t="str">
        <f>"Colissimo  Domicile - avec signature -- FR (6C)"</f>
        <v>Colissimo  Domicile - avec signature -- FR (6C)</v>
      </c>
      <c r="H468" s="2"/>
      <c r="I468" s="2"/>
      <c r="J468" s="2"/>
      <c r="K468" s="2" t="str">
        <f t="shared" si="61"/>
        <v>986737</v>
      </c>
      <c r="L468" s="2" t="str">
        <f>"0,250 kg"</f>
        <v>0,250 kg</v>
      </c>
    </row>
    <row r="469" spans="1:12" x14ac:dyDescent="0.3">
      <c r="A469" s="2" t="str">
        <f>"6C15787132059"</f>
        <v>6C15787132059</v>
      </c>
      <c r="B469" s="2" t="str">
        <f>"0,520 kg"</f>
        <v>0,520 kg</v>
      </c>
      <c r="C469" s="2" t="str">
        <f>"0,500 kg"</f>
        <v>0,500 kg</v>
      </c>
      <c r="D469" s="2" t="str">
        <f>"0,500 kg"</f>
        <v>0,500 kg</v>
      </c>
      <c r="E469" s="2" t="str">
        <f t="shared" si="60"/>
        <v>Domicile</v>
      </c>
      <c r="F469" s="2" t="str">
        <f>"6C"</f>
        <v>6C</v>
      </c>
      <c r="G469" s="2" t="str">
        <f>"Colissimo  Domicile - avec signature -- FR (6C)"</f>
        <v>Colissimo  Domicile - avec signature -- FR (6C)</v>
      </c>
      <c r="H469" s="2"/>
      <c r="I469" s="2"/>
      <c r="J469" s="2"/>
      <c r="K469" s="2" t="str">
        <f t="shared" si="61"/>
        <v>986737</v>
      </c>
      <c r="L469" s="2" t="str">
        <f>"0,500 kg"</f>
        <v>0,500 kg</v>
      </c>
    </row>
    <row r="470" spans="1:12" x14ac:dyDescent="0.3">
      <c r="A470" s="2" t="str">
        <f>"6A26168554292"</f>
        <v>6A26168554292</v>
      </c>
      <c r="B470" s="2"/>
      <c r="C470" s="2" t="str">
        <f>"10,300 kg"</f>
        <v>10,300 kg</v>
      </c>
      <c r="D470" s="2" t="str">
        <f>"10,300 kg"</f>
        <v>10,300 kg</v>
      </c>
      <c r="E470" s="2" t="str">
        <f t="shared" si="60"/>
        <v>Domicile</v>
      </c>
      <c r="F470" s="2" t="str">
        <f>"6A"</f>
        <v>6A</v>
      </c>
      <c r="G470" s="2" t="str">
        <f>"Colissimo  Domicile - sans signature -- FR (6A)"</f>
        <v>Colissimo  Domicile - sans signature -- FR (6A)</v>
      </c>
      <c r="H470" s="2"/>
      <c r="I470" s="2"/>
      <c r="J470" s="2"/>
      <c r="K470" s="2" t="str">
        <f t="shared" si="61"/>
        <v>986737</v>
      </c>
      <c r="L470" s="2" t="str">
        <f>"10,300 kg"</f>
        <v>10,300 kg</v>
      </c>
    </row>
    <row r="471" spans="1:12" x14ac:dyDescent="0.3">
      <c r="A471" s="2" t="str">
        <f>"6C15841958700"</f>
        <v>6C15841958700</v>
      </c>
      <c r="B471" s="2"/>
      <c r="C471" s="2" t="str">
        <f>"1,850 kg"</f>
        <v>1,850 kg</v>
      </c>
      <c r="D471" s="2" t="str">
        <f>"1,850 kg"</f>
        <v>1,850 kg</v>
      </c>
      <c r="E471" s="2" t="str">
        <f t="shared" si="60"/>
        <v>Domicile</v>
      </c>
      <c r="F471" s="2" t="str">
        <f>"6C"</f>
        <v>6C</v>
      </c>
      <c r="G471" s="2" t="str">
        <f>"Colissimo  Domicile - avec signature -- FR (6C)"</f>
        <v>Colissimo  Domicile - avec signature -- FR (6C)</v>
      </c>
      <c r="H471" s="2"/>
      <c r="I471" s="2"/>
      <c r="J471" s="2"/>
      <c r="K471" s="2" t="str">
        <f t="shared" si="61"/>
        <v>986737</v>
      </c>
      <c r="L471" s="2" t="str">
        <f>"1,850 kg"</f>
        <v>1,850 kg</v>
      </c>
    </row>
    <row r="472" spans="1:12" x14ac:dyDescent="0.3">
      <c r="A472" s="2" t="str">
        <f>"6A26142130207"</f>
        <v>6A26142130207</v>
      </c>
      <c r="B472" s="2" t="str">
        <f>"5,340 kg"</f>
        <v>5,340 kg</v>
      </c>
      <c r="C472" s="2" t="str">
        <f>"5,380 kg"</f>
        <v>5,380 kg</v>
      </c>
      <c r="D472" s="2" t="str">
        <f>"5,400 kg"</f>
        <v>5,400 kg</v>
      </c>
      <c r="E472" s="2" t="str">
        <f t="shared" si="60"/>
        <v>Domicile</v>
      </c>
      <c r="F472" s="2" t="str">
        <f>"6A"</f>
        <v>6A</v>
      </c>
      <c r="G472" s="2" t="str">
        <f>"Colissimo  Domicile - sans signature -- FR (6A)"</f>
        <v>Colissimo  Domicile - sans signature -- FR (6A)</v>
      </c>
      <c r="H472" s="2"/>
      <c r="I472" s="2"/>
      <c r="J472" s="2"/>
      <c r="K472" s="2" t="str">
        <f t="shared" si="61"/>
        <v>986737</v>
      </c>
      <c r="L472" s="2" t="str">
        <f>"5,400 kg"</f>
        <v>5,400 kg</v>
      </c>
    </row>
    <row r="473" spans="1:12" x14ac:dyDescent="0.3">
      <c r="A473" s="2" t="str">
        <f>"6A26171755006"</f>
        <v>6A26171755006</v>
      </c>
      <c r="B473" s="2"/>
      <c r="C473" s="2" t="str">
        <f>"10,160 kg"</f>
        <v>10,160 kg</v>
      </c>
      <c r="D473" s="2" t="str">
        <f>"10,200 kg"</f>
        <v>10,200 kg</v>
      </c>
      <c r="E473" s="2" t="str">
        <f t="shared" si="60"/>
        <v>Domicile</v>
      </c>
      <c r="F473" s="2" t="str">
        <f>"6A"</f>
        <v>6A</v>
      </c>
      <c r="G473" s="2" t="str">
        <f>"Colissimo  Domicile - sans signature -- FR (6A)"</f>
        <v>Colissimo  Domicile - sans signature -- FR (6A)</v>
      </c>
      <c r="H473" s="2"/>
      <c r="I473" s="2"/>
      <c r="J473" s="2"/>
      <c r="K473" s="2" t="str">
        <f t="shared" si="61"/>
        <v>986737</v>
      </c>
      <c r="L473" s="2" t="str">
        <f>"10,200 kg"</f>
        <v>10,200 kg</v>
      </c>
    </row>
    <row r="474" spans="1:12" x14ac:dyDescent="0.3">
      <c r="A474" s="2" t="str">
        <f>"6C15787131953"</f>
        <v>6C15787131953</v>
      </c>
      <c r="B474" s="2"/>
      <c r="C474" s="2"/>
      <c r="D474" s="2" t="str">
        <f>"0,200 kg"</f>
        <v>0,200 kg</v>
      </c>
      <c r="E474" s="2" t="str">
        <f t="shared" si="60"/>
        <v>Domicile</v>
      </c>
      <c r="F474" s="2" t="str">
        <f>"6C"</f>
        <v>6C</v>
      </c>
      <c r="G474" s="2" t="str">
        <f>"Colissimo  Domicile - avec signature -- FR (6C)"</f>
        <v>Colissimo  Domicile - avec signature -- FR (6C)</v>
      </c>
      <c r="H474" s="2"/>
      <c r="I474" s="2"/>
      <c r="J474" s="2"/>
      <c r="K474" s="2" t="str">
        <f t="shared" si="61"/>
        <v>986737</v>
      </c>
      <c r="L474" s="2"/>
    </row>
    <row r="475" spans="1:12" x14ac:dyDescent="0.3">
      <c r="A475" s="2" t="str">
        <f>"6A26145329301"</f>
        <v>6A26145329301</v>
      </c>
      <c r="B475" s="2"/>
      <c r="C475" s="2" t="str">
        <f>"5,400 kg"</f>
        <v>5,400 kg</v>
      </c>
      <c r="D475" s="2" t="str">
        <f>"5,400 kg"</f>
        <v>5,400 kg</v>
      </c>
      <c r="E475" s="2" t="str">
        <f t="shared" si="60"/>
        <v>Domicile</v>
      </c>
      <c r="F475" s="2" t="str">
        <f>"6A"</f>
        <v>6A</v>
      </c>
      <c r="G475" s="2" t="str">
        <f>"Colissimo  Domicile - sans signature -- FR (6A)"</f>
        <v>Colissimo  Domicile - sans signature -- FR (6A)</v>
      </c>
      <c r="H475" s="2"/>
      <c r="I475" s="2"/>
      <c r="J475" s="2"/>
      <c r="K475" s="2" t="str">
        <f t="shared" si="61"/>
        <v>986737</v>
      </c>
      <c r="L475" s="2" t="str">
        <f>"5,400 kg"</f>
        <v>5,400 kg</v>
      </c>
    </row>
    <row r="476" spans="1:12" x14ac:dyDescent="0.3">
      <c r="A476" s="2" t="str">
        <f>"6A26096242117"</f>
        <v>6A26096242117</v>
      </c>
      <c r="B476" s="2"/>
      <c r="C476" s="2" t="str">
        <f>"4,230 kg"</f>
        <v>4,230 kg</v>
      </c>
      <c r="D476" s="2" t="str">
        <f>"4,250 kg"</f>
        <v>4,250 kg</v>
      </c>
      <c r="E476" s="2" t="str">
        <f t="shared" si="60"/>
        <v>Domicile</v>
      </c>
      <c r="F476" s="2" t="str">
        <f>"6A"</f>
        <v>6A</v>
      </c>
      <c r="G476" s="2" t="str">
        <f>"Colissimo  Domicile - sans signature -- FR (6A)"</f>
        <v>Colissimo  Domicile - sans signature -- FR (6A)</v>
      </c>
      <c r="H476" s="2"/>
      <c r="I476" s="2"/>
      <c r="J476" s="2"/>
      <c r="K476" s="2" t="str">
        <f t="shared" si="61"/>
        <v>986737</v>
      </c>
      <c r="L476" s="2" t="str">
        <f>"4,250 kg"</f>
        <v>4,250 kg</v>
      </c>
    </row>
    <row r="477" spans="1:12" x14ac:dyDescent="0.3">
      <c r="A477" s="2" t="str">
        <f>"6A26088241814"</f>
        <v>6A26088241814</v>
      </c>
      <c r="B477" s="2" t="str">
        <f>"4,250 kg"</f>
        <v>4,250 kg</v>
      </c>
      <c r="C477" s="2" t="str">
        <f>"4,150 kg"</f>
        <v>4,150 kg</v>
      </c>
      <c r="D477" s="2" t="str">
        <f>"4,150 kg"</f>
        <v>4,150 kg</v>
      </c>
      <c r="E477" s="2" t="str">
        <f t="shared" si="60"/>
        <v>Domicile</v>
      </c>
      <c r="F477" s="2" t="str">
        <f>"6A"</f>
        <v>6A</v>
      </c>
      <c r="G477" s="2" t="str">
        <f>"Colissimo  Domicile - sans signature -- FR (6A)"</f>
        <v>Colissimo  Domicile - sans signature -- FR (6A)</v>
      </c>
      <c r="H477" s="2"/>
      <c r="I477" s="2"/>
      <c r="J477" s="2"/>
      <c r="K477" s="2" t="str">
        <f t="shared" si="61"/>
        <v>986737</v>
      </c>
      <c r="L477" s="2" t="str">
        <f>"4,150 kg"</f>
        <v>4,150 kg</v>
      </c>
    </row>
    <row r="478" spans="1:12" x14ac:dyDescent="0.3">
      <c r="A478" s="2" t="str">
        <f>"6C15841899591"</f>
        <v>6C15841899591</v>
      </c>
      <c r="B478" s="2" t="str">
        <f>"3,460 kg"</f>
        <v>3,460 kg</v>
      </c>
      <c r="C478" s="2" t="str">
        <f>"3,700 kg"</f>
        <v>3,700 kg</v>
      </c>
      <c r="D478" s="2" t="str">
        <f>"3,700 kg"</f>
        <v>3,700 kg</v>
      </c>
      <c r="E478" s="2" t="str">
        <f t="shared" si="60"/>
        <v>Domicile</v>
      </c>
      <c r="F478" s="2" t="str">
        <f>"6C"</f>
        <v>6C</v>
      </c>
      <c r="G478" s="2" t="str">
        <f>"Colissimo  Domicile - avec signature -- FR (6C)"</f>
        <v>Colissimo  Domicile - avec signature -- FR (6C)</v>
      </c>
      <c r="H478" s="2"/>
      <c r="I478" s="2"/>
      <c r="J478" s="2"/>
      <c r="K478" s="2" t="str">
        <f t="shared" si="61"/>
        <v>986737</v>
      </c>
      <c r="L478" s="2" t="str">
        <f>"3,700 kg"</f>
        <v>3,700 kg</v>
      </c>
    </row>
    <row r="479" spans="1:12" x14ac:dyDescent="0.3">
      <c r="A479" s="2" t="str">
        <f>"6A26138937643"</f>
        <v>6A26138937643</v>
      </c>
      <c r="B479" s="2"/>
      <c r="C479" s="2" t="str">
        <f>"5,350 kg"</f>
        <v>5,350 kg</v>
      </c>
      <c r="D479" s="2" t="str">
        <f>"5,350 kg"</f>
        <v>5,350 kg</v>
      </c>
      <c r="E479" s="2" t="str">
        <f t="shared" si="60"/>
        <v>Domicile</v>
      </c>
      <c r="F479" s="2" t="str">
        <f>"6A"</f>
        <v>6A</v>
      </c>
      <c r="G479" s="2" t="str">
        <f>"Colissimo  Domicile - sans signature -- FR (6A)"</f>
        <v>Colissimo  Domicile - sans signature -- FR (6A)</v>
      </c>
      <c r="H479" s="2"/>
      <c r="I479" s="2"/>
      <c r="J479" s="2"/>
      <c r="K479" s="2" t="str">
        <f t="shared" si="61"/>
        <v>986737</v>
      </c>
      <c r="L479" s="2" t="str">
        <f>"5,350 kg"</f>
        <v>5,350 kg</v>
      </c>
    </row>
    <row r="480" spans="1:12" x14ac:dyDescent="0.3">
      <c r="A480" s="2" t="str">
        <f>"6C15789531317"</f>
        <v>6C15789531317</v>
      </c>
      <c r="B480" s="2" t="str">
        <f>"0,520 kg"</f>
        <v>0,520 kg</v>
      </c>
      <c r="C480" s="2" t="str">
        <f>"0,500 kg"</f>
        <v>0,500 kg</v>
      </c>
      <c r="D480" s="2" t="str">
        <f>"0,500 kg"</f>
        <v>0,500 kg</v>
      </c>
      <c r="E480" s="2" t="str">
        <f t="shared" si="60"/>
        <v>Domicile</v>
      </c>
      <c r="F480" s="2" t="str">
        <f t="shared" ref="F480:F501" si="64">"6C"</f>
        <v>6C</v>
      </c>
      <c r="G480" s="2" t="str">
        <f t="shared" ref="G480:G501" si="65">"Colissimo  Domicile - avec signature -- FR (6C)"</f>
        <v>Colissimo  Domicile - avec signature -- FR (6C)</v>
      </c>
      <c r="H480" s="2"/>
      <c r="I480" s="2"/>
      <c r="J480" s="2"/>
      <c r="K480" s="2" t="str">
        <f t="shared" si="61"/>
        <v>986737</v>
      </c>
      <c r="L480" s="2" t="str">
        <f>"0,500 kg"</f>
        <v>0,500 kg</v>
      </c>
    </row>
    <row r="481" spans="1:12" x14ac:dyDescent="0.3">
      <c r="A481" s="2" t="str">
        <f>"6C15840872151"</f>
        <v>6C15840872151</v>
      </c>
      <c r="B481" s="2" t="str">
        <f>"7,380 kg"</f>
        <v>7,380 kg</v>
      </c>
      <c r="C481" s="2" t="str">
        <f>"6,950 kg"</f>
        <v>6,950 kg</v>
      </c>
      <c r="D481" s="2" t="str">
        <f>"6,950 kg"</f>
        <v>6,950 kg</v>
      </c>
      <c r="E481" s="2" t="str">
        <f t="shared" si="60"/>
        <v>Domicile</v>
      </c>
      <c r="F481" s="2" t="str">
        <f t="shared" si="64"/>
        <v>6C</v>
      </c>
      <c r="G481" s="2" t="str">
        <f t="shared" si="65"/>
        <v>Colissimo  Domicile - avec signature -- FR (6C)</v>
      </c>
      <c r="H481" s="2"/>
      <c r="I481" s="2"/>
      <c r="J481" s="2"/>
      <c r="K481" s="2" t="str">
        <f t="shared" si="61"/>
        <v>986737</v>
      </c>
      <c r="L481" s="2" t="str">
        <f>"6,950 kg"</f>
        <v>6,950 kg</v>
      </c>
    </row>
    <row r="482" spans="1:12" x14ac:dyDescent="0.3">
      <c r="A482" s="2" t="str">
        <f>"6C15759802812"</f>
        <v>6C15759802812</v>
      </c>
      <c r="B482" s="2" t="str">
        <f>"1,740 kg"</f>
        <v>1,740 kg</v>
      </c>
      <c r="C482" s="2" t="str">
        <f>"1,750 kg"</f>
        <v>1,750 kg</v>
      </c>
      <c r="D482" s="2" t="str">
        <f>"1,750 kg"</f>
        <v>1,750 kg</v>
      </c>
      <c r="E482" s="2" t="str">
        <f t="shared" si="60"/>
        <v>Domicile</v>
      </c>
      <c r="F482" s="2" t="str">
        <f t="shared" si="64"/>
        <v>6C</v>
      </c>
      <c r="G482" s="2" t="str">
        <f t="shared" si="65"/>
        <v>Colissimo  Domicile - avec signature -- FR (6C)</v>
      </c>
      <c r="H482" s="2"/>
      <c r="I482" s="2"/>
      <c r="J482" s="2"/>
      <c r="K482" s="2" t="str">
        <f t="shared" si="61"/>
        <v>986737</v>
      </c>
      <c r="L482" s="2" t="str">
        <f>"1,750 kg"</f>
        <v>1,750 kg</v>
      </c>
    </row>
    <row r="483" spans="1:12" x14ac:dyDescent="0.3">
      <c r="A483" s="2" t="str">
        <f>"6C15789566081"</f>
        <v>6C15789566081</v>
      </c>
      <c r="B483" s="2" t="str">
        <f>"4,180 kg"</f>
        <v>4,180 kg</v>
      </c>
      <c r="C483" s="2" t="str">
        <f>"4,200 kg"</f>
        <v>4,200 kg</v>
      </c>
      <c r="D483" s="2" t="str">
        <f>"4,200 kg"</f>
        <v>4,200 kg</v>
      </c>
      <c r="E483" s="2" t="str">
        <f t="shared" si="60"/>
        <v>Domicile</v>
      </c>
      <c r="F483" s="2" t="str">
        <f t="shared" si="64"/>
        <v>6C</v>
      </c>
      <c r="G483" s="2" t="str">
        <f t="shared" si="65"/>
        <v>Colissimo  Domicile - avec signature -- FR (6C)</v>
      </c>
      <c r="H483" s="2"/>
      <c r="I483" s="2"/>
      <c r="J483" s="2"/>
      <c r="K483" s="2" t="str">
        <f t="shared" si="61"/>
        <v>986737</v>
      </c>
      <c r="L483" s="2" t="str">
        <f>"4,200 kg"</f>
        <v>4,200 kg</v>
      </c>
    </row>
    <row r="484" spans="1:12" x14ac:dyDescent="0.3">
      <c r="A484" s="2" t="str">
        <f>"6C15866355683"</f>
        <v>6C15866355683</v>
      </c>
      <c r="B484" s="2" t="str">
        <f>"1,870 kg"</f>
        <v>1,870 kg</v>
      </c>
      <c r="C484" s="2" t="str">
        <f>"1,880 kg"</f>
        <v>1,880 kg</v>
      </c>
      <c r="D484" s="2" t="str">
        <f>"1,900 kg"</f>
        <v>1,900 kg</v>
      </c>
      <c r="E484" s="2" t="str">
        <f t="shared" si="60"/>
        <v>Domicile</v>
      </c>
      <c r="F484" s="2" t="str">
        <f t="shared" si="64"/>
        <v>6C</v>
      </c>
      <c r="G484" s="2" t="str">
        <f t="shared" si="65"/>
        <v>Colissimo  Domicile - avec signature -- FR (6C)</v>
      </c>
      <c r="H484" s="2"/>
      <c r="I484" s="2"/>
      <c r="J484" s="2"/>
      <c r="K484" s="2" t="str">
        <f t="shared" si="61"/>
        <v>986737</v>
      </c>
      <c r="L484" s="2" t="str">
        <f>"1,900 kg"</f>
        <v>1,900 kg</v>
      </c>
    </row>
    <row r="485" spans="1:12" x14ac:dyDescent="0.3">
      <c r="A485" s="2" t="str">
        <f>"6C15873466068"</f>
        <v>6C15873466068</v>
      </c>
      <c r="B485" s="2" t="str">
        <f>"5,410 kg"</f>
        <v>5,410 kg</v>
      </c>
      <c r="C485" s="2" t="str">
        <f>"5,400 kg"</f>
        <v>5,400 kg</v>
      </c>
      <c r="D485" s="2" t="str">
        <f>"5,400 kg"</f>
        <v>5,400 kg</v>
      </c>
      <c r="E485" s="2" t="str">
        <f t="shared" si="60"/>
        <v>Domicile</v>
      </c>
      <c r="F485" s="2" t="str">
        <f t="shared" si="64"/>
        <v>6C</v>
      </c>
      <c r="G485" s="2" t="str">
        <f t="shared" si="65"/>
        <v>Colissimo  Domicile - avec signature -- FR (6C)</v>
      </c>
      <c r="H485" s="2"/>
      <c r="I485" s="2"/>
      <c r="J485" s="2"/>
      <c r="K485" s="2" t="str">
        <f t="shared" si="61"/>
        <v>986737</v>
      </c>
      <c r="L485" s="2" t="str">
        <f>"5,400 kg"</f>
        <v>5,400 kg</v>
      </c>
    </row>
    <row r="486" spans="1:12" x14ac:dyDescent="0.3">
      <c r="A486" s="2" t="str">
        <f>"6C15874076976"</f>
        <v>6C15874076976</v>
      </c>
      <c r="B486" s="2"/>
      <c r="C486" s="2" t="str">
        <f>"2,850 kg"</f>
        <v>2,850 kg</v>
      </c>
      <c r="D486" s="2" t="str">
        <f>"2,850 kg"</f>
        <v>2,850 kg</v>
      </c>
      <c r="E486" s="2" t="str">
        <f t="shared" si="60"/>
        <v>Domicile</v>
      </c>
      <c r="F486" s="2" t="str">
        <f t="shared" si="64"/>
        <v>6C</v>
      </c>
      <c r="G486" s="2" t="str">
        <f t="shared" si="65"/>
        <v>Colissimo  Domicile - avec signature -- FR (6C)</v>
      </c>
      <c r="H486" s="2"/>
      <c r="I486" s="2"/>
      <c r="J486" s="2"/>
      <c r="K486" s="2" t="str">
        <f t="shared" si="61"/>
        <v>986737</v>
      </c>
      <c r="L486" s="2" t="str">
        <f>"2,850 kg"</f>
        <v>2,850 kg</v>
      </c>
    </row>
    <row r="487" spans="1:12" x14ac:dyDescent="0.3">
      <c r="A487" s="2" t="str">
        <f>"6C15872176777"</f>
        <v>6C15872176777</v>
      </c>
      <c r="B487" s="2" t="str">
        <f>"10,630 kg"</f>
        <v>10,630 kg</v>
      </c>
      <c r="C487" s="2" t="str">
        <f>"10,650 kg"</f>
        <v>10,650 kg</v>
      </c>
      <c r="D487" s="2" t="str">
        <f>"10,650 kg"</f>
        <v>10,650 kg</v>
      </c>
      <c r="E487" s="2" t="str">
        <f t="shared" si="60"/>
        <v>Domicile</v>
      </c>
      <c r="F487" s="2" t="str">
        <f t="shared" si="64"/>
        <v>6C</v>
      </c>
      <c r="G487" s="2" t="str">
        <f t="shared" si="65"/>
        <v>Colissimo  Domicile - avec signature -- FR (6C)</v>
      </c>
      <c r="H487" s="2"/>
      <c r="I487" s="2"/>
      <c r="J487" s="2"/>
      <c r="K487" s="2" t="str">
        <f t="shared" si="61"/>
        <v>986737</v>
      </c>
      <c r="L487" s="2" t="str">
        <f>"10,650 kg"</f>
        <v>10,650 kg</v>
      </c>
    </row>
    <row r="488" spans="1:12" x14ac:dyDescent="0.3">
      <c r="A488" s="2" t="str">
        <f>"6C15874678019"</f>
        <v>6C15874678019</v>
      </c>
      <c r="B488" s="2" t="str">
        <f>"2,870 kg"</f>
        <v>2,870 kg</v>
      </c>
      <c r="C488" s="2" t="str">
        <f>"2,850 kg"</f>
        <v>2,850 kg</v>
      </c>
      <c r="D488" s="2" t="str">
        <f>"2,850 kg"</f>
        <v>2,850 kg</v>
      </c>
      <c r="E488" s="2" t="str">
        <f t="shared" si="60"/>
        <v>Domicile</v>
      </c>
      <c r="F488" s="2" t="str">
        <f t="shared" si="64"/>
        <v>6C</v>
      </c>
      <c r="G488" s="2" t="str">
        <f t="shared" si="65"/>
        <v>Colissimo  Domicile - avec signature -- FR (6C)</v>
      </c>
      <c r="H488" s="2"/>
      <c r="I488" s="2"/>
      <c r="J488" s="2"/>
      <c r="K488" s="2" t="str">
        <f t="shared" si="61"/>
        <v>986737</v>
      </c>
      <c r="L488" s="2" t="str">
        <f>"2,850 kg"</f>
        <v>2,850 kg</v>
      </c>
    </row>
    <row r="489" spans="1:12" x14ac:dyDescent="0.3">
      <c r="A489" s="2" t="str">
        <f>"6C15864511814"</f>
        <v>6C15864511814</v>
      </c>
      <c r="B489" s="2"/>
      <c r="C489" s="2" t="str">
        <f>"1,200 kg"</f>
        <v>1,200 kg</v>
      </c>
      <c r="D489" s="2" t="str">
        <f>"1,200 kg"</f>
        <v>1,200 kg</v>
      </c>
      <c r="E489" s="2" t="str">
        <f t="shared" si="60"/>
        <v>Domicile</v>
      </c>
      <c r="F489" s="2" t="str">
        <f t="shared" si="64"/>
        <v>6C</v>
      </c>
      <c r="G489" s="2" t="str">
        <f t="shared" si="65"/>
        <v>Colissimo  Domicile - avec signature -- FR (6C)</v>
      </c>
      <c r="H489" s="2"/>
      <c r="I489" s="2"/>
      <c r="J489" s="2"/>
      <c r="K489" s="2" t="str">
        <f t="shared" si="61"/>
        <v>986737</v>
      </c>
      <c r="L489" s="2" t="str">
        <f>"1,200 kg"</f>
        <v>1,200 kg</v>
      </c>
    </row>
    <row r="490" spans="1:12" x14ac:dyDescent="0.3">
      <c r="A490" s="2" t="str">
        <f>"6C15874677951"</f>
        <v>6C15874677951</v>
      </c>
      <c r="B490" s="2" t="str">
        <f>"2,870 kg"</f>
        <v>2,870 kg</v>
      </c>
      <c r="C490" s="2" t="str">
        <f>"2,850 kg"</f>
        <v>2,850 kg</v>
      </c>
      <c r="D490" s="2" t="str">
        <f>"2,850 kg"</f>
        <v>2,850 kg</v>
      </c>
      <c r="E490" s="2" t="str">
        <f t="shared" si="60"/>
        <v>Domicile</v>
      </c>
      <c r="F490" s="2" t="str">
        <f t="shared" si="64"/>
        <v>6C</v>
      </c>
      <c r="G490" s="2" t="str">
        <f t="shared" si="65"/>
        <v>Colissimo  Domicile - avec signature -- FR (6C)</v>
      </c>
      <c r="H490" s="2"/>
      <c r="I490" s="2"/>
      <c r="J490" s="2"/>
      <c r="K490" s="2" t="str">
        <f t="shared" si="61"/>
        <v>986737</v>
      </c>
      <c r="L490" s="2" t="str">
        <f>"2,850 kg"</f>
        <v>2,850 kg</v>
      </c>
    </row>
    <row r="491" spans="1:12" x14ac:dyDescent="0.3">
      <c r="A491" s="2" t="str">
        <f>"6C15872973697"</f>
        <v>6C15872973697</v>
      </c>
      <c r="B491" s="2" t="str">
        <f>"1,870 kg"</f>
        <v>1,870 kg</v>
      </c>
      <c r="C491" s="2" t="str">
        <f>"1,850 kg"</f>
        <v>1,850 kg</v>
      </c>
      <c r="D491" s="2" t="str">
        <f>"1,850 kg"</f>
        <v>1,850 kg</v>
      </c>
      <c r="E491" s="2" t="str">
        <f t="shared" si="60"/>
        <v>Domicile</v>
      </c>
      <c r="F491" s="2" t="str">
        <f t="shared" si="64"/>
        <v>6C</v>
      </c>
      <c r="G491" s="2" t="str">
        <f t="shared" si="65"/>
        <v>Colissimo  Domicile - avec signature -- FR (6C)</v>
      </c>
      <c r="H491" s="2"/>
      <c r="I491" s="2"/>
      <c r="J491" s="2"/>
      <c r="K491" s="2" t="str">
        <f t="shared" si="61"/>
        <v>986737</v>
      </c>
      <c r="L491" s="2" t="str">
        <f>"1,850 kg"</f>
        <v>1,850 kg</v>
      </c>
    </row>
    <row r="492" spans="1:12" x14ac:dyDescent="0.3">
      <c r="A492" s="2" t="str">
        <f>"6C15864512507"</f>
        <v>6C15864512507</v>
      </c>
      <c r="B492" s="2"/>
      <c r="C492" s="2" t="str">
        <f>"5,430 kg"</f>
        <v>5,430 kg</v>
      </c>
      <c r="D492" s="2" t="str">
        <f>"5,450 kg"</f>
        <v>5,450 kg</v>
      </c>
      <c r="E492" s="2" t="str">
        <f t="shared" si="60"/>
        <v>Domicile</v>
      </c>
      <c r="F492" s="2" t="str">
        <f t="shared" si="64"/>
        <v>6C</v>
      </c>
      <c r="G492" s="2" t="str">
        <f t="shared" si="65"/>
        <v>Colissimo  Domicile - avec signature -- FR (6C)</v>
      </c>
      <c r="H492" s="2"/>
      <c r="I492" s="2"/>
      <c r="J492" s="2"/>
      <c r="K492" s="2" t="str">
        <f t="shared" si="61"/>
        <v>986737</v>
      </c>
      <c r="L492" s="2" t="str">
        <f>"5,450 kg"</f>
        <v>5,450 kg</v>
      </c>
    </row>
    <row r="493" spans="1:12" x14ac:dyDescent="0.3">
      <c r="A493" s="2" t="str">
        <f>"6C15865714658"</f>
        <v>6C15865714658</v>
      </c>
      <c r="B493" s="2"/>
      <c r="C493" s="2" t="str">
        <f>"5,380 kg"</f>
        <v>5,380 kg</v>
      </c>
      <c r="D493" s="2" t="str">
        <f>"5,400 kg"</f>
        <v>5,400 kg</v>
      </c>
      <c r="E493" s="2" t="str">
        <f t="shared" si="60"/>
        <v>Domicile</v>
      </c>
      <c r="F493" s="2" t="str">
        <f t="shared" si="64"/>
        <v>6C</v>
      </c>
      <c r="G493" s="2" t="str">
        <f t="shared" si="65"/>
        <v>Colissimo  Domicile - avec signature -- FR (6C)</v>
      </c>
      <c r="H493" s="2"/>
      <c r="I493" s="2"/>
      <c r="J493" s="2"/>
      <c r="K493" s="2" t="str">
        <f t="shared" si="61"/>
        <v>986737</v>
      </c>
      <c r="L493" s="2" t="str">
        <f>"5,400 kg"</f>
        <v>5,400 kg</v>
      </c>
    </row>
    <row r="494" spans="1:12" x14ac:dyDescent="0.3">
      <c r="A494" s="2" t="str">
        <f>"6C15874046559"</f>
        <v>6C15874046559</v>
      </c>
      <c r="B494" s="2"/>
      <c r="C494" s="2" t="str">
        <f>"1,850 kg"</f>
        <v>1,850 kg</v>
      </c>
      <c r="D494" s="2" t="str">
        <f>"1,850 kg"</f>
        <v>1,850 kg</v>
      </c>
      <c r="E494" s="2" t="str">
        <f t="shared" si="60"/>
        <v>Domicile</v>
      </c>
      <c r="F494" s="2" t="str">
        <f t="shared" si="64"/>
        <v>6C</v>
      </c>
      <c r="G494" s="2" t="str">
        <f t="shared" si="65"/>
        <v>Colissimo  Domicile - avec signature -- FR (6C)</v>
      </c>
      <c r="H494" s="2"/>
      <c r="I494" s="2"/>
      <c r="J494" s="2"/>
      <c r="K494" s="2" t="str">
        <f t="shared" si="61"/>
        <v>986737</v>
      </c>
      <c r="L494" s="2" t="str">
        <f>"1,850 kg"</f>
        <v>1,850 kg</v>
      </c>
    </row>
    <row r="495" spans="1:12" x14ac:dyDescent="0.3">
      <c r="A495" s="2" t="str">
        <f>"6C15874031890"</f>
        <v>6C15874031890</v>
      </c>
      <c r="B495" s="2" t="str">
        <f>"3,840 kg"</f>
        <v>3,840 kg</v>
      </c>
      <c r="C495" s="2" t="str">
        <f>"3,850 kg"</f>
        <v>3,850 kg</v>
      </c>
      <c r="D495" s="2" t="str">
        <f>"3,850 kg"</f>
        <v>3,850 kg</v>
      </c>
      <c r="E495" s="2" t="str">
        <f t="shared" si="60"/>
        <v>Domicile</v>
      </c>
      <c r="F495" s="2" t="str">
        <f t="shared" si="64"/>
        <v>6C</v>
      </c>
      <c r="G495" s="2" t="str">
        <f t="shared" si="65"/>
        <v>Colissimo  Domicile - avec signature -- FR (6C)</v>
      </c>
      <c r="H495" s="2"/>
      <c r="I495" s="2"/>
      <c r="J495" s="2"/>
      <c r="K495" s="2" t="str">
        <f t="shared" si="61"/>
        <v>986737</v>
      </c>
      <c r="L495" s="2" t="str">
        <f>"3,850 kg"</f>
        <v>3,850 kg</v>
      </c>
    </row>
    <row r="496" spans="1:12" x14ac:dyDescent="0.3">
      <c r="A496" s="2" t="str">
        <f>"6C15900760152"</f>
        <v>6C15900760152</v>
      </c>
      <c r="B496" s="2" t="str">
        <f>"1,500 kg"</f>
        <v>1,500 kg</v>
      </c>
      <c r="C496" s="2" t="str">
        <f>"1,500 kg"</f>
        <v>1,500 kg</v>
      </c>
      <c r="D496" s="2" t="str">
        <f>"1,500 kg"</f>
        <v>1,500 kg</v>
      </c>
      <c r="E496" s="2" t="str">
        <f t="shared" si="60"/>
        <v>Domicile</v>
      </c>
      <c r="F496" s="2" t="str">
        <f t="shared" si="64"/>
        <v>6C</v>
      </c>
      <c r="G496" s="2" t="str">
        <f t="shared" si="65"/>
        <v>Colissimo  Domicile - avec signature -- FR (6C)</v>
      </c>
      <c r="H496" s="2"/>
      <c r="I496" s="2"/>
      <c r="J496" s="2"/>
      <c r="K496" s="2" t="str">
        <f t="shared" si="61"/>
        <v>986737</v>
      </c>
      <c r="L496" s="2" t="str">
        <f>"1,500 kg"</f>
        <v>1,500 kg</v>
      </c>
    </row>
    <row r="497" spans="1:12" x14ac:dyDescent="0.3">
      <c r="A497" s="2" t="str">
        <f>"6C15903266965"</f>
        <v>6C15903266965</v>
      </c>
      <c r="B497" s="2"/>
      <c r="C497" s="2" t="str">
        <f>"0,700 kg"</f>
        <v>0,700 kg</v>
      </c>
      <c r="D497" s="2" t="str">
        <f>"0,700 kg"</f>
        <v>0,700 kg</v>
      </c>
      <c r="E497" s="2" t="str">
        <f t="shared" si="60"/>
        <v>Domicile</v>
      </c>
      <c r="F497" s="2" t="str">
        <f t="shared" si="64"/>
        <v>6C</v>
      </c>
      <c r="G497" s="2" t="str">
        <f t="shared" si="65"/>
        <v>Colissimo  Domicile - avec signature -- FR (6C)</v>
      </c>
      <c r="H497" s="2"/>
      <c r="I497" s="2"/>
      <c r="J497" s="2"/>
      <c r="K497" s="2" t="str">
        <f t="shared" si="61"/>
        <v>986737</v>
      </c>
      <c r="L497" s="2" t="str">
        <f>"0,700 kg"</f>
        <v>0,700 kg</v>
      </c>
    </row>
    <row r="498" spans="1:12" x14ac:dyDescent="0.3">
      <c r="A498" s="2" t="str">
        <f>"6C15909817253"</f>
        <v>6C15909817253</v>
      </c>
      <c r="B498" s="2"/>
      <c r="C498" s="2" t="str">
        <f>"0,330 kg"</f>
        <v>0,330 kg</v>
      </c>
      <c r="D498" s="2" t="str">
        <f>"0,350 kg"</f>
        <v>0,350 kg</v>
      </c>
      <c r="E498" s="2" t="str">
        <f t="shared" si="60"/>
        <v>Domicile</v>
      </c>
      <c r="F498" s="2" t="str">
        <f t="shared" si="64"/>
        <v>6C</v>
      </c>
      <c r="G498" s="2" t="str">
        <f t="shared" si="65"/>
        <v>Colissimo  Domicile - avec signature -- FR (6C)</v>
      </c>
      <c r="H498" s="2"/>
      <c r="I498" s="2"/>
      <c r="J498" s="2"/>
      <c r="K498" s="2" t="str">
        <f t="shared" si="61"/>
        <v>986737</v>
      </c>
      <c r="L498" s="2" t="str">
        <f>"0,350 kg"</f>
        <v>0,350 kg</v>
      </c>
    </row>
    <row r="499" spans="1:12" x14ac:dyDescent="0.3">
      <c r="A499" s="2" t="str">
        <f>"6C15917145096"</f>
        <v>6C15917145096</v>
      </c>
      <c r="B499" s="2" t="str">
        <f>"3,520 kg"</f>
        <v>3,520 kg</v>
      </c>
      <c r="C499" s="2" t="str">
        <f>"3,650 kg"</f>
        <v>3,650 kg</v>
      </c>
      <c r="D499" s="2" t="str">
        <f>"3,650 kg"</f>
        <v>3,650 kg</v>
      </c>
      <c r="E499" s="2" t="str">
        <f t="shared" si="60"/>
        <v>Domicile</v>
      </c>
      <c r="F499" s="2" t="str">
        <f t="shared" si="64"/>
        <v>6C</v>
      </c>
      <c r="G499" s="2" t="str">
        <f t="shared" si="65"/>
        <v>Colissimo  Domicile - avec signature -- FR (6C)</v>
      </c>
      <c r="H499" s="2"/>
      <c r="I499" s="2"/>
      <c r="J499" s="2"/>
      <c r="K499" s="2" t="str">
        <f t="shared" si="61"/>
        <v>986737</v>
      </c>
      <c r="L499" s="2" t="str">
        <f>"3,650 kg"</f>
        <v>3,650 kg</v>
      </c>
    </row>
    <row r="500" spans="1:12" x14ac:dyDescent="0.3">
      <c r="A500" s="2" t="str">
        <f>"6C15891696072"</f>
        <v>6C15891696072</v>
      </c>
      <c r="B500" s="2" t="str">
        <f>"1,840 kg"</f>
        <v>1,840 kg</v>
      </c>
      <c r="C500" s="2" t="str">
        <f>"1,870 kg"</f>
        <v>1,870 kg</v>
      </c>
      <c r="D500" s="2" t="str">
        <f>"1,900 kg"</f>
        <v>1,900 kg</v>
      </c>
      <c r="E500" s="2" t="str">
        <f t="shared" si="60"/>
        <v>Domicile</v>
      </c>
      <c r="F500" s="2" t="str">
        <f t="shared" si="64"/>
        <v>6C</v>
      </c>
      <c r="G500" s="2" t="str">
        <f t="shared" si="65"/>
        <v>Colissimo  Domicile - avec signature -- FR (6C)</v>
      </c>
      <c r="H500" s="2"/>
      <c r="I500" s="2"/>
      <c r="J500" s="2"/>
      <c r="K500" s="2" t="str">
        <f t="shared" si="61"/>
        <v>986737</v>
      </c>
      <c r="L500" s="2" t="str">
        <f>"1,900 kg"</f>
        <v>1,900 kg</v>
      </c>
    </row>
    <row r="501" spans="1:12" x14ac:dyDescent="0.3">
      <c r="A501" s="2" t="str">
        <f>"6C15904466098"</f>
        <v>6C15904466098</v>
      </c>
      <c r="B501" s="2" t="str">
        <f>"0,690 kg"</f>
        <v>0,690 kg</v>
      </c>
      <c r="C501" s="2" t="str">
        <f>"0,750 kg"</f>
        <v>0,750 kg</v>
      </c>
      <c r="D501" s="2" t="str">
        <f>"0,750 kg"</f>
        <v>0,750 kg</v>
      </c>
      <c r="E501" s="2" t="str">
        <f t="shared" si="60"/>
        <v>Domicile</v>
      </c>
      <c r="F501" s="2" t="str">
        <f t="shared" si="64"/>
        <v>6C</v>
      </c>
      <c r="G501" s="2" t="str">
        <f t="shared" si="65"/>
        <v>Colissimo  Domicile - avec signature -- FR (6C)</v>
      </c>
      <c r="H501" s="2"/>
      <c r="I501" s="2"/>
      <c r="J501" s="2"/>
      <c r="K501" s="2" t="str">
        <f t="shared" si="61"/>
        <v>986737</v>
      </c>
      <c r="L501" s="2" t="str">
        <f>"0,750 kg"</f>
        <v>0,750 kg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export_1695109054444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ANGELIQUE SVINH</dc:creator>
  <cp:lastModifiedBy>Majdi</cp:lastModifiedBy>
  <dcterms:created xsi:type="dcterms:W3CDTF">2023-09-19T07:38:58Z</dcterms:created>
  <dcterms:modified xsi:type="dcterms:W3CDTF">2023-10-16T14:13:06Z</dcterms:modified>
</cp:coreProperties>
</file>