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trlProps/ctrlProp24.xml" ContentType="application/vnd.ms-excel.controlproperties+xml"/>
  <Override PartName="/xl/ctrlProps/ctrlProp25.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C:\Users\MichaelThompson\Documents\Compliance\Water Audit\Compiler Testing\Downloads_v5\"/>
    </mc:Choice>
  </mc:AlternateContent>
  <xr:revisionPtr revIDLastSave="0" documentId="8_{908EA26F-971F-4D8D-ABE6-B7596978DE7E}" xr6:coauthVersionLast="47" xr6:coauthVersionMax="47" xr10:uidLastSave="{00000000-0000-0000-0000-000000000000}"/>
  <workbookProtection workbookPassword="9244" lockStructure="1"/>
  <bookViews>
    <workbookView xWindow="1305" yWindow="3435" windowWidth="21600" windowHeight="11295" tabRatio="884" xr2:uid="{E3A22FFA-15FA-48C3-8D1F-5675CB7CD7F8}"/>
  </bookViews>
  <sheets>
    <sheet name="Instructions" sheetId="23" r:id="rId1"/>
    <sheet name="Reporting Worksheet" sheetId="22" r:id="rId2"/>
    <sheet name="Performance Indicators" sheetId="53" r:id="rId3"/>
    <sheet name="Comments" sheetId="51" r:id="rId4"/>
    <sheet name="Water Balance" sheetId="16" r:id="rId5"/>
    <sheet name="GradingAssessment" sheetId="30" state="hidden" r:id="rId6"/>
    <sheet name="Dashboard" sheetId="54" r:id="rId7"/>
    <sheet name="Grading Matrix" sheetId="40" r:id="rId8"/>
    <sheet name="Service Connection Diagram" sheetId="42" r:id="rId9"/>
    <sheet name="Definitions" sheetId="2" r:id="rId10"/>
    <sheet name="Loss Control Planning" sheetId="32" r:id="rId11"/>
    <sheet name="Example Audits" sheetId="46" r:id="rId12"/>
    <sheet name="Acknowledgements" sheetId="43" r:id="rId13"/>
    <sheet name="Sheet1" sheetId="27" state="hidden" r:id="rId14"/>
  </sheets>
  <definedNames>
    <definedName name="_xlnm.Print_Area" localSheetId="9">Definitions!$B$1:$N$78</definedName>
    <definedName name="_xlnm.Print_Area" localSheetId="2">'Performance Indicators'!$B$2:$P$47</definedName>
    <definedName name="_xlnm.Print_Area" localSheetId="1">'Reporting Worksheet'!$B$2:$P$99</definedName>
    <definedName name="_xlnm.Print_Area" localSheetId="8">'Service Connection Diagram'!$B$2:$F$24</definedName>
    <definedName name="_xlnm.Print_Titles" localSheetId="3">Comments!$7:$7</definedName>
    <definedName name="_xlnm.Print_Titles" localSheetId="9">Definitions!$4:$4</definedName>
    <definedName name="_xlnm.Print_Titles" localSheetId="7">'Grading Matrix'!$6:$7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6" i="27" l="1"/>
  <c r="A91" i="27"/>
  <c r="S15" i="22"/>
  <c r="C82" i="27"/>
  <c r="D82" i="27"/>
  <c r="D90" i="27"/>
  <c r="S17" i="22"/>
  <c r="S16" i="22"/>
  <c r="C84" i="27"/>
  <c r="G4" i="32"/>
  <c r="G4" i="54"/>
  <c r="F5" i="16"/>
  <c r="D4" i="53"/>
  <c r="D4" i="22"/>
  <c r="F6" i="16"/>
  <c r="G6" i="16"/>
  <c r="G12" i="16"/>
  <c r="H13" i="16"/>
  <c r="P23" i="16"/>
  <c r="H5" i="32"/>
  <c r="G5" i="32"/>
  <c r="H5" i="54"/>
  <c r="G5" i="54"/>
  <c r="B17" i="16"/>
  <c r="L13" i="16"/>
  <c r="D10" i="16"/>
  <c r="P15" i="16"/>
  <c r="B27" i="16"/>
  <c r="L14" i="16"/>
  <c r="G19" i="22"/>
  <c r="G26" i="22"/>
  <c r="B2" i="27"/>
  <c r="O2" i="27"/>
  <c r="B3" i="27"/>
  <c r="C3" i="27"/>
  <c r="B4" i="27"/>
  <c r="C4" i="27"/>
  <c r="D4" i="27"/>
  <c r="N4" i="27"/>
  <c r="F5" i="27"/>
  <c r="D2" i="27"/>
  <c r="D7" i="27"/>
  <c r="E8" i="27"/>
  <c r="C11" i="27"/>
  <c r="D9" i="27"/>
  <c r="H16" i="27"/>
  <c r="B17" i="27"/>
  <c r="D17" i="27"/>
  <c r="B18" i="27"/>
  <c r="C18" i="27"/>
  <c r="B19" i="27"/>
  <c r="C19" i="27"/>
  <c r="D19" i="27"/>
  <c r="D22" i="27"/>
  <c r="E23" i="27"/>
  <c r="C26" i="27"/>
  <c r="D24" i="27"/>
  <c r="E80" i="27"/>
  <c r="C81" i="27"/>
  <c r="D81" i="27"/>
  <c r="A82" i="27"/>
  <c r="C83" i="27"/>
  <c r="D83" i="27"/>
  <c r="E83" i="27"/>
  <c r="A84" i="27"/>
  <c r="C85" i="27"/>
  <c r="E85" i="27"/>
  <c r="A86" i="27"/>
  <c r="C88" i="27"/>
  <c r="D88" i="27"/>
  <c r="E88" i="27"/>
  <c r="C89" i="27"/>
  <c r="D89" i="27"/>
  <c r="E89" i="27"/>
  <c r="C90" i="27"/>
  <c r="E90" i="27"/>
  <c r="S25" i="32"/>
  <c r="S26" i="32"/>
  <c r="S27" i="32"/>
  <c r="S28" i="32"/>
  <c r="S29" i="32"/>
  <c r="I55" i="2"/>
  <c r="G56" i="2"/>
  <c r="E4" i="42"/>
  <c r="Q9" i="40"/>
  <c r="Q10" i="40"/>
  <c r="Q11" i="40"/>
  <c r="Q12" i="40"/>
  <c r="Q13" i="40"/>
  <c r="Q14" i="40"/>
  <c r="Q15" i="40"/>
  <c r="Q16" i="40"/>
  <c r="Q17" i="40"/>
  <c r="Q18" i="40"/>
  <c r="Q19" i="40"/>
  <c r="Q20" i="40"/>
  <c r="Q22" i="40"/>
  <c r="Q23" i="40"/>
  <c r="Q24" i="40"/>
  <c r="Q25" i="40"/>
  <c r="Q26" i="40"/>
  <c r="Q27" i="40"/>
  <c r="Q28" i="40"/>
  <c r="Q29" i="40"/>
  <c r="Q31" i="40"/>
  <c r="Q32" i="40"/>
  <c r="Q33" i="40"/>
  <c r="Q34" i="40"/>
  <c r="Q35" i="40"/>
  <c r="Q36" i="40"/>
  <c r="Q38" i="40"/>
  <c r="Q39" i="40"/>
  <c r="Q40" i="40"/>
  <c r="Q41" i="40"/>
  <c r="Q45" i="40"/>
  <c r="Q46" i="40"/>
  <c r="Q48" i="40"/>
  <c r="Q49" i="40"/>
  <c r="Q50" i="40"/>
  <c r="Q51" i="40"/>
  <c r="Q52" i="40"/>
  <c r="Q53" i="40"/>
  <c r="C4" i="30"/>
  <c r="C5" i="30"/>
  <c r="L5" i="30"/>
  <c r="C6" i="30"/>
  <c r="L6" i="30"/>
  <c r="C7" i="30"/>
  <c r="L7" i="30"/>
  <c r="C8" i="30"/>
  <c r="L8" i="30"/>
  <c r="C9" i="30"/>
  <c r="C10" i="30"/>
  <c r="L10" i="30"/>
  <c r="D10" i="30"/>
  <c r="K10" i="30"/>
  <c r="M10" i="30"/>
  <c r="C11" i="30"/>
  <c r="L11" i="30"/>
  <c r="M11" i="30"/>
  <c r="D11" i="30"/>
  <c r="K11" i="30"/>
  <c r="C12" i="30"/>
  <c r="L12" i="30"/>
  <c r="M12" i="30"/>
  <c r="D12" i="30"/>
  <c r="C13" i="30"/>
  <c r="K13" i="30"/>
  <c r="M13" i="30"/>
  <c r="C14" i="30"/>
  <c r="K14" i="30"/>
  <c r="C15" i="30"/>
  <c r="L15" i="30"/>
  <c r="K16" i="30"/>
  <c r="C17" i="30"/>
  <c r="L17" i="30"/>
  <c r="K17" i="30"/>
  <c r="M17" i="30"/>
  <c r="C18" i="30"/>
  <c r="L18" i="30"/>
  <c r="M18" i="30"/>
  <c r="K18" i="30"/>
  <c r="K19" i="30"/>
  <c r="C20" i="30"/>
  <c r="K20" i="30"/>
  <c r="C21" i="30"/>
  <c r="L21" i="30"/>
  <c r="M21" i="30"/>
  <c r="K21" i="30"/>
  <c r="C22" i="30"/>
  <c r="L22" i="30"/>
  <c r="M22" i="30"/>
  <c r="K22" i="30"/>
  <c r="C23" i="30"/>
  <c r="L23" i="30"/>
  <c r="K23" i="30"/>
  <c r="M23" i="30"/>
  <c r="L27" i="30"/>
  <c r="F13" i="16"/>
  <c r="O19" i="16"/>
  <c r="G14" i="16"/>
  <c r="G16" i="16"/>
  <c r="D5" i="53"/>
  <c r="G5" i="53"/>
  <c r="J11" i="53"/>
  <c r="J13" i="53"/>
  <c r="R13" i="53"/>
  <c r="J15" i="53"/>
  <c r="J17" i="53"/>
  <c r="M21" i="53"/>
  <c r="J28" i="53"/>
  <c r="J32" i="53"/>
  <c r="J34" i="53"/>
  <c r="J38" i="53"/>
  <c r="C46" i="53"/>
  <c r="D5" i="22"/>
  <c r="G5" i="22"/>
  <c r="G9" i="22"/>
  <c r="I15" i="22"/>
  <c r="C80" i="27"/>
  <c r="P15" i="22"/>
  <c r="I16" i="22"/>
  <c r="P16" i="22"/>
  <c r="I17" i="22"/>
  <c r="P17" i="22"/>
  <c r="I19" i="22"/>
  <c r="T19" i="22"/>
  <c r="I23" i="22"/>
  <c r="I24" i="22"/>
  <c r="I25" i="22"/>
  <c r="I26" i="22"/>
  <c r="P26" i="22"/>
  <c r="I30" i="22"/>
  <c r="I35" i="22"/>
  <c r="I38" i="22"/>
  <c r="P38" i="22"/>
  <c r="G42" i="22"/>
  <c r="G22" i="16"/>
  <c r="I42" i="22"/>
  <c r="P42" i="22"/>
  <c r="G43" i="22"/>
  <c r="C16" i="30"/>
  <c r="I43" i="22"/>
  <c r="P43" i="22"/>
  <c r="I47" i="22"/>
  <c r="I52" i="22"/>
  <c r="I54" i="22"/>
  <c r="I58" i="22"/>
  <c r="I62" i="22"/>
  <c r="G64" i="22"/>
  <c r="I64" i="22"/>
  <c r="R66" i="22"/>
  <c r="I67" i="22"/>
  <c r="R67" i="22"/>
  <c r="Q43" i="40"/>
  <c r="C68" i="22"/>
  <c r="R68" i="22"/>
  <c r="I17" i="53"/>
  <c r="C41" i="53"/>
  <c r="I69" i="22"/>
  <c r="G38" i="53"/>
  <c r="R71" i="22"/>
  <c r="C71" i="22"/>
  <c r="N77" i="22"/>
  <c r="I78" i="22"/>
  <c r="A98" i="27"/>
  <c r="A90" i="27"/>
  <c r="C28" i="22"/>
  <c r="C40" i="22"/>
  <c r="L13" i="30"/>
  <c r="L14" i="30"/>
  <c r="M14" i="30"/>
  <c r="L4" i="30"/>
  <c r="R80" i="22"/>
  <c r="C80" i="22"/>
  <c r="L9" i="30"/>
  <c r="K13" i="27"/>
  <c r="N3" i="27"/>
  <c r="L15" i="16"/>
  <c r="C19" i="30"/>
  <c r="L20" i="30"/>
  <c r="M20" i="30"/>
  <c r="F11" i="30"/>
  <c r="H11" i="30"/>
  <c r="G11" i="30"/>
  <c r="L19" i="30"/>
  <c r="M19" i="30"/>
  <c r="C86" i="27"/>
  <c r="D86" i="27"/>
  <c r="Q42" i="40"/>
  <c r="Q44" i="40"/>
  <c r="K12" i="30"/>
  <c r="G24" i="16"/>
  <c r="C96" i="27"/>
  <c r="E96" i="27"/>
  <c r="H10" i="16"/>
  <c r="D85" i="27"/>
  <c r="O15" i="16"/>
  <c r="M15" i="16"/>
  <c r="M25" i="16"/>
  <c r="E86" i="27"/>
  <c r="D84" i="27"/>
  <c r="E84" i="27"/>
  <c r="E82" i="27"/>
  <c r="C20" i="16"/>
  <c r="T18" i="22"/>
  <c r="T15" i="22"/>
  <c r="D4" i="30"/>
  <c r="F4" i="30"/>
  <c r="L16" i="30"/>
  <c r="M16" i="30"/>
  <c r="D15" i="30"/>
  <c r="D96" i="27"/>
  <c r="C95" i="27"/>
  <c r="C45" i="22"/>
  <c r="N15" i="16"/>
  <c r="C91" i="27"/>
  <c r="E91" i="27"/>
  <c r="D91" i="27"/>
  <c r="G18" i="16"/>
  <c r="F17" i="16"/>
  <c r="O20" i="16"/>
  <c r="G30" i="22"/>
  <c r="G35" i="22"/>
  <c r="C87" i="27"/>
  <c r="D87" i="27"/>
  <c r="D21" i="16"/>
  <c r="M16" i="16"/>
  <c r="L25" i="16"/>
  <c r="G38" i="22"/>
  <c r="G20" i="16"/>
  <c r="E4" i="30"/>
  <c r="T16" i="22"/>
  <c r="D6" i="30"/>
  <c r="E6" i="30"/>
  <c r="F6" i="30"/>
  <c r="U17" i="22"/>
  <c r="D9" i="30"/>
  <c r="E87" i="27"/>
  <c r="U16" i="22"/>
  <c r="D7" i="30"/>
  <c r="K7" i="30"/>
  <c r="M7" i="30"/>
  <c r="U15" i="22"/>
  <c r="D5" i="30"/>
  <c r="F5" i="30"/>
  <c r="T17" i="22"/>
  <c r="D8" i="30"/>
  <c r="E8" i="30"/>
  <c r="E81" i="27"/>
  <c r="C94" i="27"/>
  <c r="E94" i="27"/>
  <c r="D95" i="27"/>
  <c r="E95" i="27"/>
  <c r="K15" i="30"/>
  <c r="M15" i="30"/>
  <c r="D25" i="30"/>
  <c r="D26" i="30"/>
  <c r="E16" i="30"/>
  <c r="F16" i="30"/>
  <c r="G47" i="22"/>
  <c r="C49" i="22"/>
  <c r="I11" i="53"/>
  <c r="E15" i="16"/>
  <c r="N17" i="16"/>
  <c r="C92" i="27"/>
  <c r="D92" i="27"/>
  <c r="I19" i="53"/>
  <c r="E5" i="30"/>
  <c r="F7" i="30"/>
  <c r="H7" i="30"/>
  <c r="K6" i="30"/>
  <c r="M6" i="30"/>
  <c r="F21" i="16"/>
  <c r="O21" i="16"/>
  <c r="C97" i="27"/>
  <c r="E97" i="27"/>
  <c r="D97" i="27"/>
  <c r="E19" i="30"/>
  <c r="F19" i="30"/>
  <c r="E13" i="30"/>
  <c r="F13" i="30"/>
  <c r="G13" i="30"/>
  <c r="E10" i="30"/>
  <c r="F10" i="30"/>
  <c r="I32" i="53"/>
  <c r="E92" i="27"/>
  <c r="G7" i="30"/>
  <c r="J43" i="53"/>
  <c r="G5" i="30"/>
  <c r="H5" i="30"/>
  <c r="G19" i="30"/>
  <c r="H19" i="30"/>
  <c r="G58" i="22"/>
  <c r="C99" i="27"/>
  <c r="E99" i="27"/>
  <c r="C93" i="27"/>
  <c r="G52" i="22"/>
  <c r="G4" i="30"/>
  <c r="H4" i="30"/>
  <c r="F9" i="30"/>
  <c r="K9" i="30"/>
  <c r="M9" i="30"/>
  <c r="E9" i="30"/>
  <c r="D24" i="30"/>
  <c r="G6" i="30"/>
  <c r="H6" i="30"/>
  <c r="G16" i="30"/>
  <c r="H16" i="30"/>
  <c r="G10" i="30"/>
  <c r="H10" i="30"/>
  <c r="E17" i="30"/>
  <c r="F17" i="30"/>
  <c r="K5" i="30"/>
  <c r="M5" i="30"/>
  <c r="K4" i="30"/>
  <c r="M4" i="30"/>
  <c r="M24" i="30"/>
  <c r="E20" i="30"/>
  <c r="F20" i="30"/>
  <c r="E7" i="30"/>
  <c r="E21" i="30"/>
  <c r="F21" i="30"/>
  <c r="I26" i="53"/>
  <c r="I28" i="53"/>
  <c r="E14" i="30"/>
  <c r="F14" i="30"/>
  <c r="C32" i="22"/>
  <c r="E11" i="30"/>
  <c r="E12" i="30"/>
  <c r="F12" i="30"/>
  <c r="K8" i="30"/>
  <c r="M8" i="30"/>
  <c r="D94" i="27"/>
  <c r="F8" i="30"/>
  <c r="E15" i="30"/>
  <c r="F15" i="30"/>
  <c r="H13" i="30"/>
  <c r="E18" i="30"/>
  <c r="F18" i="30"/>
  <c r="E22" i="30"/>
  <c r="F22" i="30"/>
  <c r="E23" i="30"/>
  <c r="F23" i="30"/>
  <c r="G9" i="30"/>
  <c r="H9" i="30"/>
  <c r="G15" i="30"/>
  <c r="H15" i="30"/>
  <c r="G20" i="30"/>
  <c r="H20" i="30"/>
  <c r="I20" i="30" a="1"/>
  <c r="I20" i="30" s="1"/>
  <c r="I13" i="53"/>
  <c r="C98" i="27"/>
  <c r="I34" i="53"/>
  <c r="I43" i="53"/>
  <c r="I45" i="53"/>
  <c r="G54" i="22"/>
  <c r="I21" i="53"/>
  <c r="D98" i="27"/>
  <c r="D99" i="27"/>
  <c r="F27" i="16"/>
  <c r="O22" i="16"/>
  <c r="O25" i="16"/>
  <c r="G23" i="30"/>
  <c r="H23" i="30"/>
  <c r="F24" i="30"/>
  <c r="H19" i="16"/>
  <c r="P24" i="16"/>
  <c r="P25" i="16"/>
  <c r="D93" i="27"/>
  <c r="E93" i="27"/>
  <c r="G14" i="30"/>
  <c r="H14" i="30"/>
  <c r="E24" i="30"/>
  <c r="G21" i="30"/>
  <c r="H21" i="30"/>
  <c r="G8" i="30"/>
  <c r="G24" i="30"/>
  <c r="H8" i="30"/>
  <c r="G12" i="30"/>
  <c r="H12" i="30"/>
  <c r="G17" i="30"/>
  <c r="H17" i="30"/>
  <c r="G22" i="30"/>
  <c r="H22" i="30"/>
  <c r="G18" i="30"/>
  <c r="H18" i="30"/>
  <c r="R11" i="53"/>
  <c r="R85" i="22"/>
  <c r="C87" i="22"/>
  <c r="I7" i="30" a="1"/>
  <c r="I7" i="30" s="1"/>
  <c r="N20" i="32"/>
  <c r="E20" i="32"/>
  <c r="Q20" i="32"/>
  <c r="K20" i="32"/>
  <c r="H20" i="32"/>
  <c r="C85" i="22"/>
  <c r="C9" i="53"/>
  <c r="G6" i="54"/>
  <c r="H6" i="54"/>
  <c r="G6" i="32"/>
  <c r="H6" i="32"/>
  <c r="F7" i="16"/>
  <c r="G7" i="16"/>
  <c r="I14" i="30" a="1"/>
  <c r="I14" i="30" s="1"/>
  <c r="I15" i="30" a="1"/>
  <c r="I15" i="30" s="1"/>
  <c r="I17" i="30" a="1"/>
  <c r="I17" i="30" s="1"/>
  <c r="I12" i="30" a="1"/>
  <c r="I12" i="30" s="1"/>
  <c r="I8" i="30" a="1"/>
  <c r="I8" i="30" s="1"/>
  <c r="I4" i="30" a="1"/>
  <c r="I4" i="30" s="1"/>
  <c r="I5" i="30" a="1"/>
  <c r="I5" i="30" s="1"/>
  <c r="I23" i="30" a="1"/>
  <c r="I23" i="30" s="1"/>
  <c r="I6" i="30" a="1"/>
  <c r="I6" i="30" s="1"/>
  <c r="I18" i="30" a="1"/>
  <c r="I18" i="30"/>
  <c r="I22" i="30" a="1"/>
  <c r="I22" i="30" s="1"/>
  <c r="I9" i="30" a="1"/>
  <c r="I9" i="30" s="1"/>
  <c r="I13" i="30" a="1"/>
  <c r="I13" i="30" s="1"/>
  <c r="I36" i="53"/>
  <c r="J36" i="53"/>
  <c r="I38" i="53"/>
  <c r="I19" i="30" a="1"/>
  <c r="I19" i="30" s="1"/>
  <c r="I21" i="30" a="1"/>
  <c r="I21" i="30" s="1"/>
  <c r="E25" i="16"/>
  <c r="N18" i="16"/>
  <c r="N25" i="16"/>
  <c r="I15" i="53"/>
  <c r="E98" i="27"/>
  <c r="E79" i="27"/>
  <c r="I16" i="30" a="1"/>
  <c r="I16" i="30" s="1"/>
  <c r="I11" i="30" a="1"/>
  <c r="I11" i="30" s="1"/>
  <c r="I10" i="30" a="1"/>
  <c r="I10" i="30" s="1"/>
  <c r="R4" i="40" l="1"/>
  <c r="R2" i="40"/>
  <c r="C92" i="22"/>
  <c r="C90" i="22"/>
  <c r="R7" i="40"/>
  <c r="R50" i="40" s="1"/>
  <c r="C94" i="22"/>
  <c r="R17" i="40" l="1"/>
  <c r="R24" i="40"/>
  <c r="R45" i="40"/>
  <c r="R48" i="40"/>
  <c r="R9" i="40"/>
  <c r="R52" i="40"/>
  <c r="R13" i="40"/>
  <c r="R35" i="40"/>
  <c r="R40" i="40"/>
  <c r="R11" i="40"/>
  <c r="R15" i="40"/>
  <c r="R31" i="40"/>
  <c r="R43" i="40"/>
  <c r="R42" i="40"/>
  <c r="R26" i="40"/>
  <c r="R28" i="40"/>
  <c r="R38" i="40"/>
  <c r="R19" i="40"/>
  <c r="R22" i="40"/>
  <c r="R33"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E15" authorId="0" shapeId="0" xr:uid="{A940A575-43E4-4E7F-A75D-8CF04A1A2D35}">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water production sources are metered, remaining sources are estimated.  No regular meter accuracy testing or electronic calibration conducted.</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or electronic calibration conducted.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 or electronic calibration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of related instrumentation is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of related instrumentation is conducted annually, less than 10% of meters are found outside of +/- 6% accuracy
</t>
        </r>
        <r>
          <rPr>
            <b/>
            <sz val="8"/>
            <color indexed="12"/>
            <rFont val="Tahoma"/>
            <family val="2"/>
          </rPr>
          <t>9.</t>
        </r>
        <r>
          <rPr>
            <sz val="8"/>
            <color indexed="12"/>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r>
      </text>
    </comment>
    <comment ref="J15" authorId="0" shapeId="0" xr:uid="{BCBF826A-F2A1-4341-AEEF-C7503312DC28}">
      <text>
        <r>
          <rPr>
            <b/>
            <sz val="8"/>
            <color indexed="81"/>
            <rFont val="Tahoma"/>
            <family val="2"/>
          </rPr>
          <t xml:space="preserve">n/a (not applicable). </t>
        </r>
        <r>
          <rPr>
            <sz val="8"/>
            <color indexed="81"/>
            <rFont val="Tahoma"/>
            <family val="2"/>
          </rPr>
          <t xml:space="preserve">Select n/a only if the water utility fails to have meters on its sources of supply 
</t>
        </r>
        <r>
          <rPr>
            <b/>
            <sz val="8"/>
            <color indexed="10"/>
            <rFont val="Tahoma"/>
            <family val="2"/>
          </rPr>
          <t>1.</t>
        </r>
        <r>
          <rPr>
            <sz val="8"/>
            <color indexed="10"/>
            <rFont val="Tahoma"/>
            <family val="2"/>
          </rPr>
          <t xml:space="preserve"> Inventory information on meters and paper records of measured volumes exist but are incomplete and/or in a very crude condition; data error cannot be determined.</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r>
      </text>
    </comment>
    <comment ref="E16" authorId="0" shapeId="0" xr:uid="{719D8388-ED12-45A6-85DD-6898D6118367}">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1.</t>
        </r>
        <r>
          <rPr>
            <sz val="8"/>
            <color indexed="10"/>
            <rFont val="Tahoma"/>
            <family val="2"/>
          </rPr>
          <t xml:space="preserve"> 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of related instrumentation is conducted annually for all meter installations.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100% of imported water sources are metered, meter accuracy testing and electronic calibration of related instrumentation is conducted semi-annually for all meter installations, with less than 10% of accuracy tests found outside of +/- 3% accuracy.</t>
        </r>
        <r>
          <rPr>
            <sz val="8"/>
            <color indexed="81"/>
            <rFont val="Tahoma"/>
            <family val="2"/>
          </rPr>
          <t xml:space="preserve">     </t>
        </r>
      </text>
    </comment>
    <comment ref="J16" authorId="0" shapeId="0" xr:uid="{FBCDF688-15C9-4651-9130-A122D84B85DC}">
      <text>
        <r>
          <rPr>
            <b/>
            <sz val="8"/>
            <color indexed="81"/>
            <rFont val="Tahoma"/>
            <family val="2"/>
          </rPr>
          <t>n/a (not applicable).</t>
        </r>
        <r>
          <rPr>
            <sz val="8"/>
            <color indexed="81"/>
            <rFont val="Tahoma"/>
            <family val="2"/>
          </rPr>
          <t xml:space="preserve"> Select n/a if the Imported water supply is unmetered, with Imported water quantities estimated on the billing invoices sent by the Exporter to the purchasing Utility. 
</t>
        </r>
        <r>
          <rPr>
            <b/>
            <sz val="8"/>
            <color indexed="10"/>
            <rFont val="Tahoma"/>
            <family val="2"/>
          </rPr>
          <t>1.</t>
        </r>
        <r>
          <rPr>
            <sz val="8"/>
            <color indexed="10"/>
            <rFont val="Tahoma"/>
            <family val="2"/>
          </rPr>
          <t xml:space="preserve"> 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Imported supply metered flow data is logged automatically &amp; reviewed each business day by the Exporter.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t>
        </r>
        <r>
          <rPr>
            <sz val="8"/>
            <color indexed="81"/>
            <rFont val="Tahoma"/>
            <family val="2"/>
          </rPr>
          <t xml:space="preserve">  </t>
        </r>
      </text>
    </comment>
    <comment ref="E17" authorId="0" shapeId="0" xr:uid="{CFC59EA5-23B8-4BF0-8463-D52614AE8ECE}">
      <text>
        <r>
          <rPr>
            <b/>
            <sz val="8"/>
            <color indexed="81"/>
            <rFont val="Tahoma"/>
            <family val="2"/>
          </rPr>
          <t>n/a (not applicable).</t>
        </r>
        <r>
          <rPr>
            <sz val="8"/>
            <color indexed="81"/>
            <rFont val="Tahoma"/>
            <family val="2"/>
          </rPr>
          <t xml:space="preserve"> 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exported water sources are metered; other sources estimated.  No regular meter accuracy testing.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exported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exported water sources are metered, meter accuracy testing and electronic calibration of related instrumentation is conducted semi-annually for all meter installations, with less than 10% of accuracy tests found outside of +/- 3% accuracy.</t>
        </r>
      </text>
    </comment>
    <comment ref="J17" authorId="0" shapeId="0" xr:uid="{9467B4D5-F05D-4A3A-B657-E9538320BAF9}">
      <text>
        <r>
          <rPr>
            <b/>
            <sz val="8"/>
            <color indexed="81"/>
            <rFont val="Tahoma"/>
            <family val="2"/>
          </rPr>
          <t>n/a (not applicable).</t>
        </r>
        <r>
          <rPr>
            <sz val="8"/>
            <color indexed="81"/>
            <rFont val="Tahoma"/>
            <family val="2"/>
          </rPr>
          <t xml:space="preserve"> Select n/a only if the water utility fails to have meters on its exported supply interconnections. 
</t>
        </r>
        <r>
          <rPr>
            <b/>
            <sz val="8"/>
            <color indexed="10"/>
            <rFont val="Tahoma"/>
            <family val="2"/>
          </rPr>
          <t>1.</t>
        </r>
        <r>
          <rPr>
            <sz val="8"/>
            <color indexed="10"/>
            <rFont val="Tahoma"/>
            <family val="2"/>
          </rPr>
          <t xml:space="preserve"> 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t>
        </r>
      </text>
    </comment>
    <comment ref="E23" authorId="0" shapeId="0" xr:uid="{66DB2BEF-6AFB-464E-842B-93D50644D9A6}">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
</t>
        </r>
        <r>
          <rPr>
            <b/>
            <sz val="8"/>
            <color indexed="10"/>
            <rFont val="Tahoma"/>
            <family val="2"/>
          </rPr>
          <t>1.</t>
        </r>
        <r>
          <rPr>
            <sz val="8"/>
            <color indexed="10"/>
            <rFont val="Tahoma"/>
            <family val="2"/>
          </rPr>
          <t xml:space="preserve"> Less than 50% of customers with volume-based billings from meter readings; flat or fixed rate billing exists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billing for others.  Manual meter reading is conducted, with less than 50% meter read success rate, remainding accounts' consumption is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eixst, but only limited meter accuracy testing is conducted.  Regular replacement is conducted for the oldest meters.  Computerized billing records exist with annual auditing of summary statistics conducting by utility personnel.</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exist with volume-based billing from meter reads.  At least 90% customer meter reading success rate; or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At least 99% of customers exist with volume-based billing from meter reads.  At least 95% customer meter reading success rate; or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text>
    </comment>
    <comment ref="G23" authorId="0" shapeId="0" xr:uid="{20031A45-E7B0-4792-878C-499BE271DB22}">
      <text>
        <r>
          <rPr>
            <b/>
            <sz val="8"/>
            <color indexed="81"/>
            <rFont val="Tahoma"/>
            <family val="2"/>
          </rPr>
          <t xml:space="preserve">Please ensure water exported (if any) is </t>
        </r>
        <r>
          <rPr>
            <b/>
            <u/>
            <sz val="8"/>
            <color indexed="81"/>
            <rFont val="Tahoma"/>
            <family val="2"/>
          </rPr>
          <t>excluded</t>
        </r>
        <r>
          <rPr>
            <b/>
            <sz val="8"/>
            <color indexed="81"/>
            <rFont val="Tahoma"/>
            <family val="2"/>
          </rPr>
          <t xml:space="preserve"> from the input value for this component</t>
        </r>
      </text>
    </comment>
    <comment ref="E24" authorId="0" shapeId="0" xr:uid="{6C4074BD-97E5-4768-989F-96ED530AAA6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intentionally unmetered accounts exist
</t>
        </r>
        <r>
          <rPr>
            <b/>
            <sz val="8"/>
            <color indexed="10"/>
            <rFont val="Tahoma"/>
            <family val="2"/>
          </rPr>
          <t>1.</t>
        </r>
        <r>
          <rPr>
            <sz val="8"/>
            <color indexed="10"/>
            <rFont val="Tahoma"/>
            <family val="2"/>
          </rPr>
          <t xml:space="preserve"> Water utility policy does not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r>
          <rPr>
            <b/>
            <sz val="8"/>
            <color indexed="20"/>
            <rFont val="Tahoma"/>
            <family val="2"/>
          </rPr>
          <t>.</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b/>
            <sz val="8"/>
            <color indexed="81"/>
            <rFont val="Tahoma"/>
            <family val="2"/>
          </rPr>
          <t xml:space="preserve">
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does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t>
        </r>
        <r>
          <rPr>
            <b/>
            <sz val="8"/>
            <color indexed="81"/>
            <rFont val="Tahoma"/>
            <family val="2"/>
          </rPr>
          <t xml:space="preserve">
</t>
        </r>
        <r>
          <rPr>
            <b/>
            <sz val="8"/>
            <color indexed="17"/>
            <rFont val="Tahoma"/>
            <family val="2"/>
          </rPr>
          <t>10.</t>
        </r>
        <r>
          <rPr>
            <sz val="8"/>
            <color indexed="17"/>
            <rFont val="Tahoma"/>
            <family val="2"/>
          </rPr>
          <t xml:space="preserve"> Water utility policy does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text>
    </comment>
    <comment ref="E25" authorId="0" shapeId="0" xr:uid="{6BB3C480-34EE-42CE-91BD-77490C46FA32}">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t>
        </r>
      </text>
    </comment>
    <comment ref="E26" authorId="0" shapeId="0" xr:uid="{97522E6B-1692-4176-9898-2D6728B47021}">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6.</t>
        </r>
        <r>
          <rPr>
            <sz val="8"/>
            <color indexed="62"/>
            <rFont val="Tahoma"/>
            <family val="2"/>
          </rPr>
          <t xml:space="preserve"> Coherent policies exist for some forms of unbilled, unmetered consumption but others await closer evaluation. Reasonable recordkeeping for the managed uses exists and allows for annual volumes to be quantified by inference, but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r>
      </text>
    </comment>
    <comment ref="L26" authorId="0" shapeId="0" xr:uid="{859087B0-6C9E-4EA0-9929-914ECA793A58}">
      <text>
        <r>
          <rPr>
            <b/>
            <sz val="8"/>
            <color indexed="81"/>
            <rFont val="Tahoma"/>
            <family val="2"/>
          </rPr>
          <t>Selecting the default percentage option will automatically assign a grading of 5 for this audit component</t>
        </r>
      </text>
    </comment>
    <comment ref="E38" authorId="0" shapeId="0" xr:uid="{B21AF371-41B4-4698-B24D-0746F53CDEC5}">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multiplied typical flowrate, multiplied by number of  events).  
</t>
        </r>
        <r>
          <rPr>
            <b/>
            <sz val="8"/>
            <color indexed="81"/>
            <rFont val="Tahoma"/>
            <family val="2"/>
          </rPr>
          <t>5.</t>
        </r>
        <r>
          <rPr>
            <sz val="8"/>
            <color indexed="81"/>
            <rFont val="Tahoma"/>
            <family val="2"/>
          </rPr>
          <t xml:space="preserve"> Default value of 0.25% of volume of water supplied is employed.
</t>
        </r>
        <r>
          <rPr>
            <b/>
            <sz val="8"/>
            <color indexed="62"/>
            <rFont val="Tahoma"/>
            <family val="2"/>
          </rPr>
          <t>6.</t>
        </r>
        <r>
          <rPr>
            <sz val="8"/>
            <color indexed="62"/>
            <rFont val="Tahoma"/>
            <family val="2"/>
          </rPr>
          <t xml:space="preserve"> 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r>
      </text>
    </comment>
    <comment ref="L38" authorId="0" shapeId="0" xr:uid="{9EA5F4A2-29D4-4D36-81E3-7FB2F846C0B5}">
      <text>
        <r>
          <rPr>
            <b/>
            <sz val="8"/>
            <color indexed="81"/>
            <rFont val="Tahoma"/>
            <family val="2"/>
          </rPr>
          <t>Selecting the default percentage option will automatically assign a grading of 5 for this audit component</t>
        </r>
      </text>
    </comment>
    <comment ref="E42" authorId="0" shapeId="0" xr:uid="{CF911DCF-6DE9-4811-9A1F-6529CFEC8A02}">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r>
        <r>
          <rPr>
            <b/>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of varying age and accumulated volume of throughput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
</t>
        </r>
        <r>
          <rPr>
            <b/>
            <sz val="8"/>
            <color indexed="17"/>
            <rFont val="Tahoma"/>
            <family val="2"/>
          </rPr>
          <t>10.</t>
        </r>
        <r>
          <rPr>
            <sz val="8"/>
            <color indexed="17"/>
            <rFont val="Tahoma"/>
            <family val="2"/>
          </rPr>
          <t xml:space="preserve"> 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t>
        </r>
      </text>
    </comment>
    <comment ref="L42" authorId="0" shapeId="0" xr:uid="{D30F9E2D-8F32-47AF-B0C1-B615F69BE7D3}">
      <text>
        <r>
          <rPr>
            <b/>
            <sz val="8"/>
            <color indexed="81"/>
            <rFont val="Tahoma"/>
            <family val="2"/>
          </rPr>
          <t>Enter a percentage &lt; 10% or enter a value in the box to the right</t>
        </r>
      </text>
    </comment>
    <comment ref="E43" authorId="0" shapeId="0" xr:uid="{228C3A17-B203-4FE1-8BB1-9FF937B32633}">
      <text>
        <r>
          <rPr>
            <b/>
            <sz val="8"/>
            <color indexed="81"/>
            <rFont val="Tahoma"/>
            <family val="2"/>
          </rPr>
          <t>n/a (not applicable).</t>
        </r>
        <r>
          <rPr>
            <sz val="8"/>
            <color indexed="81"/>
            <rFont val="Tahoma"/>
            <family val="2"/>
          </rPr>
          <t xml:space="preserve"> Note: 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r>
        <r>
          <rPr>
            <b/>
            <sz val="8"/>
            <color indexed="81"/>
            <rFont val="Tahoma"/>
            <family val="2"/>
          </rPr>
          <t xml:space="preserve">
</t>
        </r>
        <r>
          <rPr>
            <b/>
            <sz val="8"/>
            <color indexed="53"/>
            <rFont val="Tahoma"/>
            <family val="2"/>
          </rPr>
          <t>2.</t>
        </r>
        <r>
          <rPr>
            <sz val="8"/>
            <color indexed="53"/>
            <rFont val="Tahoma"/>
            <family val="2"/>
          </rPr>
          <t xml:space="preserve"> 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t>
        </r>
      </text>
    </comment>
    <comment ref="L43" authorId="0" shapeId="0" xr:uid="{D6AE8F63-017E-4F81-AEDC-DDD30E40F2E1}">
      <text>
        <r>
          <rPr>
            <b/>
            <sz val="8"/>
            <color indexed="81"/>
            <rFont val="Tahoma"/>
            <family val="2"/>
          </rPr>
          <t>Selecting the default percentage option will automatically assign a grading of 5 for this audit component</t>
        </r>
      </text>
    </comment>
    <comment ref="E62" authorId="0" shapeId="0" xr:uid="{514ED31F-6A8E-4DC0-89C0-C080B7FC5D6E}">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2.</t>
        </r>
        <r>
          <rPr>
            <sz val="8"/>
            <color indexed="53"/>
            <rFont val="Tahoma"/>
            <family val="2"/>
          </rPr>
          <t xml:space="preserve"> Paper records in poor or uncertain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written policy and procedures exist for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written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written policy and procedures exist for permitting and commissioning new water mains.  Electronic recordkeeping such as a Geographical Information System (GIS)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exists for managing water mains extensions and replacements.  Geographic Information System (GIS) data and asset management database agree and random field validation proves truth of databases.  Records of annual field validation should be available for review.</t>
        </r>
      </text>
    </comment>
    <comment ref="E63" authorId="0" shapeId="0" xr:uid="{7E444891-12F9-41C1-BE75-BB7631D7B752}">
      <text>
        <r>
          <rPr>
            <b/>
            <sz val="8"/>
            <color indexed="10"/>
            <rFont val="Tahoma"/>
            <family val="2"/>
          </rPr>
          <t>1.</t>
        </r>
        <r>
          <rPr>
            <sz val="8"/>
            <color indexed="10"/>
            <rFont val="Tahoma"/>
            <family val="2"/>
          </rPr>
          <t xml:space="preserve"> Vague permitting (of new service connections) policy and poor paper recordkeeping of customer connections/billings result in suspect determination of the number of service connections, which may be 10-15% in error from actual count. </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r>
      </text>
    </comment>
    <comment ref="E67" authorId="0" shapeId="0" xr:uid="{91E6A6B0-EB22-44A1-8EBF-646328BCD0FB}">
      <text>
        <r>
          <rPr>
            <b/>
            <sz val="8"/>
            <color indexed="81"/>
            <rFont val="Tahoma"/>
            <family val="2"/>
          </rPr>
          <t>Note:</t>
        </r>
        <r>
          <rPr>
            <sz val="8"/>
            <color indexed="81"/>
            <rFont val="Tahoma"/>
            <family val="2"/>
          </rPr>
          <t xml:space="preserv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
</t>
        </r>
        <r>
          <rPr>
            <sz val="8"/>
            <color indexed="10"/>
            <rFont val="Tahoma"/>
            <family val="2"/>
          </rPr>
          <t>1. 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r>
        <r>
          <rPr>
            <sz val="8"/>
            <color indexed="81"/>
            <rFont val="Tahoma"/>
            <family val="2"/>
          </rPr>
          <t xml:space="preserve">
</t>
        </r>
        <r>
          <rPr>
            <sz val="8"/>
            <color indexed="53"/>
            <rFont val="Tahoma"/>
            <family val="2"/>
          </rPr>
          <t>2. 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r>
        <r>
          <rPr>
            <sz val="8"/>
            <color indexed="81"/>
            <rFont val="Tahoma"/>
            <family val="2"/>
          </rPr>
          <t xml:space="preserve">
3. Conditions between 2 and 4
</t>
        </r>
        <r>
          <rPr>
            <sz val="8"/>
            <color indexed="20"/>
            <rFont val="Tahoma"/>
            <family val="2"/>
          </rPr>
          <t xml:space="preserve">4. 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r>
        <r>
          <rPr>
            <sz val="8"/>
            <color indexed="81"/>
            <rFont val="Tahoma"/>
            <family val="2"/>
          </rPr>
          <t xml:space="preserve">
5. Conditions between 4 and 6
</t>
        </r>
        <r>
          <rPr>
            <sz val="8"/>
            <color indexed="62"/>
            <rFont val="Tahoma"/>
            <family val="2"/>
          </rPr>
          <t xml:space="preserve">6. Clear written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7. Conditions between 6 and 8
</t>
        </r>
        <r>
          <rPr>
            <sz val="8"/>
            <color indexed="12"/>
            <rFont val="Tahoma"/>
            <family val="2"/>
          </rPr>
          <t>8. 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r>
        <r>
          <rPr>
            <sz val="8"/>
            <color indexed="81"/>
            <rFont val="Tahoma"/>
            <family val="2"/>
          </rPr>
          <t xml:space="preserve">
9. Conditions between 8 and 10
</t>
        </r>
        <r>
          <rPr>
            <sz val="8"/>
            <color indexed="17"/>
            <rFont val="Tahoma"/>
            <family val="2"/>
          </rPr>
          <t>10. Either of two conditions can be met for a grading of 10: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text>
    </comment>
    <comment ref="E69" authorId="0" shapeId="0" xr:uid="{282666B8-7ACB-47A4-8A3E-D7492D11D11F}">
      <text>
        <r>
          <rPr>
            <b/>
            <sz val="8"/>
            <color indexed="10"/>
            <rFont val="Tahoma"/>
            <family val="2"/>
          </rPr>
          <t>1.</t>
        </r>
        <r>
          <rPr>
            <sz val="8"/>
            <color indexed="10"/>
            <rFont val="Tahoma"/>
            <family val="2"/>
          </rPr>
          <t xml:space="preserve"> 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2.</t>
        </r>
        <r>
          <rPr>
            <sz val="8"/>
            <color indexed="53"/>
            <rFont val="Tahoma"/>
            <family val="2"/>
          </rPr>
          <t xml:space="preserve"> 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  Procedures are reviewed by a third party knowledgeable in the M36 methodology.  </t>
        </r>
      </text>
    </comment>
    <comment ref="E76" authorId="0" shapeId="0" xr:uid="{E03E39A3-E98D-4766-B625-0226D9C5BD5C}">
      <text>
        <r>
          <rPr>
            <b/>
            <sz val="8"/>
            <color indexed="10"/>
            <rFont val="Tahoma"/>
            <family val="2"/>
          </rPr>
          <t>1.</t>
        </r>
        <r>
          <rPr>
            <sz val="8"/>
            <color indexed="10"/>
            <rFont val="Tahoma"/>
            <family val="2"/>
          </rPr>
          <t xml:space="preserve"> Incomplete paper records and lack of financial accounting documentation on many operating functions makes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However, gaps in data are known to exist, periodic internal reviews are conducted but not a structured financial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but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at least once every three years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annually also by third-party CPA.</t>
        </r>
      </text>
    </comment>
    <comment ref="E77" authorId="0" shapeId="0" xr:uid="{12E5AD9B-6801-4A2F-A1ED-5753FDEC2B52}">
      <text>
        <r>
          <rPr>
            <b/>
            <sz val="8"/>
            <color indexed="81"/>
            <rFont val="Tahoma"/>
            <family val="2"/>
          </rPr>
          <t>n/a (not applicable).</t>
        </r>
        <r>
          <rPr>
            <sz val="8"/>
            <color indexed="81"/>
            <rFont val="Tahoma"/>
            <family val="2"/>
          </rPr>
          <t xml:space="preserve"> select n/a if entire customer population is unmetered, and/or only a fixed fee is charged for consumption.  
</t>
        </r>
        <r>
          <rPr>
            <b/>
            <sz val="8"/>
            <color indexed="10"/>
            <rFont val="Tahoma"/>
            <family val="2"/>
          </rPr>
          <t>1.</t>
        </r>
        <r>
          <rPr>
            <sz val="8"/>
            <color indexed="10"/>
            <rFont val="Tahoma"/>
            <family val="2"/>
          </rPr>
          <t xml:space="preserve"> 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r>
      </text>
    </comment>
    <comment ref="E78" authorId="0" shapeId="0" xr:uid="{F2C6301F-D794-44D5-8FE7-DFE03907B2C9}">
      <text>
        <r>
          <rPr>
            <b/>
            <sz val="8"/>
            <color indexed="81"/>
            <rFont val="Tahoma"/>
            <family val="2"/>
          </rPr>
          <t xml:space="preserve">n/a (not applicable). </t>
        </r>
        <r>
          <rPr>
            <sz val="8"/>
            <color indexed="81"/>
            <rFont val="Tahoma"/>
            <family val="2"/>
          </rPr>
          <t xml:space="preserve">Note: if the water utility purchases/imports its entire water supply, then enter the unit purchase cost of the bulk water supply in the Reporting Worksheet with a grading of 10.
</t>
        </r>
        <r>
          <rPr>
            <b/>
            <sz val="8"/>
            <color indexed="10"/>
            <rFont val="Tahoma"/>
            <family val="2"/>
          </rPr>
          <t>1.</t>
        </r>
        <r>
          <rPr>
            <sz val="8"/>
            <color indexed="10"/>
            <rFont val="Tahoma"/>
            <family val="2"/>
          </rPr>
          <t xml:space="preserve"> 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roughly estimate the basic operations costs (pumping power costs and treatment costs) and calculate a unit variable production cost.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1) Third party CPA audit of all pertinent primary and secondary variable production and water imported purchase (if applicable) costs on an annual basis, or:
2) Water supply is entirely purchased as bulk water imported, and the unit purchase cost - including </t>
        </r>
        <r>
          <rPr>
            <u/>
            <sz val="8"/>
            <color indexed="17"/>
            <rFont val="Tahoma"/>
            <family val="2"/>
          </rPr>
          <t>all</t>
        </r>
        <r>
          <rPr>
            <sz val="8"/>
            <color indexed="17"/>
            <rFont val="Tahoma"/>
            <family val="2"/>
          </rPr>
          <t xml:space="preserve"> applicable marginal supply costs - serves as the variable production cost.  If </t>
        </r>
        <r>
          <rPr>
            <u/>
            <sz val="8"/>
            <color indexed="17"/>
            <rFont val="Tahoma"/>
            <family val="2"/>
          </rPr>
          <t>all</t>
        </r>
        <r>
          <rPr>
            <sz val="8"/>
            <color indexed="17"/>
            <rFont val="Tahoma"/>
            <family val="2"/>
          </rPr>
          <t xml:space="preserve"> applicable marginal supply costs are not included in this figure, a grade of 10 should </t>
        </r>
        <r>
          <rPr>
            <u/>
            <sz val="8"/>
            <color indexed="17"/>
            <rFont val="Tahoma"/>
            <family val="2"/>
          </rPr>
          <t>not</t>
        </r>
        <r>
          <rPr>
            <sz val="8"/>
            <color indexed="17"/>
            <rFont val="Tahoma"/>
            <family val="2"/>
          </rPr>
          <t xml:space="preserve"> be selected.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7D2CCB36-B093-4754-B6C3-9920ED935B06}">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E11" authorId="0" shapeId="0" xr:uid="{2707EFCA-C187-44B1-805D-8245B124F9DF}">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F11" authorId="0" shapeId="0" xr:uid="{DB832F10-4CF2-4263-B9AE-A2EB2F931776}">
      <text>
        <r>
          <rPr>
            <b/>
            <sz val="8"/>
            <color indexed="81"/>
            <rFont val="Tahoma"/>
            <family val="2"/>
          </rPr>
          <t>All consumption that is billed and authorized by the utility. This may include both metered and unmetered consumption.</t>
        </r>
      </text>
    </comment>
    <comment ref="G11" authorId="0" shapeId="0" xr:uid="{50F16088-6592-4380-9C1C-967828120EF4}">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H11" authorId="0" shapeId="0" xr:uid="{9D41AE7E-320E-470B-B7C6-E8B531024923}">
      <text>
        <r>
          <rPr>
            <b/>
            <sz val="8"/>
            <color indexed="81"/>
            <rFont val="Tahoma"/>
            <family val="2"/>
          </rPr>
          <t>Water which provides revenue to the utility.</t>
        </r>
      </text>
    </comment>
    <comment ref="G13" authorId="0" shapeId="0" xr:uid="{FC0896BC-F081-4A91-AA5A-AA8142BA01D2}">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F15" authorId="0" shapeId="0" xr:uid="{D11B747A-D5BB-4F29-BD0E-BE6AB8C4C080}">
      <text>
        <r>
          <rPr>
            <b/>
            <sz val="8"/>
            <color indexed="81"/>
            <rFont val="Tahoma"/>
            <family val="2"/>
          </rPr>
          <t xml:space="preserve">All consumption that is unbilled, but is still authorized by the utility. </t>
        </r>
      </text>
    </comment>
    <comment ref="G15" authorId="0" shapeId="0" xr:uid="{B10F60F2-0DE0-405B-84CB-F43E1F6D0B0F}">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H15" authorId="0" shapeId="0" xr:uid="{4FD2D43E-BDCA-4500-B222-EBFA8330F0C7}">
      <text>
        <r>
          <rPr>
            <b/>
            <sz val="8"/>
            <color indexed="81"/>
            <rFont val="Tahoma"/>
            <family val="2"/>
          </rPr>
          <t>Water which does not provide any revenue to the utility.</t>
        </r>
      </text>
    </comment>
    <comment ref="G17" authorId="0" shapeId="0" xr:uid="{32B5AC9B-BF30-4B52-8577-C3C0E874CDC9}">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E19" authorId="0" shapeId="0" xr:uid="{8695C558-DDB2-4679-9E83-FD04E71C387C}">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F19" authorId="0" shapeId="0" xr:uid="{A68CA1CA-6318-4E2B-8AC4-FCACE42110FE}">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G19" authorId="0" shapeId="0" xr:uid="{D2EF9149-0743-4F55-A0EF-07FDB5A0527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G21" authorId="0" shapeId="0" xr:uid="{37D6C16B-9590-453C-8832-EB3A23781D4D}">
      <text>
        <r>
          <rPr>
            <b/>
            <sz val="8"/>
            <color indexed="81"/>
            <rFont val="Tahoma"/>
            <family val="2"/>
          </rPr>
          <t>Apparent water losses caused by customer meter inaccuracies.</t>
        </r>
      </text>
    </comment>
    <comment ref="G23" authorId="0" shapeId="0" xr:uid="{374D278B-76F3-4B3B-9E04-AC3155409EF8}">
      <text>
        <r>
          <rPr>
            <b/>
            <sz val="8"/>
            <color indexed="81"/>
            <rFont val="Tahoma"/>
            <family val="2"/>
          </rPr>
          <t>Apparent water losses caused by data handling errors in the meter reading and billing system.</t>
        </r>
      </text>
    </comment>
    <comment ref="F25" authorId="0" shapeId="0" xr:uid="{2ECB8AB6-278F-40C2-A1FB-7F2AA076117C}">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G25" authorId="0" shapeId="0" xr:uid="{6F7FB903-D3AD-406B-A8DA-5720DEBC69E1}">
      <text>
        <r>
          <rPr>
            <b/>
            <sz val="8"/>
            <color indexed="81"/>
            <rFont val="Tahoma"/>
            <family val="2"/>
          </rPr>
          <t>Physical water losses from a pressurized system up to the point of customer use. This is the annual volume lost through all types of leaks and bursts.</t>
        </r>
      </text>
    </comment>
    <comment ref="G27" authorId="0" shapeId="0" xr:uid="{0209AF9F-7779-4185-9FC3-B6C0D10DE795}">
      <text>
        <r>
          <rPr>
            <b/>
            <sz val="8"/>
            <color indexed="81"/>
            <rFont val="Tahoma"/>
            <family val="2"/>
          </rPr>
          <t>Physical water losses from the utility's storage tanks.</t>
        </r>
      </text>
    </comment>
    <comment ref="G29" authorId="0" shapeId="0" xr:uid="{3F52C98B-8BA2-4E07-AC1D-5B0D5320830E}">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C3" authorId="0" shapeId="0" xr:uid="{C100E612-32B9-4347-951A-7B4D7B9012D9}">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D3" authorId="0" shapeId="0" xr:uid="{393095CB-8F86-4C22-972C-3C58C53E9144}">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xr:uid="{08E4DC06-FDDB-4910-9A4F-137B3DDAF402}">
      <text>
        <r>
          <rPr>
            <b/>
            <sz val="8"/>
            <color indexed="81"/>
            <rFont val="Tahoma"/>
            <family val="2"/>
          </rPr>
          <t>New weighting is calculated for each item - "rebasing" to 100</t>
        </r>
      </text>
    </comment>
    <comment ref="F3" authorId="0" shapeId="0" xr:uid="{44681473-40AB-44F6-A295-E786B30C4B04}">
      <text>
        <r>
          <rPr>
            <b/>
            <sz val="8"/>
            <color indexed="81"/>
            <rFont val="Tahoma"/>
            <family val="2"/>
          </rPr>
          <t>Creates "multiplier" for what each point (1-10) is worth</t>
        </r>
      </text>
    </comment>
    <comment ref="G3" authorId="0" shapeId="0" xr:uid="{2BCA2067-7DA9-46B0-9780-5E2DC7DC2EA0}">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H3" authorId="0" shapeId="0" xr:uid="{863786D6-0DD0-4A88-BEF6-C10E2978A9A3}">
      <text>
        <r>
          <rPr>
            <b/>
            <sz val="8"/>
            <color indexed="81"/>
            <rFont val="Tahoma"/>
            <family val="2"/>
          </rPr>
          <t>Calcualates where most points were lost to identify top 3 areas for focus</t>
        </r>
      </text>
    </comment>
    <comment ref="I3" authorId="0" shapeId="0" xr:uid="{D6D80A4E-44C7-4CF1-88A5-0454B53B2FC2}">
      <text>
        <r>
          <rPr>
            <b/>
            <sz val="8"/>
            <color indexed="81"/>
            <rFont val="Tahoma"/>
            <family val="2"/>
          </rPr>
          <t>Unique ranking formula</t>
        </r>
        <r>
          <rPr>
            <sz val="8"/>
            <color indexed="81"/>
            <rFont val="Tahoma"/>
            <family val="2"/>
          </rPr>
          <t>; avoids limitation with Excel RANK() function of duplicate ranks</t>
        </r>
      </text>
    </comment>
    <comment ref="K3" authorId="0" shapeId="0" xr:uid="{7817DE0B-F65D-4773-B8CF-A2C64EE4CBC7}">
      <text>
        <r>
          <rPr>
            <b/>
            <sz val="8"/>
            <color indexed="81"/>
            <rFont val="Tahoma"/>
            <family val="2"/>
          </rPr>
          <t>Determined based on if a weight has been calcaulted, as weighting is not calculated if value is zero</t>
        </r>
      </text>
    </comment>
    <comment ref="M3" authorId="0" shapeId="0" xr:uid="{F1E1C9B3-AE9A-4520-930D-F13C05262139}">
      <text>
        <r>
          <rPr>
            <b/>
            <sz val="8"/>
            <color indexed="81"/>
            <rFont val="Tahoma"/>
            <family val="2"/>
          </rPr>
          <t xml:space="preserve">Identifies if grade is required and has been missed </t>
        </r>
      </text>
    </comment>
  </commentList>
</comments>
</file>

<file path=xl/sharedStrings.xml><?xml version="1.0" encoding="utf-8"?>
<sst xmlns="http://schemas.openxmlformats.org/spreadsheetml/2006/main" count="975" uniqueCount="770">
  <si>
    <t>Improvements to attain higher data grading for "Unbilled Unmetered Consumption" component:</t>
  </si>
  <si>
    <t>Improvements to attain higher data grading for "Unauthorized Consumption" component:</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</si>
  <si>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</si>
  <si>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Systematic data handling errors:</t>
  </si>
  <si>
    <t>Water imported:</t>
  </si>
  <si>
    <t>Water exported:</t>
  </si>
  <si>
    <t>Authorized Consumption</t>
  </si>
  <si>
    <t>Billed Authorized Consumption</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</si>
  <si>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</si>
  <si>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</si>
  <si>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</si>
  <si>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</si>
  <si>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</si>
  <si>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</si>
  <si>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</si>
  <si>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</si>
  <si>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</si>
  <si>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</si>
  <si>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Unauthorized consumption</t>
  </si>
  <si>
    <t>Systematic data handling errors</t>
  </si>
  <si>
    <t>NON-REVENUE WATER</t>
  </si>
  <si>
    <t>Average operating pressure</t>
  </si>
  <si>
    <t>Total annual cost of operating the water system</t>
  </si>
  <si>
    <t>Customer retail unit cost</t>
  </si>
  <si>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</si>
  <si>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</si>
  <si>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</si>
  <si>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</si>
  <si>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</si>
  <si>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</si>
  <si>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</si>
  <si>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</si>
  <si>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</si>
  <si>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</si>
  <si>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</si>
  <si>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</si>
  <si>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</si>
  <si>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</si>
  <si>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</si>
  <si>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</si>
  <si>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t>Superior reliability, capacity and integrity of the water supply infrastructure make it relatively immune to supply shortages.</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</si>
  <si>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</si>
  <si>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</si>
  <si>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</si>
  <si>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</si>
  <si>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</si>
  <si>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</si>
  <si>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</si>
  <si>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</si>
  <si>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</si>
  <si>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</si>
  <si>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</si>
  <si>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</si>
  <si>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Megalitres (thousand cubic metres)</t>
  </si>
  <si>
    <t>Acre-feet</t>
  </si>
  <si>
    <t>Million gallons (US)</t>
  </si>
  <si>
    <t>Units and Conversions</t>
  </si>
  <si>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</si>
  <si>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</si>
  <si>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</si>
  <si>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</si>
  <si>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</si>
  <si>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Non-revenue water as percent by cost of operating system:</t>
  </si>
  <si>
    <t>Non-revenue water as percent by volume of Water Supplied:</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</si>
  <si>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</si>
  <si>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</si>
  <si>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t>n/a</t>
  </si>
  <si>
    <t>Real Losses (Current Annual Real Losses or CARL)</t>
  </si>
  <si>
    <t>Infrastructure Leakage Index (ILI) [CARL/UARL]:</t>
  </si>
  <si>
    <t>From Above, Real Losses = Current Annual Real Losses (CARL):</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</si>
  <si>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</si>
  <si>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</si>
  <si>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COST DATA</t>
  </si>
  <si>
    <t>REFERENCES:</t>
  </si>
  <si>
    <t>DEVELOPED BY:</t>
  </si>
  <si>
    <t>Unavoidable Annual Real Losses (UARL):</t>
  </si>
  <si>
    <t>$/Year</t>
  </si>
  <si>
    <t>Unavoidable Annual Real Losses (UARL)</t>
  </si>
  <si>
    <t>Infrastructure Leakage Index (ILI)</t>
  </si>
  <si>
    <t>Target ILI Range</t>
  </si>
  <si>
    <t>Operational Considerations</t>
  </si>
  <si>
    <t>Water Resources Considerations</t>
  </si>
  <si>
    <t>Financial Considerations</t>
  </si>
  <si>
    <t>1.0 - 3.0</t>
  </si>
  <si>
    <t>Greater than 8.0</t>
  </si>
  <si>
    <t>Improvements to attain higher data grading for "Customer Retail Unit Cost" component:</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</si>
  <si>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</si>
  <si>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</si>
  <si>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</si>
  <si>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</si>
  <si>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</si>
  <si>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</si>
  <si>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</si>
  <si>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</si>
  <si>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Coherent policies exist for some forms of unbilled, unmetered consumption but others await closer evaluation. Reasonable recordkeeping for the managed uses exists and allows for annual volumes to be quantified by inference, but unsupervised uses are guesstimated.</t>
  </si>
  <si>
    <t>Poorly assembled and maintained paper as-built records of existing water main installations makes accurate determination of system pipe length impossible.  Length of mains is guesstimated.</t>
  </si>
  <si>
    <t>Apparent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</si>
  <si>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</si>
  <si>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</si>
  <si>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</si>
  <si>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</si>
  <si>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</si>
  <si>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</si>
  <si>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</si>
  <si>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</si>
  <si>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</si>
  <si>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</si>
  <si>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</si>
  <si>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</si>
  <si>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</si>
  <si>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</si>
  <si>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</si>
  <si>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</si>
  <si>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</si>
  <si>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</si>
  <si>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</si>
  <si>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</si>
  <si>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t>acre-feet</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</si>
  <si>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</si>
  <si>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</si>
  <si>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</si>
  <si>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</si>
  <si>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</si>
  <si>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Incomplete paper records and lack of documentation on primary operating functions (electric power and treatment costs most importantly) makes calculation of variable production costs a pure guesstimate</t>
  </si>
  <si>
    <t xml:space="preserve">select n/a if all billing-exempt consumption is unmetered.  </t>
  </si>
  <si>
    <t>Default value of 1.25% of system input volume is employed</t>
  </si>
  <si>
    <t>Real Losses = Water Losses - Apparent Losses:</t>
  </si>
  <si>
    <t>Customer retail unit cost (applied to Apparent Losses)</t>
  </si>
  <si>
    <t>Number of active AND inactive service connections:</t>
  </si>
  <si>
    <t>Customer retail unit cost (applied to Apparent Losses):</t>
  </si>
  <si>
    <t>Variable production cost (applied to Real Losses):</t>
  </si>
  <si>
    <t>Volume from own sources:</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</si>
  <si>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</si>
  <si>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</si>
  <si>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</si>
  <si>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</si>
  <si>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</si>
  <si>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</si>
  <si>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</si>
  <si>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</si>
  <si>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</si>
  <si>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</si>
  <si>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</si>
  <si>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</si>
  <si>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</si>
  <si>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</si>
  <si>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D</t>
  </si>
  <si>
    <t>Water Loss Control Planning Guide</t>
  </si>
  <si>
    <t>Functional Focus Area</t>
  </si>
  <si>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</si>
  <si>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</si>
  <si>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r>
      <t>Level I</t>
    </r>
    <r>
      <rPr>
        <sz val="10"/>
        <rFont val="Arial"/>
      </rPr>
      <t xml:space="preserve"> (0-25)</t>
    </r>
  </si>
  <si>
    <t>Water imported</t>
  </si>
  <si>
    <t>Volume from own sources</t>
  </si>
  <si>
    <t>Water exported</t>
  </si>
  <si>
    <t>Unbilled unmetered consumption</t>
  </si>
  <si>
    <t>Unbilled metered consumption</t>
  </si>
  <si>
    <t>Customer metering inaccuracies</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</si>
  <si>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</si>
  <si>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Note: if the water utility purchases/imports its entire water supply, then enter the unit purchase cost of the bulk water supply in the Reporting Worksheet with a grading of 10</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</si>
  <si>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</si>
  <si>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</si>
  <si>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</si>
  <si>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Improvements to attain higher data grading for "Average Length of Customer Service Line" component:</t>
  </si>
  <si>
    <t xml:space="preserve">Value calculated based on input data </t>
  </si>
  <si>
    <t>Water Audit Report for:</t>
  </si>
  <si>
    <t>Reporting Year:</t>
  </si>
  <si>
    <t>SYSTEM DATA</t>
  </si>
  <si>
    <t>Variable production cost (applied to Real Losses)</t>
  </si>
  <si>
    <t>Annual cost of Apparent Losses:</t>
  </si>
  <si>
    <t>Value can be entered by user</t>
  </si>
  <si>
    <t>Conditions between 
2 and 4</t>
  </si>
  <si>
    <t>Conditions between 
4 and 6</t>
  </si>
  <si>
    <t>Conditions between 
6 and 8</t>
  </si>
  <si>
    <t>Conditions between 
8 and 10</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</si>
  <si>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</si>
  <si>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</si>
  <si>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</si>
  <si>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Improvements to attain higher data grading for "Variable Production Cost" component:</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</si>
  <si>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</si>
  <si>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</si>
  <si>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</si>
  <si>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</si>
  <si>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</si>
  <si>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</si>
  <si>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</si>
  <si>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</si>
  <si>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million gallons (US)</t>
  </si>
  <si>
    <t>$/1000 gallons (US)</t>
  </si>
  <si>
    <t>NON-REVENUE WATER:</t>
  </si>
  <si>
    <t>Billed Water Exported</t>
  </si>
  <si>
    <t>Less than 1.0</t>
  </si>
  <si>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</si>
  <si>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</si>
  <si>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</si>
  <si>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</si>
  <si>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</si>
  <si>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</si>
  <si>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</si>
  <si>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</si>
  <si>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</si>
  <si>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Value:</t>
  </si>
  <si>
    <t>Pcnt:</t>
  </si>
  <si>
    <t>(reallosses * real loss cost per unit) + (apparent losses * apparent loss cost per unit * unit conversion factor)</t>
  </si>
  <si>
    <t>Average length of customer service line</t>
  </si>
  <si>
    <t>Average length of customer service line:</t>
  </si>
  <si>
    <t>Use of Option Buttons</t>
  </si>
  <si>
    <r>
      <t>m</t>
    </r>
    <r>
      <rPr>
        <vertAlign val="superscript"/>
        <sz val="10"/>
        <rFont val="Arial"/>
        <family val="2"/>
      </rPr>
      <t>3</t>
    </r>
  </si>
  <si>
    <t>million</t>
  </si>
  <si>
    <t>thousand cubic metres</t>
  </si>
  <si>
    <t>These cells contain recommended default values</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</si>
  <si>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</si>
  <si>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</si>
  <si>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</si>
  <si>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</si>
  <si>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</si>
  <si>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</si>
  <si>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</si>
  <si>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</si>
  <si>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</si>
  <si>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</si>
  <si>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</si>
  <si>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</si>
  <si>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t xml:space="preserve">25% - 50% of exported water sources are metered; other sources estimated.  No regular meter accuracy testing. </t>
  </si>
  <si>
    <t>Select this grading only if the water utility purchases/imports all of its water resources (i.e. has no sources of its own)</t>
  </si>
  <si>
    <t>Improvements to attain higher data grading for "Volume from own Sources" component:</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</si>
  <si>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</si>
  <si>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</si>
  <si>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</si>
  <si>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</si>
  <si>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</si>
  <si>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</si>
  <si>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</si>
  <si>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</si>
  <si>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</si>
  <si>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</si>
  <si>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</si>
  <si>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</si>
  <si>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t>Improvements to attain higher data grading for "Average Operating Pressure" component:</t>
  </si>
  <si>
    <t xml:space="preserve">Reasonably maintained, but incomplete, paper or electronic accounting provides data to estimate the major portion of water system operating costs. </t>
  </si>
  <si>
    <t>- Alegre, H., Hirner, W., Baptista, J. and Parena, R. Performance Indicators for Water Supply Services.  IWA Publishing ‘Manual of Best Practice’ Series, 2000.  ISBN 1 900222 272</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</si>
  <si>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</si>
  <si>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</si>
  <si>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</si>
  <si>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</si>
  <si>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</si>
  <si>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</si>
  <si>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</si>
  <si>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</si>
  <si>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</si>
  <si>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</si>
  <si>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</si>
  <si>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</si>
  <si>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</si>
  <si>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</si>
  <si>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</si>
  <si>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</si>
  <si>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</si>
  <si>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</si>
  <si>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</si>
  <si>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</si>
  <si>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</si>
  <si>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</si>
  <si>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Improvements to attain higher data grading for "Billed Unmetered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</si>
  <si>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</si>
  <si>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</si>
  <si>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</si>
  <si>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</si>
  <si>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</si>
  <si>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</si>
  <si>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</si>
  <si>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</si>
  <si>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 xml:space="preserve">At least 75% of exported water sources are metered, meter accuracy testing and/or electronic calibration conducted annually.  Less than 25% of tested meters are found outside of +/- 6% accuracy.  </t>
  </si>
  <si>
    <t>For validity scores of 50 or below, the shaded blocks should not be focus areas until better data validity is achieved.</t>
  </si>
  <si>
    <r>
      <t>Level II</t>
    </r>
    <r>
      <rPr>
        <sz val="10"/>
        <rFont val="Arial"/>
      </rPr>
      <t xml:space="preserve"> (26-50)</t>
    </r>
  </si>
  <si>
    <r>
      <t>Level III</t>
    </r>
    <r>
      <rPr>
        <sz val="10"/>
        <rFont val="Arial"/>
      </rPr>
      <t xml:space="preserve"> (51-70)</t>
    </r>
  </si>
  <si>
    <r>
      <t>Level IV</t>
    </r>
    <r>
      <rPr>
        <sz val="10"/>
        <rFont val="Arial"/>
        <family val="2"/>
      </rPr>
      <t xml:space="preserve"> (71-90)</t>
    </r>
  </si>
  <si>
    <r>
      <t>Level V</t>
    </r>
    <r>
      <rPr>
        <sz val="10"/>
        <rFont val="Arial"/>
      </rPr>
      <t xml:space="preserve"> (91-100)</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</si>
  <si>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</si>
  <si>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</si>
  <si>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</si>
  <si>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Billed Metered Consumption (water exported is removed)</t>
  </si>
  <si>
    <t>Enter negative % or value for under-registration</t>
  </si>
  <si>
    <t>Enter positive % or value for over-registration</t>
  </si>
  <si>
    <r>
      <t xml:space="preserve">Number of </t>
    </r>
    <r>
      <rPr>
        <u/>
        <sz val="10"/>
        <rFont val="Arial"/>
        <family val="2"/>
      </rPr>
      <t>active AND inactive</t>
    </r>
    <r>
      <rPr>
        <sz val="10"/>
        <rFont val="Arial"/>
        <family val="2"/>
      </rPr>
      <t xml:space="preserve"> service connections:</t>
    </r>
  </si>
  <si>
    <r>
      <t>Average</t>
    </r>
    <r>
      <rPr>
        <sz val="10"/>
        <rFont val="Arial"/>
        <family val="2"/>
      </rPr>
      <t xml:space="preserve"> length of customer service line:</t>
    </r>
  </si>
  <si>
    <r>
      <t xml:space="preserve"> </t>
    </r>
    <r>
      <rPr>
        <b/>
        <u/>
        <sz val="11"/>
        <rFont val="Arial Narrow"/>
        <family val="2"/>
      </rPr>
      <t>WATER AUDIT DATA VALIDITY SCORE:</t>
    </r>
  </si>
  <si>
    <r>
      <t xml:space="preserve"> </t>
    </r>
    <r>
      <rPr>
        <b/>
        <u/>
        <sz val="11"/>
        <rFont val="Arial Narrow"/>
        <family val="2"/>
      </rPr>
      <t>PRIORITY AREAS FOR ATTENTION:</t>
    </r>
  </si>
  <si>
    <t>Comment</t>
  </si>
  <si>
    <t>Vol. from own sources:</t>
  </si>
  <si>
    <t>Auth. Consumption</t>
  </si>
  <si>
    <t xml:space="preserve">If Yes, </t>
  </si>
  <si>
    <t>If Yes, force grade to 10</t>
  </si>
  <si>
    <t>If Yes, force length to 0</t>
  </si>
  <si>
    <t>= Water Losses + Unbilled Metered + Unbilled Unmetered</t>
  </si>
  <si>
    <t>MME</t>
  </si>
  <si>
    <t>Raw Vol</t>
  </si>
  <si>
    <t xml:space="preserve">              &lt;----------- Enter grading in column 'E' and 'J' ----------&gt;</t>
  </si>
  <si>
    <t>total weighting pts</t>
  </si>
  <si>
    <t>=            Water Losses:</t>
  </si>
  <si>
    <t>+              Real Losses:</t>
  </si>
  <si>
    <t>look into locking radio buttons in place - they often seem to move</t>
  </si>
  <si>
    <t>Format Shape &gt; Properties - Object positioning: Move and Size with cells</t>
  </si>
  <si>
    <t>Format Shape &gt; Properties - Object positioning: Move but don't size with cells</t>
  </si>
  <si>
    <t>Total Pts for Water Supplied (top 6 items):</t>
  </si>
  <si>
    <t>Grading weighting points in red</t>
  </si>
  <si>
    <t>Master meter error adjustment (Import)</t>
  </si>
  <si>
    <t>Master meter error adjustment (Export)</t>
  </si>
  <si>
    <t>System Attributes:</t>
  </si>
  <si>
    <t>Performance Indicators:</t>
  </si>
  <si>
    <t>We could add a 3rd option - another box for $ input (at user defined rate)</t>
  </si>
  <si>
    <t>Water exported: master meter error adjustment:</t>
  </si>
  <si>
    <t>Water imported: master meter error adjustment:</t>
  </si>
  <si>
    <t>Pcnt(1) or Val(2)</t>
  </si>
  <si>
    <t>Real Losses per service connection per day:</t>
  </si>
  <si>
    <r>
      <t xml:space="preserve"> AWWA Free Water Audit Software:
 </t>
    </r>
    <r>
      <rPr>
        <b/>
        <u/>
        <sz val="14"/>
        <color indexed="9"/>
        <rFont val="Arial"/>
        <family val="2"/>
      </rPr>
      <t>Reporting Worksheet</t>
    </r>
  </si>
  <si>
    <r>
      <t xml:space="preserve"> AWWA Free Water Audit Software:
 </t>
    </r>
    <r>
      <rPr>
        <b/>
        <u/>
        <sz val="14"/>
        <color indexed="9"/>
        <rFont val="Arial"/>
        <family val="2"/>
      </rPr>
      <t>System Attributes and Performance Indicators</t>
    </r>
  </si>
  <si>
    <t>Audit Item</t>
  </si>
  <si>
    <t>General Comment:</t>
  </si>
  <si>
    <t>FALSE=VPC;TRUE=CRUC</t>
  </si>
  <si>
    <t>Valued at</t>
  </si>
  <si>
    <r>
      <t xml:space="preserve"> AWWA Free Water Audit Software:
 </t>
    </r>
    <r>
      <rPr>
        <b/>
        <u/>
        <sz val="14"/>
        <color indexed="9"/>
        <rFont val="Arial"/>
        <family val="2"/>
      </rPr>
      <t>Dashboard</t>
    </r>
  </si>
  <si>
    <t xml:space="preserve">State / Province: </t>
  </si>
  <si>
    <t xml:space="preserve">Country: </t>
  </si>
  <si>
    <t xml:space="preserve">Name of Contact Person: </t>
  </si>
  <si>
    <t xml:space="preserve">Name of City / Utility: </t>
  </si>
  <si>
    <t xml:space="preserve">City/Town/Municipality: </t>
  </si>
  <si>
    <t xml:space="preserve">Email Address: </t>
  </si>
  <si>
    <t xml:space="preserve">Start Date: </t>
  </si>
  <si>
    <t>Please begin by providing the following information</t>
  </si>
  <si>
    <t xml:space="preserve">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</si>
  <si>
    <t>Use of Option  (Radio) Buttons:</t>
  </si>
  <si>
    <t>All audit data are entered on the</t>
  </si>
  <si>
    <t>Reporting Worksheet</t>
  </si>
  <si>
    <t xml:space="preserve">PWSID / Other ID: </t>
  </si>
  <si>
    <t>Non Revenue Water</t>
  </si>
  <si>
    <t xml:space="preserve"> AWWA Free Water Audit Software:
 Customer Service Line Diagrams</t>
  </si>
  <si>
    <t>If you have questions or comments regarding the software please contact us via email at:</t>
  </si>
  <si>
    <t xml:space="preserve">The spreadsheet contains several separate worksheets. Sheets can be accessed using the tabs towards the bottom of the screen, or by clicking the buttons below. </t>
  </si>
  <si>
    <t>The following worksheets are available by clicking the buttons below or selecting the tabs along the bottom of the page</t>
  </si>
  <si>
    <r>
      <t xml:space="preserve"> AWWA Free Water Audit Software:
 </t>
    </r>
    <r>
      <rPr>
        <b/>
        <u/>
        <sz val="14"/>
        <color indexed="9"/>
        <rFont val="Arial"/>
        <family val="2"/>
      </rPr>
      <t>Determining Water Loss Standing</t>
    </r>
  </si>
  <si>
    <t>General Guidelines for Setting a Target ILI
(without doing a full economic analysis of leakage control options)</t>
  </si>
  <si>
    <r>
      <t xml:space="preserve">Once data have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Arial"/>
        <family val="2"/>
      </rPr>
      <t>Note:</t>
    </r>
    <r>
      <rPr>
        <b/>
        <sz val="11"/>
        <rFont val="Arial"/>
        <family val="2"/>
      </rPr>
      <t xml:space="preserve"> </t>
    </r>
    <r>
      <rPr>
        <sz val="11"/>
        <rFont val="Arial"/>
        <family val="2"/>
      </rPr>
      <t xml:space="preserve">this table offers an approximate guideline for leakage reduction target-setting.  The best means of setting such targets include performing an economic assessment of various loss control methods.  However, this table is useful if such an assessment is not possible. </t>
    </r>
  </si>
  <si>
    <r>
      <t>- Kunkel, G. et al, 2003.  Water Loss Control Committee Report: Applying Worldwide Best Management Practices in Water Loss Control.  Journal AWWA, 95:8:65
- AWWA Water Audits and Loss Control Programs, M36 Publication, 3</t>
    </r>
    <r>
      <rPr>
        <i/>
        <vertAlign val="superscript"/>
        <sz val="12"/>
        <rFont val="Arial"/>
        <family val="2"/>
      </rPr>
      <t>rd</t>
    </r>
    <r>
      <rPr>
        <i/>
        <sz val="12"/>
        <rFont val="Arial"/>
        <family val="2"/>
      </rPr>
      <t xml:space="preserve"> Edition, 2009
- Service Connection Diagrams courtesy of Ronnie McKenzie, WRP Pty Ltd. </t>
    </r>
  </si>
  <si>
    <r>
      <t xml:space="preserve"> AWWA Free Water Audit Software:
 </t>
    </r>
    <r>
      <rPr>
        <b/>
        <u/>
        <sz val="14"/>
        <color indexed="9"/>
        <rFont val="Arial"/>
        <family val="2"/>
      </rPr>
      <t>Acknowledgements</t>
    </r>
  </si>
  <si>
    <t>Volume From Own Sources</t>
  </si>
  <si>
    <t>Syst. data handling errors</t>
  </si>
  <si>
    <t>Cust. metering inaccuracies</t>
  </si>
  <si>
    <t>Unauth. consumption</t>
  </si>
  <si>
    <t xml:space="preserve">          Cost $</t>
  </si>
  <si>
    <r>
      <t xml:space="preserve">Show me the </t>
    </r>
    <r>
      <rPr>
        <u/>
        <sz val="10"/>
        <rFont val="Arial"/>
        <family val="2"/>
      </rPr>
      <t>VOLUME</t>
    </r>
    <r>
      <rPr>
        <sz val="10"/>
        <rFont val="Arial"/>
        <family val="2"/>
      </rPr>
      <t xml:space="preserve"> of Non-Revenue Water</t>
    </r>
  </si>
  <si>
    <r>
      <t xml:space="preserve">Show me the </t>
    </r>
    <r>
      <rPr>
        <u/>
        <sz val="10"/>
        <rFont val="Arial"/>
        <family val="2"/>
      </rPr>
      <t>COST</t>
    </r>
    <r>
      <rPr>
        <sz val="10"/>
        <rFont val="Arial"/>
        <family val="2"/>
      </rPr>
      <t xml:space="preserve"> of Non-Revenue Water</t>
    </r>
  </si>
  <si>
    <t xml:space="preserve">Testing... different object positioning settings to try to prevent radio buttons from moving - seeing this on many completed audits. Evaluate performance during beta testing
</t>
  </si>
  <si>
    <t>Format Shape &gt; Properties - Was forced to change this to: size with cells because of "Can't shift objects off sheet error"</t>
  </si>
  <si>
    <t>Data for plotting the Cost/Volume Bar Chart on the Dashboard</t>
  </si>
  <si>
    <t>Data for plotting the Water Balance with volume-proportional bars on the Dashboard</t>
  </si>
  <si>
    <t xml:space="preserve">Year: </t>
  </si>
  <si>
    <t>The following guidance will help you complete the Audit</t>
  </si>
  <si>
    <t>Vol. from own sources: Master meter error adjustment:</t>
  </si>
  <si>
    <t xml:space="preserve">Are customer meters typically located at the curbstop or property line? </t>
  </si>
  <si>
    <t>1.5 BGD</t>
  </si>
  <si>
    <t xml:space="preserve">This is the average pressure in the distribution system that is the subject of the water audit.  Many water utilities have a calibrated hydraulic model of their water distribution system.  For these utilities, the hydraulic model can be utilized to obtain a very accurate quantity of average pressure.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</si>
  <si>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</si>
  <si>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</si>
  <si>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</si>
  <si>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</si>
  <si>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</si>
  <si>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</si>
  <si>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</si>
  <si>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</si>
  <si>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t>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</si>
  <si>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that the auditor apply a default value of 0.25% of the volume of water supplied.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have some volume of unauthorized consumption occurring in their system.
Note: if the auditor selects the default value for unauthorized consumption, a data grading of 5 is automatically assigned, but not displayed on the Reporting Worksheet.</t>
  </si>
  <si>
    <r>
      <t xml:space="preserve">The Customer Retail Unit Cost represents the charge that customers pay for water service.  This unit cost is applied routinely to the components of Apparent Loss, since these losses represent water reaching customers but not (fully) paid for.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 water or biosolids processing, </t>
    </r>
    <r>
      <rPr>
        <u/>
        <sz val="10"/>
        <rFont val="Arial"/>
        <family val="2"/>
      </rPr>
      <t>but only if</t>
    </r>
    <r>
      <rPr>
        <sz val="10"/>
        <rFont val="Arial"/>
        <family val="2"/>
      </rPr>
      <t xml:space="preserve"> these charges are based upon the volume of potable water consumed.
For water utilities in regions with limited water resources and a questionable ability to meet the drinking water demands in the future, the Customer Retail Unit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to the units that appear in the "WATER SUPPLIED" box.  The monetary units are United States dollars, $. </t>
    </r>
  </si>
  <si>
    <t>All consumption that is unbilled, but still authorized by the utility.  This includes Unbilled Metered Consumption + Unbilled Unmetered Consumption.  See "Authorized Consumption" for more information.  For Unbilled Unmetered Consumption, the Free Water Audit Software provides the auditor the option to select a default value if they have not audited unmetered activities in detail.  The default calculates a volume that is 1.25% of the Water Supplied volume.  If the auditor has carefully audited the various unbilled, unmetered, authorized uses of water, and has established reliable estimates of this collective volume, then he or she may enter the volume directly for this component, and not use the default value.</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</si>
  <si>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</si>
  <si>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r>
      <t xml:space="preserve">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
    </r>
    <r>
      <rPr>
        <u/>
        <sz val="10"/>
        <rFont val="Arial"/>
        <family val="2"/>
      </rPr>
      <t>treated</t>
    </r>
    <r>
      <rPr>
        <sz val="10"/>
        <rFont val="Arial"/>
        <family val="2"/>
      </rPr>
      <t xml:space="preserve"> drinking water that entered the distribution system.  Often the volume of water measured at the effluent of the treatment works is slightly less than the volume measured at the raw water source, since some of the water is used in the treatment process.  Thus, it is useful if flows are metered at the effluent of the treatment works.  If metering exists only at the raw water source, an adjustment for water used in the treatment process should be included to account for water consumed in treatment operations such as filter backwashing, basin flushing and cleaning, etc.  If the audit is conducted for a wholesale water agency that sells untreated water, then this quantity reflects the measure of the raw water, typically metered at the source.</t>
    </r>
  </si>
  <si>
    <t>The Water Imported volume is the bulk water purchased to become part of the Water Supplied volume.  Typically this is water purchased from a neighboring water utility or regional water authority,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</si>
  <si>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An estimate or measure of the volume in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</si>
  <si>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t>
    </r>
  </si>
  <si>
    <r>
      <t xml:space="preserve">Any kind of Authorized Consumption which is neither billed or metered.  This component typically includes water used in activities such as fire fighting, flushing of water mains and sewers, street cleaning, fire flow tests conducted by the water utility, etc.  In most water utilities it is a small component which is very often substantially overestimated. </t>
    </r>
    <r>
      <rPr>
        <b/>
        <sz val="10"/>
        <rFont val="Arial"/>
        <family val="2"/>
      </rPr>
      <t xml:space="preserve"> It does NOT include water supplied to neighboring utilities (water exported) which is unmetered and unbilled – an unlikely case.</t>
    </r>
    <r>
      <rPr>
        <sz val="10"/>
        <rFont val="Arial"/>
        <family val="2"/>
      </rPr>
      <t xml:space="preserve">  This component has many sub-components of water use which are often tedious to identify and quantify.  Because of this, and the fact that it is usually a small portion of the water supplied, it is recommended that the auditor apply the default value, which is 1.25% of the Water Supplied volume.  Select the default percentage to enter this value.
If the water utility </t>
    </r>
    <r>
      <rPr>
        <u/>
        <sz val="10"/>
        <rFont val="Arial"/>
        <family val="2"/>
      </rPr>
      <t>has</t>
    </r>
    <r>
      <rPr>
        <sz val="10"/>
        <rFont val="Arial"/>
        <family val="2"/>
      </rPr>
      <t xml:space="preserve"> carefully audited the unbilled, unmetered activities occurring in the system, and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r>
  </si>
  <si>
    <r>
      <t xml:space="preserve">Number of </t>
    </r>
    <r>
      <rPr>
        <b/>
        <u/>
        <sz val="10"/>
        <rFont val="Arial"/>
        <family val="2"/>
      </rPr>
      <t>active AND inactive</t>
    </r>
    <r>
      <rPr>
        <b/>
        <sz val="10"/>
        <rFont val="Arial"/>
        <family val="2"/>
      </rPr>
      <t xml:space="preserve"> service connections</t>
    </r>
  </si>
  <si>
    <t>&gt;0 if a grading has been missed</t>
  </si>
  <si>
    <t>=0 if no reporting units selected</t>
  </si>
  <si>
    <t xml:space="preserve"> AWWA Free Water Audit Software:
 Definitions</t>
  </si>
  <si>
    <t>Apparent 
Losses</t>
  </si>
  <si>
    <t xml:space="preserve">
Average operating pressure</t>
  </si>
  <si>
    <t xml:space="preserve">
Billed metered consumption</t>
  </si>
  <si>
    <t xml:space="preserve">
Billed unmetered consumption</t>
  </si>
  <si>
    <t>Service connection density:</t>
  </si>
  <si>
    <r>
      <t xml:space="preserve">Number of customer service connections, extending from the water main to supply water to a customer. Please note that this includes the actual number of distinct piping connections, including fire connections, whether active or inactive. This may differ substantially from the number of customers (or number of accounts).  </t>
    </r>
    <r>
      <rPr>
        <b/>
        <sz val="10"/>
        <rFont val="Arial"/>
        <family val="2"/>
      </rPr>
      <t>Note: this number does not include the pipeline leads to fire hydrants - the total length of piping supplying fire hyrants should be included in the "Length of mains" parameter.</t>
    </r>
  </si>
  <si>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an alert will appear asking if the customer population is unmetered.  Since all metered systems have some degree of inaccuracy, a positive value should be entered.  A value of zero in this component is valid only if the water utility does not meter its customer population.    </t>
    </r>
  </si>
  <si>
    <t xml:space="preserve">
Water imported</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</si>
  <si>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</si>
  <si>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</si>
  <si>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</si>
  <si>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</si>
  <si>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</si>
  <si>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</si>
  <si>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</si>
  <si>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</si>
  <si>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</si>
  <si>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</si>
  <si>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</si>
  <si>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</si>
  <si>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</si>
  <si>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</si>
  <si>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</si>
  <si>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</si>
  <si>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</si>
  <si>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</si>
  <si>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</si>
  <si>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</si>
  <si>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</si>
  <si>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</si>
  <si>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</si>
  <si>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</si>
  <si>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</si>
  <si>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</si>
  <si>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</si>
  <si>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</si>
  <si>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</si>
  <si>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</si>
  <si>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</si>
  <si>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</si>
  <si>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</si>
  <si>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</si>
  <si>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</si>
  <si>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</si>
  <si>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</si>
  <si>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</si>
  <si>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</si>
  <si>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</si>
  <si>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</si>
  <si>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</si>
  <si>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</si>
  <si>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</si>
  <si>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</si>
  <si>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</si>
  <si>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</si>
  <si>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</si>
  <si>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</si>
  <si>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</si>
  <si>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</si>
  <si>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</si>
  <si>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</si>
  <si>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</si>
  <si>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</si>
  <si>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</si>
  <si>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</si>
  <si>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</si>
  <si>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</si>
  <si>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</si>
  <si>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</si>
  <si>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</si>
  <si>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</si>
  <si>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</si>
  <si>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</si>
  <si>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</si>
  <si>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</si>
  <si>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r>
      <t xml:space="preserve">= billed water exported +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consumption)</t>
    </r>
  </si>
  <si>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of related instrumentation is conducted annually.  Less than 25% of tested meters are found outside of +/- 6% accuracy.  </t>
    </r>
  </si>
  <si>
    <t>100% of treated water production sources are metered, meter accuracy testing and electronic calibration of related instrumentation is conducted annually, less than 10% of meters are found outside of +/- 6% accuracy</t>
  </si>
  <si>
    <r>
      <t xml:space="preserve">to qualify for 2:
</t>
    </r>
    <r>
      <rPr>
        <sz val="8"/>
        <rFont val="Arial"/>
        <family val="2"/>
      </rPr>
      <t>Organize and launch efforts to collect data for determining volume from own sources</t>
    </r>
  </si>
  <si>
    <r>
      <t xml:space="preserve">to qualify for 4:
</t>
    </r>
    <r>
      <rPr>
        <sz val="8"/>
        <rFont val="Arial"/>
        <family val="2"/>
      </rPr>
      <t>Locate all water production sources on maps and in the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</si>
  <si>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specify the frequency of testing.  Complete installation of meters on unmetered water production sources and complete replacement of all obsolete/defective meters.</t>
    </r>
  </si>
  <si>
    <r>
      <t xml:space="preserve">to qualify for 8:
</t>
    </r>
    <r>
      <rPr>
        <sz val="8"/>
        <rFont val="Arial"/>
        <family val="2"/>
      </rPr>
      <t xml:space="preserve">Conduct annual meter accuracy testing and calibration of related instrumentation on all meter installations on a regular basis.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</si>
  <si>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and calibration of related instrumentation for all meter installations.  Repair or replace meters outside of +/- 3% accuracy.  Investigate new meter technology; pilot one or more replacements with innovative meters in attempt to further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</si>
  <si>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</si>
  <si>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Select n/a only if the water utility fails to have meters on its sources of supply </t>
  </si>
  <si>
    <t xml:space="preserve">Inventory information on meters and paper records of measured volumes exist but are incomplete and/or in a very crude condition; data error cannot be determined </t>
  </si>
  <si>
    <t>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</si>
  <si>
    <t>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</si>
  <si>
    <t>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</si>
  <si>
    <t xml:space="preserve">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</si>
  <si>
    <r>
      <t xml:space="preserve">to qualify for 2:
</t>
    </r>
    <r>
      <rPr>
        <sz val="8"/>
        <rFont val="Arial"/>
        <family val="2"/>
      </rPr>
      <t xml:space="preserve">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t>
    </r>
  </si>
  <si>
    <r>
      <t>to qualify for 4</t>
    </r>
    <r>
      <rPr>
        <sz val="8"/>
        <rFont val="Arial"/>
        <family val="2"/>
      </rPr>
      <t xml:space="preserve">:
Install automatic datalogging equipment on production meters.  Complete installation of level instrumentation at all tanks/storage facilities and include tank level data in automatic calculation routine in a computerized system.  Construct a computerized listing or spreadsheet to archive input volumes, tank/storage volume changes and import/export flows in order to determine the composite "Water Supplied" volume for the distribution system.  Set a procedure to review this data on a monthly basis to detect gross anomalies and data gaps.     </t>
    </r>
  </si>
  <si>
    <r>
      <t>to qualify for 6</t>
    </r>
    <r>
      <rPr>
        <sz val="8"/>
        <rFont val="Arial"/>
        <family val="2"/>
      </rPr>
      <t xml:space="preserve">:
Refine computerized data collection and archive to include hourly production meter data that is reviewed at least on a weekly basis to detect specific data anomalies and gaps.  Use daily net storage change to balance flows in calculating "Water Supplied" volume.   Necessary corrections to data errors are implemented on a weekly basis. </t>
    </r>
  </si>
  <si>
    <r>
      <t>to qualify for 8</t>
    </r>
    <r>
      <rPr>
        <sz val="8"/>
        <rFont val="Arial"/>
        <family val="2"/>
      </rPr>
      <t xml:space="preserve">:
Ensure that all flow data is collected and archived on at least an hourly basis.  All data is reviewed and detected errors corrected each business day.  Tank/storage levels variations are employed in calculating balanced "Water Supplied" component.  Adjust production meter data for gross error and inaccuracy confirmed by testing. </t>
    </r>
  </si>
  <si>
    <r>
      <t>to qualify for 10</t>
    </r>
    <r>
      <rPr>
        <sz val="8"/>
        <rFont val="Arial"/>
        <family val="2"/>
      </rPr>
      <t>: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Data is reviewed and corrected each business day.</t>
    </r>
  </si>
  <si>
    <t>50% - 75% of imported water sources are metered, other sources estimated.  Occasional meter accuracy testing conducted.</t>
  </si>
  <si>
    <t xml:space="preserve">At least 75% of imported water sources are metered, meter accuracy testing and/or electronic calibration of related instrumentation is conducted annually for all meter installations.  Less than 25% of tested meters are found outside of +/- 6% accuracy.  </t>
  </si>
  <si>
    <t>100% of imported water sources are metered, meter accuracy testing and electronic calibration of related instrumentation is conducted annually, less than 10% of meters are found outside of +/- 6% accuracy</t>
  </si>
  <si>
    <t xml:space="preserve">100% of imported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</si>
  <si>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</si>
  <si>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the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</si>
  <si>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planning for both regular meter accuracy testing and calibration of the related instrumentation.  Continue installation of meters on unmetered imported water interconnections and replacement of obsolete/defective meters.</t>
    </r>
  </si>
  <si>
    <r>
      <t>to qualify for 8</t>
    </r>
    <r>
      <rPr>
        <sz val="8"/>
        <rFont val="Arial"/>
        <family val="2"/>
      </rPr>
      <t>:
Complete project to install new, or replace defective, meters on all imported water interconnections.  Maintain annual meter accuracy testing for all imported water meters and conduct calibration of related instrumentation at least annually.  Repair or replace meters outside of +/- 6% accuracy.</t>
    </r>
  </si>
  <si>
    <r>
      <t xml:space="preserve">to qualify for 10:
</t>
    </r>
    <r>
      <rPr>
        <sz val="8"/>
        <rFont val="Arial"/>
        <family val="2"/>
      </rPr>
      <t xml:space="preserve">Conduct meter accuracy testing for all meters on a semi-annual basis, along with calibration of all related instrumentation.  Repair or replace meters outside of +/- 3%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</si>
  <si>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Continue to conduct calibration of related instrumentation on a semi-annual basis.  Repair or replace meters outside of +/- 3% accuracy.  Continually investigate/pilot improving metering technology.</t>
    </r>
  </si>
  <si>
    <t>Water imported meter error adjustment:</t>
  </si>
  <si>
    <t>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</si>
  <si>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r>
      <t>to qualify for 6</t>
    </r>
    <r>
      <rPr>
        <sz val="8"/>
        <rFont val="Arial"/>
        <family val="2"/>
      </rPr>
      <t xml:space="preserve">:
Refine computerized data collection and archive to include hourly Imported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</si>
  <si>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Imported supply metered flow data is collected and archived on at least an hourly basis.  All data is reviewed and errors/data gaps are corrected each business day.   </t>
    </r>
  </si>
  <si>
    <t>50% - 75% of exported water sources are metered, other sources estimated.  Occasional meter accuracy testing conducted.</t>
  </si>
  <si>
    <t>100% of exported water sources are metered, meter accuracy testing and electronic calibration of related instrumentation is conducted annually, less than 10% of meters are found outside of +/- 6% accuracy</t>
  </si>
  <si>
    <t xml:space="preserve">100% of exported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</si>
  <si>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sales agreements with purchasing utilities;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</si>
  <si>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</si>
  <si>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</si>
  <si>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8</t>
    </r>
    <r>
      <rPr>
        <sz val="8"/>
        <rFont val="Arial"/>
        <family val="2"/>
      </rPr>
      <t>:
Complete project to install new, or replace defective, meters on all exported water interconnections.  Maintain annual meter accuracy testing for all exported water meters.  Repair or replace meters outside of +/- 6% accuracy.</t>
    </r>
  </si>
  <si>
    <t>Water exported meter error adjustment:</t>
  </si>
  <si>
    <t xml:space="preserve">Select n/a only if the water utility fails to have meters on its exported supply interconnections. </t>
  </si>
  <si>
    <t xml:space="preserve">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</si>
  <si>
    <t>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</si>
  <si>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t xml:space="preserve">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</si>
  <si>
    <t xml:space="preserve">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</si>
  <si>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utility selling (exporting) the water and the purchasing Utility.</t>
    </r>
  </si>
  <si>
    <r>
      <t>to qualify for 4</t>
    </r>
    <r>
      <rPr>
        <sz val="8"/>
        <rFont val="Arial"/>
        <family val="2"/>
      </rPr>
      <t xml:space="preserve">:
Install automatic datalogging equipment on exported supply meters.  Set a procedure to review this data on a monthly basis to detect gross anomalies and data gaps.  Launch discussions with the purchasing utilities to jointly review terms of the written agreements regarding meter accuracy testing and data management; revise the terms as necessary.      </t>
    </r>
  </si>
  <si>
    <r>
      <t>to qualify for 6</t>
    </r>
    <r>
      <rPr>
        <sz val="8"/>
        <rFont val="Arial"/>
        <family val="2"/>
      </rPr>
      <t xml:space="preserve">:
Refine computerized data collection and archive to include hourly exported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</si>
  <si>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exported metered flow data is collected and archived on at least an hourly basis.  All data is reviewed and errors/data gaps are corrected each business day.   </t>
    </r>
  </si>
  <si>
    <r>
      <t>to qualify for 10</t>
    </r>
    <r>
      <rPr>
        <sz val="8"/>
        <rFont val="Arial"/>
        <family val="2"/>
      </rPr>
      <t xml:space="preserve">:
Conduct accountability checks to confirm that all exported metered flow data is reviewed and corrected each business day by the utility selling the water.  Results of all meter accuracy tests and data corrections should be available for sharing between the utility and the purchasing Utility.  Establish a schedule for a regular review and updating of the contractual language in the written agreements with the purchasing utilities; at least every five years. </t>
    </r>
  </si>
  <si>
    <r>
      <t>to maintain 10</t>
    </r>
    <r>
      <rPr>
        <sz val="8"/>
        <rFont val="Arial"/>
        <family val="2"/>
      </rPr>
      <t xml:space="preserve">:
Monitor meter innovations for development of more accurate and less expensive flowmeters; work with the purchasing utilities to help identify meter replacement needs.  Keep communication lines with the purchasing utilities open and maintain productive relations.  Keep the written agreement current with clear and explicit language that meets the ongoing needs of all parties. </t>
    </r>
  </si>
  <si>
    <t>Less than 50% of customers with volume-based billings from meter readings; flat or fixed rate billing exists for the majority of the customer population</t>
  </si>
  <si>
    <t>At least 50% of customers with volume-based billing from meter reads; flat rate billing for others.  Manual meter reading is conducted, with less than 50% meter read success rate, remainding accounts' consumption is estimated.  Limited meter records, no regular meter testing or replacement.  Billing data maintained on paper records, with no auditing.</t>
  </si>
  <si>
    <t>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</si>
  <si>
    <t>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eixst, but only limited meter accuracy testing is conducted.  Regular replacement is conducted for the oldest meters.  Computerized billing records exist with annual auditing of summary statistics conducting by utility personnel.</t>
  </si>
  <si>
    <r>
      <t>to qualify for 2</t>
    </r>
    <r>
      <rPr>
        <sz val="8"/>
        <rFont val="Arial"/>
        <family val="2"/>
      </rPr>
      <t>:
Conduct investigations or trials of customer meters to select appropriate meter models.  Budget funding for meter installations.  Investigate volume based water rate structures.</t>
    </r>
  </si>
  <si>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</si>
  <si>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Launch a program of annual auditing of global billing statistics by utility personnel. </t>
    </r>
  </si>
  <si>
    <r>
      <t>to qualify for 8</t>
    </r>
    <r>
      <rPr>
        <sz val="8"/>
        <rFont val="Arial"/>
        <family val="2"/>
      </rPr>
      <t xml:space="preserve">:
Purchase and install meters on unmetered accounts.  If customer meter reading success rate is less than 97%, assess cost-effectiveness of Automatic Meter Reading (AMR) or Advanced Metering Infrastructure (AMI) system for portion or entire system; </t>
    </r>
    <r>
      <rPr>
        <u/>
        <sz val="8"/>
        <rFont val="Arial"/>
        <family val="2"/>
      </rPr>
      <t>or</t>
    </r>
    <r>
      <rPr>
        <sz val="8"/>
        <rFont val="Arial"/>
        <family val="2"/>
      </rPr>
      <t xml:space="preserve"> otherwise achieve ongoing improvements in manual meter reading success rate to 97% or higher.  Refine meter accuracy testing program.  Set meter replacement goals based upon accuracy test results.  Implement annual auditing of detailed billing records by utility personnel and implement third party auditing at least once every five years. </t>
    </r>
  </si>
  <si>
    <r>
      <t>to qualify for 10</t>
    </r>
    <r>
      <rPr>
        <sz val="8"/>
        <rFont val="Arial"/>
        <family val="2"/>
      </rPr>
      <t xml:space="preserve">:
Purchase and install meters on unmetered accounts.  Launch Automatic Meter Reading (AMR) or Advanced Metering Infrastructure (AMI) system trials if manual meter reading success rate of at least 99% is not achieved within a five-year program.  Continue meter accuracy testing program.  Conduct planning and budgeting for large scale meter replacement based upon meter life cycle analysis using cumulative flow target.  Continue annual detailed billing data auditing by utility personnel and conduct third party auditing at least once every three years.   </t>
    </r>
  </si>
  <si>
    <r>
      <t>to maintain 10</t>
    </r>
    <r>
      <rPr>
        <sz val="8"/>
        <rFont val="Arial"/>
        <family val="2"/>
      </rPr>
      <t>:
Continue annual internal billing data auditing, and third party auditing at least every three years.  Continue customer meter accuracy testing to ensure that accurate customer meter readings are obtained and entered as the basis for volume based billing.  Stay abreast of improvements in Automatic Meter Reading (AMR) and Advanced Metering Infrastructure (AMI) and information management.  Plan and budget for justified upgrades in metering, meter reading and billing data management to maintain very high accuracy in customer metering and billing.</t>
    </r>
  </si>
  <si>
    <t>Select n/a if it is the policy of the water utility to meter all customer connections and it has been confirmed by detailed auditing that all customers do indeed have a water meter; i.e. no intentionally unmetered accounts exist</t>
  </si>
  <si>
    <r>
      <t xml:space="preserve">Water utility policy does </t>
    </r>
    <r>
      <rPr>
        <u/>
        <sz val="8"/>
        <rFont val="Arial"/>
        <family val="2"/>
      </rPr>
      <t>not</t>
    </r>
    <r>
      <rPr>
        <sz val="8"/>
        <rFont val="Arial"/>
        <family val="2"/>
      </rPr>
      <t xml:space="preserve">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</si>
  <si>
    <r>
      <t xml:space="preserve">Water utility policy does </t>
    </r>
    <r>
      <rPr>
        <u/>
        <sz val="8"/>
        <rFont val="Arial"/>
        <family val="2"/>
      </rPr>
      <t>not</t>
    </r>
    <r>
      <rPr>
        <sz val="8"/>
        <rFont val="Arial"/>
        <family val="2"/>
      </rPr>
      <t xml:space="preserve">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</si>
  <si>
    <r>
      <t xml:space="preserve">Water utility policy </t>
    </r>
    <r>
      <rPr>
        <u/>
        <sz val="8"/>
        <rFont val="Arial"/>
        <family val="2"/>
      </rPr>
      <t>does</t>
    </r>
    <r>
      <rPr>
        <sz val="8"/>
        <rFont val="Arial"/>
        <family val="2"/>
      </rPr>
      <t xml:space="preserve">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</si>
  <si>
    <r>
      <t xml:space="preserve">Water utility policy </t>
    </r>
    <r>
      <rPr>
        <u/>
        <sz val="8"/>
        <rFont val="Arial"/>
        <family val="2"/>
      </rPr>
      <t>does</t>
    </r>
    <r>
      <rPr>
        <sz val="8"/>
        <rFont val="Arial"/>
        <family val="2"/>
      </rPr>
      <t xml:space="preserve">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</si>
  <si>
    <r>
      <t xml:space="preserve">Water utility policy </t>
    </r>
    <r>
      <rPr>
        <u/>
        <sz val="8"/>
        <rFont val="Arial"/>
        <family val="2"/>
      </rPr>
      <t>does</t>
    </r>
    <r>
      <rPr>
        <sz val="8"/>
        <rFont val="Arial"/>
        <family val="2"/>
      </rPr>
      <t xml:space="preserve">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</si>
  <si>
    <r>
      <t>to qualify for 2</t>
    </r>
    <r>
      <rPr>
        <sz val="8"/>
        <rFont val="Arial"/>
        <family val="2"/>
      </rPr>
      <t>: 
Conduct research and evaluate cost/benefit of a new water utility policy to require metering of the customer population; thereby greatly reducing or eliminating unmetered accounts.  Conduct pilot metering project by installing water meters in small sample of customer accounts and periodically reading the meters or datalogging the water consumption over one, three, or seven day periods.</t>
    </r>
  </si>
  <si>
    <r>
      <t>to qualify for 4</t>
    </r>
    <r>
      <rPr>
        <sz val="8"/>
        <rFont val="Arial"/>
        <family val="2"/>
      </rPr>
      <t xml:space="preserve">: 
Implement a new water utility policy requiring customer metering.  Launch or expand pilot metering study to include several different meter types, which will provide data for economic assessment of full scale metering options.  Assess sites with access difficulties to devise means to obtain water consumption volumes.  Begin customer meter installation. </t>
    </r>
  </si>
  <si>
    <r>
      <t>to qualify for 6</t>
    </r>
    <r>
      <rPr>
        <sz val="8"/>
        <rFont val="Arial"/>
        <family val="2"/>
      </rPr>
      <t>:
Refine policy and procedures to improve customer metering participation for all but solidly exempt accounts.  Assign staff resources to review billing records to identify errant unmetered properties.  Specify metering needs and funding requirements to install sufficient meters to significant reduce the number of unmetered accounts</t>
    </r>
  </si>
  <si>
    <r>
      <t>to qualify for 8</t>
    </r>
    <r>
      <rPr>
        <sz val="8"/>
        <rFont val="Arial"/>
        <family val="2"/>
      </rPr>
      <t>:
Push to install customer meters on a full scale basis.  Refine metering policy and procedures to ensure that all accounts, including municipal properties, are designated for meters.  Plan special efforts to address "hard-to-access" accounts.  Implement procedures to obtain a reliable consumption estimate for the remaining few unmetered accounts awaiting meter installation.</t>
    </r>
  </si>
  <si>
    <r>
      <t>to qualify for 10</t>
    </r>
    <r>
      <rPr>
        <sz val="8"/>
        <rFont val="Arial"/>
        <family val="2"/>
      </rPr>
      <t>:
Continue customer meter installation throughout the service area, with a goal to minimize unmetered accounts.  Sustain the effort to investigate accounts with access difficulties, and devise means to install water meters or otherwise measure water consumption.</t>
    </r>
  </si>
  <si>
    <r>
      <t>to maintain 10</t>
    </r>
    <r>
      <rPr>
        <sz val="8"/>
        <rFont val="Arial"/>
        <family val="2"/>
      </rPr>
      <t>: 
Continue to refine estimation methods for unmetered consumption and explore means to establish metering, for as many billed remaining unmetered accounts as is economically feasible.</t>
    </r>
  </si>
  <si>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</si>
  <si>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Consider increasing the priority of reading meters on unbilled accounts at least annually.  </t>
    </r>
  </si>
  <si>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Gradually include a greater number of these metered accounts to the routes for regular meter reading.    </t>
    </r>
  </si>
  <si>
    <r>
      <t>to qualify for 8</t>
    </r>
    <r>
      <rPr>
        <sz val="8"/>
        <rFont val="Arial"/>
        <family val="2"/>
      </rPr>
      <t xml:space="preserve">: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  Gradually increase the number of unbilled metered accounts that are included in regular meter reading routes. </t>
    </r>
  </si>
  <si>
    <r>
      <t>to qualify for 10</t>
    </r>
    <r>
      <rPr>
        <sz val="8"/>
        <rFont val="Arial"/>
        <family val="2"/>
      </rPr>
      <t>:
Ensure that meter management (meter accuracy testing, meter replacement) and meter reading activities for unbilled accounts are accorded the same priority as billed accounts.  Establish ongoing annual auditing process to ensure that water consumption is reliably collected and provided to the annual water audit process.</t>
    </r>
  </si>
  <si>
    <r>
      <t>to maintain 10</t>
    </r>
    <r>
      <rPr>
        <sz val="8"/>
        <rFont val="Arial"/>
        <family val="2"/>
      </rPr>
      <t>:
Reassess the utility's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</si>
  <si>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 xml:space="preserve">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</si>
  <si>
    <t>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</si>
  <si>
    <t>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</si>
  <si>
    <r>
      <t>to qualify for 5</t>
    </r>
    <r>
      <rPr>
        <sz val="8"/>
        <rFont val="Arial"/>
        <family val="2"/>
      </rPr>
      <t xml:space="preserve">:
Utilize the accepted default value of 1.25% of the volume of water supplied as an expedient means to gain a reasonable quantification of this use.
</t>
    </r>
    <r>
      <rPr>
        <u/>
        <sz val="8"/>
        <rFont val="Arial"/>
        <family val="2"/>
      </rPr>
      <t>to qualify for 2</t>
    </r>
    <r>
      <rPr>
        <sz val="8"/>
        <rFont val="Arial"/>
        <family val="2"/>
      </rPr>
      <t xml:space="preserve">:
Establish a policy regarding what water uses should be allowed to remain as unbilled and unmetered.  Consider tracking a small sample of one such use (ex: fire hydrant flushings).   </t>
    </r>
  </si>
  <si>
    <r>
      <t>to qualify for 5</t>
    </r>
    <r>
      <rPr>
        <sz val="8"/>
        <rFont val="Arial"/>
        <family val="2"/>
      </rPr>
      <t xml:space="preserve">:
Utilize accepted default value of 1.25% of the volume of water supplied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and/or volume requirements for water from fire hydrants).  </t>
    </r>
  </si>
  <si>
    <r>
      <t>to qualify for 5</t>
    </r>
    <r>
      <rPr>
        <sz val="8"/>
        <rFont val="Arial"/>
        <family val="2"/>
      </rPr>
      <t>:
Utilize accepted default value of 1.25% of the volume of water supplied as an expedient means to gain a reasonable quantification of all such use.  This is particularly appropriate for water utilities who are in the early stages of the water auditing process, and should focus on other components since the volume of unbilled, umetered consumption is usually a relatively small quatity component, and other larger-quantity components should take priority.</t>
    </r>
  </si>
  <si>
    <r>
      <t>to qualify for 6 or greater</t>
    </r>
    <r>
      <rPr>
        <sz val="8"/>
        <rFont val="Arial"/>
        <family val="2"/>
      </rPr>
      <t>:
Finalize policy and begin to conduct field checks to better establish and quantify such usage.  Proceed if top-down audit exists and/or a great volume of such use is suspected.</t>
    </r>
  </si>
  <si>
    <r>
      <t>to qualify for 8</t>
    </r>
    <r>
      <rPr>
        <sz val="8"/>
        <rFont val="Arial"/>
        <family val="2"/>
      </rPr>
      <t xml:space="preserve">:
Assess water utility policy and procedures for various unmetered usages.  For example, ensure that a policy exists and permits are issued for use of fire hydrants by persons outside of the utility.  Create written procedures for use and documentation of fire hydrants by water utility personnel.  Use same approach for other types of unbilled, unmetered water usage. </t>
    </r>
  </si>
  <si>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</si>
  <si>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</si>
  <si>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t xml:space="preserve">Procedures exist to document some unauthorized consumption such as observed unauthorized fire hydrant openings.  Use formulae to quantify this consumption (time running multiplied typical flowrate, multiplied by number of  events).  </t>
  </si>
  <si>
    <t>Default value of 0.25% of volume of water supplied is employed</t>
  </si>
  <si>
    <t xml:space="preserve">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</si>
  <si>
    <t>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</si>
  <si>
    <r>
      <t>to qualify for 5</t>
    </r>
    <r>
      <rPr>
        <sz val="8"/>
        <rFont val="Arial"/>
        <family val="2"/>
      </rPr>
      <t xml:space="preserve">:
Use accepted default of 0.25% of volume of water supplied.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</si>
  <si>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</si>
  <si>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volume of water supplied as an expedient means to gain a reasonable quantification of all such use.  This is particularly appropriate for water utilities who are in the early stages of the water auditing process.</t>
    </r>
  </si>
  <si>
    <r>
      <t>to qualify for 6 or greater</t>
    </r>
    <r>
      <rPr>
        <sz val="8"/>
        <rFont val="Arial"/>
        <family val="2"/>
      </rPr>
      <t>:
Finalize policy updates to clearly identify the types of water consumption that are authorized from those usages that fall outside of this policy and are, therefore, unauthorized.  Begin to conduct regular field checks.  Proceed if the top-down audit already exists and/or a great volume of such use is suspected.</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</si>
  <si>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detection and documentation of various occurrences of unauthorized consumption as they are uncovered.   </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</si>
  <si>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</si>
  <si>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detection, documentation and enforcement efforts.  </t>
    </r>
  </si>
  <si>
    <t>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</si>
  <si>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</si>
  <si>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</si>
  <si>
    <t>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</si>
  <si>
    <t xml:space="preserve">Ongoing meter replacement and accuracy testing result in highly accurate customer meter population.  Testing is conducted on samples of meters of varying age and accumulated volume of throughput to determine optimum replacement time for various types of meters.  </t>
  </si>
  <si>
    <t>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t>
  </si>
  <si>
    <r>
      <t>to qualify for 2</t>
    </r>
    <r>
      <rPr>
        <sz val="8"/>
        <rFont val="Arial"/>
        <family val="2"/>
      </rPr>
      <t>:
Gather available meter purchase records.  Conduct testing on a small number of meters believed to be the most inaccurate.  Review staffing needs of the metering group and budget for necessary resources to better organize meter management.</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</si>
  <si>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</si>
  <si>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r>
      <t>to qualify for 6</t>
    </r>
    <r>
      <rPr>
        <sz val="8"/>
        <rFont val="Arial"/>
        <family val="2"/>
      </rPr>
      <t>:
Standardize the procedures for meter recordkeeping within an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</si>
  <si>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</si>
  <si>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9</t>
    </r>
    <r>
      <rPr>
        <sz val="8"/>
        <rFont val="Arial"/>
        <family val="2"/>
      </rPr>
      <t>:
Continue efforts to manage meter population with reliable recordkeeping.  Test a statistically significant number of meters each year and analyze test results in an ongoing manner to serve as a basis for a target meter replacement strategy based upon accumulated volume throughput.</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</si>
  <si>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</si>
  <si>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metering technology and Advanced Metering Infrastructure (AMI) to grasp opportunities for greater accuracy in metering of water flow and management of customer consumption data.</t>
    </r>
  </si>
  <si>
    <t>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</si>
  <si>
    <t>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</si>
  <si>
    <t>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</si>
  <si>
    <t>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</si>
  <si>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</si>
  <si>
    <t xml:space="preserve">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 </t>
  </si>
  <si>
    <r>
      <t>to qualify for 2</t>
    </r>
    <r>
      <rPr>
        <sz val="8"/>
        <rFont val="Arial"/>
        <family val="2"/>
      </rPr>
      <t xml:space="preserve">:
Draft written policy and procedures for activating new water billing accounts and oversight of billing operations.  Investigate and budget for computerized customer billing system.  Conduct initial audit of billing records by flow-charting the basic business processes of the customer account/billing function.  </t>
    </r>
  </si>
  <si>
    <r>
      <t>to qualify for 4</t>
    </r>
    <r>
      <rPr>
        <sz val="8"/>
        <rFont val="Arial"/>
        <family val="2"/>
      </rPr>
      <t>:
Finalize written policy and procedures for activation of new billing acocunts and overall billing operations management.  Implement a computerized customer billing system.  Conduct initial audit of billing records as part of this process.</t>
    </r>
  </si>
  <si>
    <r>
      <t>to qualify for 6</t>
    </r>
    <r>
      <rPr>
        <sz val="8"/>
        <rFont val="Arial"/>
        <family val="2"/>
      </rPr>
      <t>:
Refine new account activation and billing operations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</si>
  <si>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r>
      <t>to qualify for 8</t>
    </r>
    <r>
      <rPr>
        <sz val="8"/>
        <rFont val="Arial"/>
        <family val="2"/>
      </rPr>
      <t>:
Formalize regular review of new account activation process and general billing practices.  Enhance reporting capability of computerized billing system.  Formalize regular auditing process to reveal scope of data handling error.  Plan for periodic third party audit to occur at least once every five years.</t>
    </r>
  </si>
  <si>
    <r>
      <t>to qualify for 10</t>
    </r>
    <r>
      <rPr>
        <sz val="8"/>
        <rFont val="Arial"/>
        <family val="2"/>
      </rPr>
      <t xml:space="preserve">:
Close policy/procedure  loopholes that allow some customer accounts to go unbilled, or data handling errors to exist.  Ensure that billing system reports are utilized, analyzed and reported every billing cycle.  Ensure that internal and third party audits are conducted at least once every three years.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</si>
  <si>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</si>
  <si>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t>Paper records in poor or uncertain condition (no annual tracking of installations &amp; abandonments).  Poor procedures to ensure that new water mains installed by developers are accurately documented.</t>
  </si>
  <si>
    <t>Sound written policy and procedures exist for documenting new water main installations, but gaps in management result in a uncertain degree of error in tabulation of mains length.</t>
  </si>
  <si>
    <t>Sound written policy and procedures exist for permitting and commissioning new water mains.  Highly accurate paper records with regular field validation; or electronic records and asset management system in good condition.  Includes system backup.</t>
  </si>
  <si>
    <t xml:space="preserve">Sound written policy and procedures exist for permitting and commissioning new water mains.  Electronic recordkeeping such as a Geographical Information System (GIS) and asset management system are used to store and manage data.  </t>
  </si>
  <si>
    <t>Sound written policy exists for managing water mains extensions and replacements.  Geographic Information System (GIS) data and asset management database agree and random field validation proves truth of databases.  Records of annual field validation should be available for review.</t>
  </si>
  <si>
    <r>
      <t>to qualify for 2</t>
    </r>
    <r>
      <rPr>
        <sz val="8"/>
        <rFont val="Arial"/>
        <family val="2"/>
      </rPr>
      <t xml:space="preserve">:
Assign personnel to inventory current as-built records and compare with customer billing system records and highway plans in order to verify poorly documented pipelines.  Assemble policy documents regarding permitting and documentation of water main installations by the utility and building developers; identify gaps in procedures that result in poor documentation of new water main installations. </t>
    </r>
  </si>
  <si>
    <r>
      <t>to qualify for 4</t>
    </r>
    <r>
      <rPr>
        <sz val="8"/>
        <rFont val="Arial"/>
        <family val="2"/>
      </rPr>
      <t>:
Complete inventory of paper records of water main installations for several years prior to audit year.  Review policy and procedures for commissioning and documenting new water main installation.</t>
    </r>
  </si>
  <si>
    <r>
      <t>to qualify for 8</t>
    </r>
    <r>
      <rPr>
        <sz val="8"/>
        <rFont val="Arial"/>
        <family val="2"/>
      </rPr>
      <t>:
Launch random field checks of limited number of locations.  Convert to electronic database such as a Geographic Information System (GIS) with backup as justified.  Develop written policy and procedures.</t>
    </r>
  </si>
  <si>
    <r>
      <t>to qualify for 10</t>
    </r>
    <r>
      <rPr>
        <sz val="8"/>
        <rFont val="Arial"/>
        <family val="2"/>
      </rPr>
      <t>:
Link Geographic Information System (GIS) and asset management databases, conduct field verification of data.  Record field verification information at least annually.</t>
    </r>
  </si>
  <si>
    <r>
      <t>to maintain 10</t>
    </r>
    <r>
      <rPr>
        <sz val="8"/>
        <rFont val="Arial"/>
        <family val="2"/>
      </rPr>
      <t>:
Continue with standardization and random field validation to improve the completeness and accuracy of the system.</t>
    </r>
  </si>
  <si>
    <t xml:space="preserve">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</si>
  <si>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t xml:space="preserve">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</si>
  <si>
    <t>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</si>
  <si>
    <r>
      <t>to qualify for 2</t>
    </r>
    <r>
      <rPr>
        <sz val="8"/>
        <rFont val="Arial"/>
        <family val="2"/>
      </rPr>
      <t>:
Draft new policy and procedures for new account activation and overall billing operations.  Research and collect paper records of installations &amp; abandonments for several years prior to audit year.</t>
    </r>
  </si>
  <si>
    <r>
      <t>to qualify for 4</t>
    </r>
    <r>
      <rPr>
        <sz val="8"/>
        <rFont val="Arial"/>
        <family val="2"/>
      </rPr>
      <t>:
Refine policy and procedures for new account activation and overall billing operations.  Research computerized recordkeeping system (Customer Information System or Customer Billing System) to improve documentation format for service connections.</t>
    </r>
  </si>
  <si>
    <r>
      <t>to qualify for 6</t>
    </r>
    <r>
      <rPr>
        <sz val="8"/>
        <rFont val="Arial"/>
        <family val="2"/>
      </rPr>
      <t>:
Refine procedures to ensure consistency with new account activation and overall billing policy to establish new service connections or decommission existing connections.  Improve process to include all totals for at least five years prior to audit year.</t>
    </r>
  </si>
  <si>
    <r>
      <t>to qualify for 8</t>
    </r>
    <r>
      <rPr>
        <sz val="8"/>
        <rFont val="Arial"/>
        <family val="2"/>
      </rPr>
      <t xml:space="preserve">:
Formalize regular review of new account activation and overall billing operations policies and procedures.  Launch random field checks of limited number of locations.  Develop reports and auditing mechanisms for computerized information management system. </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</si>
  <si>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</si>
  <si>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r>
      <t>to maintain 10</t>
    </r>
    <r>
      <rPr>
        <sz val="8"/>
        <rFont val="Arial"/>
        <family val="2"/>
      </rPr>
      <t>:
Continue with standardization and random field validation to improve knowledge of system.</t>
    </r>
  </si>
  <si>
    <t xml:space="preserve">Clear written policy exists to define utility/customer responsibility for service connection piping.  Accurate, well-maintained paper or basic electronic recordkeeping system exists.  Periodic field checks confirm piping lengths for a sample of customer properties.   </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</si>
  <si>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</si>
  <si>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r>
      <t>to qualify for 8</t>
    </r>
    <r>
      <rPr>
        <sz val="8"/>
        <rFont val="Arial"/>
        <family val="2"/>
      </rPr>
      <t xml:space="preserve">:
Implement an electronic means of recordkeeping, typically via a customer information system, customer billing system, or Geographic Information System (GIS).  Standardize the process to conduct field checks of a limited number of locations.  </t>
    </r>
  </si>
  <si>
    <r>
      <t>to qualify for 10</t>
    </r>
    <r>
      <rPr>
        <sz val="8"/>
        <rFont val="Arial"/>
        <family val="2"/>
      </rPr>
      <t>:
Link customer information management system and Geographic Information System (GIS), standardize process for field verification of data.</t>
    </r>
  </si>
  <si>
    <r>
      <t>to maintain 10</t>
    </r>
    <r>
      <rPr>
        <sz val="8"/>
        <rFont val="Arial"/>
        <family val="2"/>
      </rPr>
      <t>:
Continue with standardization and random field validation to improve knowledge of service connection configurations and customer meter locations.</t>
    </r>
  </si>
  <si>
    <t xml:space="preserve">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</si>
  <si>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 xml:space="preserve">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</si>
  <si>
    <t xml:space="preserve">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</si>
  <si>
    <t>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</si>
  <si>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</si>
  <si>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</si>
  <si>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</si>
  <si>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r>
      <t>to qualify for 8</t>
    </r>
    <r>
      <rPr>
        <sz val="8"/>
        <rFont val="Arial"/>
        <family val="2"/>
      </rPr>
      <t xml:space="preserve">:  
Install a Supervisory Control and Data Acquisition (SCADA) System, or similar realtime monitoring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</si>
  <si>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r>
      <t>to qualify for 10</t>
    </r>
    <r>
      <rPr>
        <sz val="8"/>
        <rFont val="Arial"/>
        <family val="2"/>
      </rPr>
      <t xml:space="preserve">:  
Annually, obtain a system-wide average pressure value from the hydraulic model of the distribution system that has been calibrated via field measurements in the water distribution system and confirmed in comparisons with SCADA System data.      </t>
    </r>
  </si>
  <si>
    <r>
      <t>to maintain 10</t>
    </r>
    <r>
      <rPr>
        <sz val="8"/>
        <rFont val="Arial"/>
        <family val="2"/>
      </rPr>
      <t xml:space="preserve">:  
Continue to refine the hydraulic model of the distribution system and consider linking it with SCADA System for real-time pressure data calibration, and averaging.      </t>
    </r>
  </si>
  <si>
    <t>Incomplete paper records and lack of financial accounting documentation on many operating functions makes calculation of water system operating costs a pure guesstimate</t>
  </si>
  <si>
    <t xml:space="preserve">Electronic, industry-standard cost accounting system in place.  However, gaps in data are known to exist, periodic internal reviews are conducted but not a structured financial audit. </t>
  </si>
  <si>
    <t xml:space="preserve">Reliable electronic, industry-standard cost accounting system in place, with all pertinent water system operating costs tracked.  Data audited periodically by utility personnel, but not a Certified Public Accountant (CPA).  </t>
  </si>
  <si>
    <t xml:space="preserve">Reliable electronic, industry-standard cost accounting system in place, with all pertinent water system operating costs tracked.  Data audited at least annually by utility personnel, and at least once every three years by third-party CPA.  </t>
  </si>
  <si>
    <t xml:space="preserve">Reliable electronic, industry-standard cost accounting system in place, with all pertinent water system operating costs tracked.  Data audited annually by utility personnel and annually also by third-party CPA.  </t>
  </si>
  <si>
    <r>
      <t>to qualify for 2</t>
    </r>
    <r>
      <rPr>
        <sz val="8"/>
        <rFont val="Arial"/>
        <family val="2"/>
      </rPr>
      <t>:
Gather available records, institute new financial accounting procedures to regularly collect and audit basic cost data of most important operations functions.</t>
    </r>
  </si>
  <si>
    <r>
      <t>to qualify for 4</t>
    </r>
    <r>
      <rPr>
        <sz val="8"/>
        <rFont val="Arial"/>
        <family val="2"/>
      </rPr>
      <t>:
Implement an electronic cost accounting system, structured according to accounting standards for water utilities</t>
    </r>
  </si>
  <si>
    <r>
      <t>to qualify for 6</t>
    </r>
    <r>
      <rPr>
        <sz val="8"/>
        <rFont val="Arial"/>
        <family val="2"/>
      </rPr>
      <t>:
Establish process for periodic internal audit of water system operating costs; identify cost data gaps and institute procedures for tracking these outstanding costs.</t>
    </r>
  </si>
  <si>
    <r>
      <t>to qualify for 8</t>
    </r>
    <r>
      <rPr>
        <sz val="8"/>
        <rFont val="Arial"/>
        <family val="2"/>
      </rPr>
      <t>:
Standardize the process to conduct routine financial audit on an annual basis.  Arrange for CPA audit of financial records at least once every three years.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</si>
  <si>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</si>
  <si>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long-term cost trend, and budget/track costs proactively</t>
    </r>
  </si>
  <si>
    <t>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</si>
  <si>
    <r>
      <t>to qualify for 2</t>
    </r>
    <r>
      <rPr>
        <sz val="8"/>
        <rFont val="Arial"/>
        <family val="2"/>
      </rPr>
      <t>:
Formalize the process to implement water rates, including a secure documentation procedure.  Create a current, formal water rate document and gain approval from all stakeholders.</t>
    </r>
  </si>
  <si>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</si>
  <si>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</si>
  <si>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Launch effort to fully meter the customer population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</si>
  <si>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</si>
  <si>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</si>
  <si>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</si>
  <si>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r>
      <t>to qualify for 2</t>
    </r>
    <r>
      <rPr>
        <sz val="8"/>
        <rFont val="Arial"/>
        <family val="2"/>
      </rPr>
      <t>:
Gather available records, institute new procedures to regularly collect and audit basic cost data and most important operations functions.</t>
    </r>
  </si>
  <si>
    <r>
      <t>to qualify for 6</t>
    </r>
    <r>
      <rPr>
        <sz val="8"/>
        <rFont val="Arial"/>
        <family val="2"/>
      </rPr>
      <t xml:space="preserve">:
Formalize process for regular internal audits of production costs.  Assess whether additional costs (liability, residuals management, equipment wear, impending infrastructure expansion) should be included to calculate a more representative variable production cost.  </t>
    </r>
  </si>
  <si>
    <r>
      <t>to qualify for 8</t>
    </r>
    <r>
      <rPr>
        <sz val="8"/>
        <rFont val="Arial"/>
        <family val="2"/>
      </rPr>
      <t>:
Formalize the accounting process to include direct cost components (power, treatment) as well as indirect cost components (liability, residuals management, etc.)  Arrange to conduct audits by a knowledgable third-party at least once every three years.</t>
    </r>
  </si>
  <si>
    <r>
      <t>to maintain 10</t>
    </r>
    <r>
      <rPr>
        <sz val="8"/>
        <rFont val="Arial"/>
        <family val="2"/>
      </rPr>
      <t>:
Maintain program, stay abreast of expenses subject to erratic cost changes and budget/track costs proactively</t>
    </r>
  </si>
  <si>
    <r>
      <t>to qualify for 6</t>
    </r>
    <r>
      <rPr>
        <sz val="8"/>
        <rFont val="A"/>
      </rPr>
      <t>:
Finalize updates/improvements to written policy and procedures for permitting/commissioning new main installations.  Confirm inventory of records for five years prior to audit year; correct any errors or omissions.</t>
    </r>
  </si>
  <si>
    <t xml:space="preserve"> Enter MM/YYYY numeric format</t>
  </si>
  <si>
    <t>Volume from own sources master meter error adjustment:</t>
  </si>
  <si>
    <t>Grading &gt;&gt;&gt;</t>
  </si>
  <si>
    <r>
      <t xml:space="preserve">Note: The number of Service Connections does </t>
    </r>
    <r>
      <rPr>
        <b/>
        <u/>
        <sz val="8"/>
        <rFont val="Arial"/>
        <family val="2"/>
      </rPr>
      <t>not</t>
    </r>
    <r>
      <rPr>
        <b/>
        <sz val="8"/>
        <rFont val="Arial"/>
        <family val="2"/>
      </rPr>
      <t xml:space="preserve"> include fire hydrant leads/lines connecting the hydrant to the water main</t>
    </r>
  </si>
  <si>
    <t>Systematic Data Handling Errors:</t>
  </si>
  <si>
    <t xml:space="preserve"> The grading assigned to each audit component and the corresponding recommended improvements and actions are highlighted in yellow. Audit accuracy is likely to be improved by prioritizing those items shown in red</t>
  </si>
  <si>
    <t>Andrew Chastain-Howley, PG*, MCSM.   Black &amp; Veatch </t>
  </si>
  <si>
    <t>George Kunkel, P.E.   Philadelphia Water Department</t>
  </si>
  <si>
    <t>Ralph Y. McCord, P.E.   Louisville Water Company</t>
  </si>
  <si>
    <t>Brian M. Skeens, P.E.   CH2M HILL</t>
  </si>
  <si>
    <t>Reinhard Sturm   Water Systems Optimization, Inc.</t>
  </si>
  <si>
    <t>Isabel Szendrey Ramos, P.E.   Autoridad de Acueductos y Alcantarillados</t>
  </si>
  <si>
    <t xml:space="preserve">John H. Van Arsdel   M.E. Simpson Company, Inc. </t>
  </si>
  <si>
    <t>David A. Sayers   Delaware River Basin Commission</t>
  </si>
  <si>
    <t xml:space="preserve">End Date: </t>
  </si>
  <si>
    <t xml:space="preserve">Audit Preparation Date: </t>
  </si>
  <si>
    <t>Use this worksheet to add comments or notes to explain how an input value was calculated, or to document the sources of the information used.</t>
  </si>
  <si>
    <t>Auditors are strongly encouraged to refer to the most current edition of AWWA M36 Manual for Water Audits 
for detailed guidance on the water auditing process and targetting loss reduction levels</t>
  </si>
  <si>
    <t>Will J. Jernigan, P.E.   Cavanaugh &amp; Associates, P.A.</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</si>
  <si>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</si>
  <si>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r>
      <t xml:space="preserve">        AWWA Free Water Audit Software: </t>
    </r>
    <r>
      <rPr>
        <b/>
        <u/>
        <sz val="16"/>
        <color indexed="9"/>
        <rFont val="Arial"/>
        <family val="2"/>
      </rPr>
      <t>Grading Matrix</t>
    </r>
  </si>
  <si>
    <t>International (XX)</t>
  </si>
  <si>
    <t>50% - 75% of treated water production sources are metered, other sources estimated.  Occasional meter accuracy testing or electronic calibration conducted.</t>
  </si>
  <si>
    <t xml:space="preserve">25% - 50% of treated water production sources are metered; other sources estimated.  No regular meter accuracy testing or electronic calibration conducted. </t>
  </si>
  <si>
    <t>Less than 25% of water production sources are metered, remaining sources are estimated.  No regular meter accuracy testing or electronic calibration conducted.</t>
  </si>
  <si>
    <t>Customer population unmetered, and/or only a fixed fee is charged for consumption.</t>
  </si>
  <si>
    <t>Conditions between
4 and 6</t>
  </si>
  <si>
    <t>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</si>
  <si>
    <t xml:space="preserve">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</si>
  <si>
    <t>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t>
  </si>
  <si>
    <t xml:space="preserve">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</si>
  <si>
    <r>
      <t xml:space="preserve">At least 99% of customers exist with volume-based billing from meter reads.  At least 95% customer meter reading success rate; </t>
    </r>
    <r>
      <rPr>
        <u/>
        <sz val="8"/>
        <rFont val="Arial"/>
        <family val="2"/>
      </rPr>
      <t>or</t>
    </r>
    <r>
      <rPr>
        <sz val="8"/>
        <rFont val="Arial"/>
        <family val="2"/>
      </rPr>
      <t xml:space="preserve">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</si>
  <si>
    <t xml:space="preserve">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</si>
  <si>
    <t xml:space="preserve">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    </t>
  </si>
  <si>
    <t>Data Validity Score:</t>
  </si>
  <si>
    <r>
      <t xml:space="preserve">AWWA Free Water Audit Software: </t>
    </r>
    <r>
      <rPr>
        <b/>
        <u/>
        <sz val="16"/>
        <color indexed="9"/>
        <rFont val="Arial"/>
        <family val="2"/>
      </rPr>
      <t>Water Balance</t>
    </r>
  </si>
  <si>
    <t xml:space="preserve">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</si>
  <si>
    <r>
      <t>to maintain 10</t>
    </r>
    <r>
      <rPr>
        <sz val="8"/>
        <rFont val="Arial"/>
        <family val="2"/>
      </rPr>
      <t>:
Monitor meter innovations for development of more accurate and less expensive flowmeters.  Continue to replace or repair meters as they perform outside of desired accuracy limits.  Stay abreast of new and more accurate water level instruments to better record tank/storage levels and archive the variations in storage volume.  Keep current with SCADA and data management systems to ensure that archived data is well-managed and error free.</t>
    </r>
  </si>
  <si>
    <r>
      <t>Improvements to attain higher data grading for "Water Imported Volume" component:
(</t>
    </r>
    <r>
      <rPr>
        <i/>
        <sz val="8"/>
        <rFont val="Arial"/>
        <family val="2"/>
      </rPr>
      <t>Note: usually the water supplier selling the water - "the Exporter" -  to the utility being audited is responsible to maintain the metering installation measuring the imported volume.  The utility should coordinate carefully with the Exporter to ensure that adequate meter upkeep takes place and an accurate measure of the Water Imported volume is quantified.</t>
    </r>
    <r>
      <rPr>
        <sz val="8"/>
        <rFont val="Arial"/>
        <family val="2"/>
      </rPr>
      <t xml:space="preserve">) </t>
    </r>
  </si>
  <si>
    <t xml:space="preserve">Select n/a if the Imported water supply is unmetered, with Imported water quantities estimated on the billing invoices sent by the Exporter to the purchasing Utility. </t>
  </si>
  <si>
    <t xml:space="preserve">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</si>
  <si>
    <t xml:space="preserve">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</si>
  <si>
    <t xml:space="preserve">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</si>
  <si>
    <t xml:space="preserve">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</si>
  <si>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selling and purchasing Utility.</t>
    </r>
  </si>
  <si>
    <r>
      <t>to qualify for 4</t>
    </r>
    <r>
      <rPr>
        <sz val="8"/>
        <rFont val="Arial"/>
        <family val="2"/>
      </rPr>
      <t xml:space="preserve">:
Install automatic datalogging equipment on Imported supply meters.  Set a procedure to review this data on a monthly basis to detect gross anomalies and data gaps.  Launch discussions with the Exporters to jointly review terms of the written agreements regarding meter accuracy testing and data management; revise the terms as necessary.      </t>
    </r>
  </si>
  <si>
    <r>
      <t>to qualify for 10</t>
    </r>
    <r>
      <rPr>
        <sz val="8"/>
        <rFont val="Arial"/>
        <family val="2"/>
      </rPr>
      <t xml:space="preserve">:
Conduct accountability checks to confirm that all Imported supply metered data is reviewed and corrected each business day by the Exporter.  Results of all meter accuracy tests and data corrections should be available for sharing between the Exporter and the purchasing Utility.  Establish a schedule for a regular review and updating of the contractual language in the written agreement between the selling and the purchasing Utility; at least every five years. </t>
    </r>
  </si>
  <si>
    <r>
      <t>to maintain 10</t>
    </r>
    <r>
      <rPr>
        <sz val="8"/>
        <rFont val="Arial"/>
        <family val="2"/>
      </rPr>
      <t xml:space="preserve">:
Monitor meter innovations for development of more accurate and less expensive flowmeters; work with the Exporter to help identify meter replacement needs.  Keep communication lines with Exporters open and maintain productive relations.  Keep the written agreement current with clear and explicit language that meets the ongoing needs of all parties. </t>
    </r>
  </si>
  <si>
    <r>
      <t>Improvements to attain higher data grading for "Water Exported Volume" component:
(</t>
    </r>
    <r>
      <rPr>
        <i/>
        <sz val="8"/>
        <rFont val="Arial"/>
        <family val="2"/>
      </rPr>
      <t>Note: usually, if the water utility being audited sells (Exports) water to a neighboring purchasing Utility, it is the responsibility of the utility exporting the water to maintain the metering installation measuring the Exported volume.  The utility exporting the water should ensure that adequate meter upkeep takes place and an accurate measure of the Water Exported volume is quantified.</t>
    </r>
    <r>
      <rPr>
        <sz val="8"/>
        <rFont val="Arial"/>
        <family val="2"/>
      </rPr>
      <t xml:space="preserve">) </t>
    </r>
  </si>
  <si>
    <r>
      <t xml:space="preserve">to qualify for 10:
</t>
    </r>
    <r>
      <rPr>
        <sz val="8"/>
        <rFont val="Arial"/>
        <family val="2"/>
      </rPr>
      <t xml:space="preserve">Maintain annual meter accuracy testing for all meters.  Repair or replace meters outside of +/- 3% accuracy.  Investigate new meter technology; pilot one or more replacements with innovative meters in attempt to improve meter accuracy. </t>
    </r>
  </si>
  <si>
    <t>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</si>
  <si>
    <t xml:space="preserve">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  </t>
  </si>
  <si>
    <r>
      <t xml:space="preserve">Water utility policy </t>
    </r>
    <r>
      <rPr>
        <u/>
        <sz val="8"/>
        <rFont val="Arial"/>
        <family val="2"/>
      </rPr>
      <t>does</t>
    </r>
    <r>
      <rPr>
        <sz val="8"/>
        <rFont val="Arial"/>
        <family val="2"/>
      </rPr>
      <t xml:space="preserve">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</si>
  <si>
    <t>Improvements to attain higher data grading for "Unbilled Metered Consumption" component:</t>
  </si>
  <si>
    <t>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</si>
  <si>
    <t>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</si>
  <si>
    <t>Improvements to attain higher data grading for "Number of Active and Inactive Service Connections" component:</t>
  </si>
  <si>
    <t>Note: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t>
  </si>
  <si>
    <t>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</si>
  <si>
    <t>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</si>
  <si>
    <t>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</si>
  <si>
    <r>
      <t>Either of two conditions can be met for a grading of 10</t>
    </r>
    <r>
      <rPr>
        <sz val="8"/>
        <rFont val="Arial"/>
        <family val="2"/>
      </rPr>
      <t>: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</si>
  <si>
    <t>Gradings 1-9 apply if customer properties are unmetered, if customer meters exist and are located inside the customer building premises, or if the water utility owns and is responsible for the entire service connection piping from the water main to the customer building.  In any of these cases the average distance between the curb 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</si>
  <si>
    <t xml:space="preserve">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</si>
  <si>
    <r>
      <t>to qualify for 2</t>
    </r>
    <r>
      <rPr>
        <sz val="8"/>
        <rFont val="Arial"/>
        <family val="2"/>
      </rPr>
      <t>:
Research and collect paper records of service line installations.  Inspect several sites in the field using pipe locators to locate curb stops.  Obtain the length of this small sample of connections in this manner.</t>
    </r>
  </si>
  <si>
    <r>
      <t>to qualify for 6</t>
    </r>
    <r>
      <rPr>
        <sz val="8"/>
        <rFont val="Arial"/>
        <family val="2"/>
      </rPr>
      <t>:
Establish coherent procedures to ensure that policy for curb stop, meter installation and documentation is followed.  Gain consensus within the water utility for the establishment of a computerized information management system.</t>
    </r>
  </si>
  <si>
    <t>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</si>
  <si>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 unauthorized consumption + customer metering inaccuracies + systematic data handling errors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</si>
  <si>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This is the average length of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composite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</si>
  <si>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r>
      <t xml:space="preserve">Apparent losses caused by accounting omissions, errant computer programming, gaps in policy, procedure, and permitting/activation of new accounts; and any type of data lapse that results in under-stated customer water consumption in summary billing reports.
</t>
    </r>
    <r>
      <rPr>
        <b/>
        <sz val="10"/>
        <rFont val="Arial"/>
        <family val="2"/>
      </rPr>
      <t xml:space="preserve">
Systematic Data Handling Errors result in a direct loss of revenue potential.  Water utilities can find "lost" revenue by keying on this component.</t>
    </r>
    <r>
      <rPr>
        <sz val="10"/>
        <rFont val="Arial"/>
        <family val="2"/>
      </rPr>
      <t xml:space="preserve">
Utilities typically measure water consumption registered by water meters at customer premises.  The meter should be read routinely (ex: monthly) and the data transferred to the Customer Billing System, which generates and sends a bill to the customer.  </t>
    </r>
    <r>
      <rPr>
        <u/>
        <sz val="10"/>
        <rFont val="Arial"/>
        <family val="2"/>
      </rPr>
      <t>Data Transfer Errors</t>
    </r>
    <r>
      <rPr>
        <sz val="10"/>
        <rFont val="Arial"/>
        <family val="2"/>
      </rPr>
      <t xml:space="preserve"> result in the consumption value being less than the actual consumption,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t>
    </r>
    <r>
      <rPr>
        <u/>
        <sz val="10"/>
        <rFont val="Arial"/>
        <family val="2"/>
      </rPr>
      <t>Data Analysis Errors</t>
    </r>
    <r>
      <rPr>
        <sz val="10"/>
        <rFont val="Arial"/>
        <family val="2"/>
      </rPr>
      <t xml:space="preserve">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thus under-stating the actual consumption.  Account activation lapses may allow new buildings to use water for months without meter readings and billing.  Poor permitting and construction inspection practices can result in a new building lacking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the Billed Authorized Consumption volume.  However, if the auditor </t>
    </r>
    <r>
      <rPr>
        <u/>
        <sz val="10"/>
        <rFont val="Arial"/>
        <family val="2"/>
      </rPr>
      <t>has</t>
    </r>
    <r>
      <rPr>
        <sz val="10"/>
        <rFont val="Arial"/>
        <family val="2"/>
      </rPr>
      <t xml:space="preserve"> investigated the billing system and its controls, and </t>
    </r>
    <r>
      <rPr>
        <u/>
        <sz val="10"/>
        <rFont val="Arial"/>
        <family val="2"/>
      </rPr>
      <t>has</t>
    </r>
    <r>
      <rPr>
        <sz val="10"/>
        <rFont val="Arial"/>
        <family val="2"/>
      </rPr>
      <t xml:space="preserve">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t>
    </r>
    <r>
      <rPr>
        <u/>
        <sz val="10"/>
        <rFont val="Arial"/>
        <family val="2"/>
      </rPr>
      <t>Note:</t>
    </r>
    <r>
      <rPr>
        <sz val="10"/>
        <rFont val="Arial"/>
        <family val="2"/>
      </rPr>
      <t xml:space="preserve"> negative values are not allowed for this audit component. If the auditor enters zero for this component then a grading of 1 will be automatically assigned. </t>
    </r>
  </si>
  <si>
    <t xml:space="preserve">The cost to produce and supply the next unit of water (e.g., $/million gallons).  This cost is determined by calculating the summed unit costs for ground and surface water treatment and all power used for pumping from the source to the customer.  It may also include other miscellaneous unit costs that apply to the production of drinking water.  It should also include the unit cost of bulk water purchased as an import if applicable.
It is common to apply this unit cost to the volume of Real Losses.  However, if water resources are strained and the ability to meet future drinking water demands is in question, then the water auditor can be justified in applying the Customer Retail Rate to the Real Loss volume, rather than applying the Variable Production Cost.
The Free Water Audit Software applies the Variable Production costs to Real Losses by default.  However, the auditor has the option on the Reporting Worksheet to select the Customer Retail Cost as the basis for the Real Loss cost evaluation if the auditor determines that this is warranted.   </t>
  </si>
  <si>
    <r>
      <t xml:space="preserve">The Water Exported volume is the bulk water conveyed and sold by the water utility to neighboring water systems that exists outside of their service area.  Typically this water is metered at the custody transfer point of interconnection between the two water utilities.  Usually the meter(s) are owned by the water utility that is selling the water: i.e. the exporter.  If the water utility who is compiling the annual water audit sells bulk water in this manner, they are an exporter of water.
Note: The Water Exported volume is sold to wholesale customers who are typically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Reporting Worksheet.  This volume should be included only in the Water Exported box.</t>
    </r>
  </si>
  <si>
    <r>
      <t xml:space="preserve">An estimate or measure of the volume in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t>
    </r>
  </si>
  <si>
    <t>= apparent losses + real losses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</si>
  <si>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Unbilled Auth. Cons.</t>
  </si>
  <si>
    <t>Billed Auth. Cons.</t>
  </si>
  <si>
    <t xml:space="preserve">Volume Reporting Units: </t>
  </si>
  <si>
    <t>Use this  abbreviation for labelling the Dashboard NRW chart:</t>
  </si>
  <si>
    <t>----------------------</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</si>
  <si>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</si>
  <si>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</si>
  <si>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</si>
  <si>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</si>
  <si>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</si>
  <si>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</si>
  <si>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</si>
  <si>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</si>
  <si>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</si>
  <si>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</si>
  <si>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</si>
  <si>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</si>
  <si>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</si>
  <si>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</si>
  <si>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</si>
  <si>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</si>
  <si>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r>
      <t xml:space="preserve"> AWWA Free Water Audit Software:
 </t>
    </r>
    <r>
      <rPr>
        <b/>
        <u/>
        <sz val="14"/>
        <color indexed="9"/>
        <rFont val="Arial"/>
        <family val="2"/>
      </rPr>
      <t>User Comments</t>
    </r>
  </si>
  <si>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</si>
  <si>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r>
      <t xml:space="preserve">At least 97% of customers exist with volume-based billing from meter reads.  At least 90% customer meter reading success rate; </t>
    </r>
    <r>
      <rPr>
        <u/>
        <sz val="8"/>
        <rFont val="Arial"/>
        <family val="2"/>
      </rPr>
      <t>or</t>
    </r>
    <r>
      <rPr>
        <sz val="8"/>
        <rFont val="Arial"/>
        <family val="2"/>
      </rPr>
      <t xml:space="preserve">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</si>
  <si>
    <r>
      <t xml:space="preserve"> AWWA Free Water Audit Software:
 </t>
    </r>
    <r>
      <rPr>
        <b/>
        <u/>
        <sz val="14"/>
        <color indexed="9"/>
        <rFont val="Arial"/>
        <family val="2"/>
      </rPr>
      <t>Examples of Completed and Validated Audits</t>
    </r>
  </si>
  <si>
    <t>Master Meter and Supply Error Adjustments</t>
  </si>
  <si>
    <t>Volume from own sources master meter and supply error adjustment:</t>
  </si>
  <si>
    <t>Improvements to attain higher data grading for "Master meter and supply error adjustment" component:</t>
  </si>
  <si>
    <t xml:space="preserve">
Volume from own sources: Master meter and supply error adjustment</t>
  </si>
  <si>
    <t>Water exported: Master meter and supply error adjustment</t>
  </si>
  <si>
    <t xml:space="preserve">
Water imported: Master meter and supply error adjustment</t>
  </si>
  <si>
    <t>Improvements to attain higher data grading for "Water exported master meter and supply error adjustment" component:</t>
  </si>
  <si>
    <t>Water imported master meter and supply error adjustment:</t>
  </si>
  <si>
    <t>Water exported master meter and supply error adjustment:</t>
  </si>
  <si>
    <t>Improvements to attain higher data grading for "Water imported master meter and supply error adjustment" component:</t>
  </si>
  <si>
    <r>
      <rPr>
        <b/>
        <sz val="20"/>
        <color indexed="9"/>
        <rFont val="Arial"/>
        <family val="2"/>
      </rPr>
      <t>AWWA Free Water Audit Software v5.0</t>
    </r>
    <r>
      <rPr>
        <b/>
        <sz val="20"/>
        <color indexed="9"/>
        <rFont val="Arial"/>
        <family val="2"/>
      </rPr>
      <t xml:space="preserve"> </t>
    </r>
  </si>
  <si>
    <t>AWWA Water Audit Software  Version 5.0 Developed by the Water Loss Control Committee of the American Water Works Association   August, 2014</t>
  </si>
  <si>
    <t>Alain Lalonde, P.Eng.   Master Meter Canada Inc.</t>
  </si>
  <si>
    <t xml:space="preserve">Telephone | Ext.: </t>
  </si>
  <si>
    <t>Continuous Imported supply metered flow data is logged automatically &amp; reviewed each business day by the Exporter.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</si>
  <si>
    <t>System Input</t>
  </si>
  <si>
    <r>
      <t xml:space="preserve">UARL (gallons)=(5.41Lm + 0.15Nc + 7.5Lc) xP,          
                     or
UARL (litres)=(18.0Lm + 0.8Nc + 25.0Lc) xP
where:
Lm = length of mains (miles or kilometres)                                        
Nc = number of customer service connections
Lp = the average distance of customer service connection piping (feet or metres)
        (see the Worksheet "Service Connection Diagram" for guidance on deterring the value of Lp)                                         
Lc = total length of customer service connection piping (miles or km) 
     Lc = Nc  X  Lp (miles or kilometres)
P  = Pressure (psi or metres)
The UARL is a theoretical reference value representing the technical low limit of leakage that could be achieved if all of today's best technology could be successfully applied.  It is a key variable in the calculation of the Infrastructure Leakage Index (ILI).  Striving to reduce system leakage to a level close to the UARL is usually not needed unless the water supply is unusually expensive, scarce or both.
NOTE: The UARL calculation has not yet been proven as fully valid for very small, or low pressure water distribution systems.  If, 
</t>
    </r>
    <r>
      <rPr>
        <u/>
        <sz val="10"/>
        <rFont val="Arial"/>
        <family val="2"/>
      </rPr>
      <t>in gallons:</t>
    </r>
    <r>
      <rPr>
        <sz val="10"/>
        <rFont val="Arial"/>
        <family val="2"/>
      </rPr>
      <t xml:space="preserve">
(Lm x 32) + Nc &lt; 3000 or
P &lt;35psi
</t>
    </r>
    <r>
      <rPr>
        <u/>
        <sz val="10"/>
        <rFont val="Arial"/>
        <family val="2"/>
      </rPr>
      <t>in litres:</t>
    </r>
    <r>
      <rPr>
        <sz val="10"/>
        <rFont val="Arial"/>
        <family val="2"/>
      </rPr>
      <t xml:space="preserve">
(Lm x 20) + Nc &lt; 3000 or
P &lt; 25m
then the calculated UARL value may not be valid.  The software does not display a value of UARL or ILI if either of these conditions is true.</t>
    </r>
  </si>
  <si>
    <r>
      <t xml:space="preserve">Either of two conditions can be met to obtain a grading of 10:
1) Third party CPA audit of all pertinent primary and secondary variable production and water imported purchase (if applicable) costs on an annual basis.
or:
2) Water supply is entirely purchased as bulk water imported, and the unit purchase cost - including </t>
    </r>
    <r>
      <rPr>
        <u/>
        <sz val="8"/>
        <rFont val="Arial"/>
        <family val="2"/>
      </rPr>
      <t>all</t>
    </r>
    <r>
      <rPr>
        <sz val="8"/>
        <rFont val="Arial"/>
        <family val="2"/>
      </rPr>
      <t xml:space="preserve"> applicable marginal supply costs - serves as the variable production cost.  If </t>
    </r>
    <r>
      <rPr>
        <u/>
        <sz val="8"/>
        <rFont val="Arial"/>
        <family val="2"/>
      </rPr>
      <t>all</t>
    </r>
    <r>
      <rPr>
        <sz val="8"/>
        <rFont val="Arial"/>
        <family val="2"/>
      </rPr>
      <t xml:space="preserve"> applicable marginal supply costs are not included in this figure, a grade of 10 should </t>
    </r>
    <r>
      <rPr>
        <u/>
        <sz val="8"/>
        <rFont val="Arial"/>
        <family val="2"/>
      </rPr>
      <t>not</t>
    </r>
    <r>
      <rPr>
        <sz val="8"/>
        <rFont val="Arial"/>
        <family val="2"/>
      </rPr>
      <t xml:space="preserve"> be selected.</t>
    </r>
  </si>
  <si>
    <t>Return to Reporting Worksheet to change this assumption</t>
  </si>
  <si>
    <t xml:space="preserve">Wilmington </t>
  </si>
  <si>
    <t>Calendar Year</t>
  </si>
  <si>
    <t>New Castle</t>
  </si>
  <si>
    <t>Suez Water DE</t>
  </si>
  <si>
    <t>No</t>
  </si>
  <si>
    <t>Eric Storms</t>
  </si>
  <si>
    <t>eric.storms@suez.com</t>
  </si>
  <si>
    <t>302-252-3032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</si>
</sst>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_);\(&quot;$&quot;#,##0\)"/>
    <numFmt numFmtId="44" formatCode="_(&quot;$&quot;* #,##0.00_);_(&quot;$&quot;* \(#,##0.00\);_(&quot;$&quot;* &quot;-&quot;??_);_(@_)"/>
    <numFmt numFmtId="43" formatCode="_(* #,##0.00_);_(* \(#,##0.00\);_(* &quot;-&quot;??_);_(@_)"/>
    <numFmt numFmtId="172" formatCode="0.000"/>
    <numFmt numFmtId="173" formatCode="#,##0.0"/>
    <numFmt numFmtId="174" formatCode="&quot;$&quot;#,##0"/>
    <numFmt numFmtId="175" formatCode="0.0%"/>
    <numFmt numFmtId="176" formatCode="#,##0.000"/>
    <numFmt numFmtId="177" formatCode="&quot;$&quot;#,##0.00"/>
    <numFmt numFmtId="186" formatCode="0.0"/>
    <numFmt numFmtId="189" formatCode="0.000000"/>
    <numFmt numFmtId="202" formatCode="_(* #,##0.000_);_(* \(#,##0.000\);_(* &quot;-&quot;??_);_(@_)"/>
    <numFmt numFmtId="205" formatCode="_(* #,##0_);_(* \(#,##0\);_(* &quot;-&quot;??_);_(@_)"/>
    <numFmt numFmtId="216" formatCode="mm/yyyy"/>
    <numFmt numFmtId="226" formatCode="m/d/yyyy;@"/>
  </numFmts>
  <fonts count="109">
    <font>
      <sz val="10"/>
      <name val="Arial"/>
    </font>
    <font>
      <sz val="10"/>
      <name val="Arial"/>
    </font>
    <font>
      <u/>
      <sz val="10"/>
      <color indexed="12"/>
      <name val="Arial"/>
      <family val="2"/>
    </font>
    <font>
      <sz val="8"/>
      <color indexed="81"/>
      <name val="Tahoma"/>
      <family val="2"/>
    </font>
    <font>
      <b/>
      <sz val="8"/>
      <color indexed="81"/>
      <name val="Tahoma"/>
      <family val="2"/>
    </font>
    <font>
      <sz val="10"/>
      <name val="Courier New"/>
      <family val="3"/>
    </font>
    <font>
      <sz val="9"/>
      <name val="Courier New"/>
      <family val="3"/>
    </font>
    <font>
      <sz val="11"/>
      <name val="Courier New"/>
      <family val="3"/>
    </font>
    <font>
      <i/>
      <u/>
      <sz val="9"/>
      <color indexed="10"/>
      <name val="Courier New"/>
      <family val="3"/>
    </font>
    <font>
      <sz val="10"/>
      <color indexed="9"/>
      <name val="Courier New"/>
      <family val="3"/>
    </font>
    <font>
      <sz val="9"/>
      <name val="Arial"/>
      <family val="2"/>
    </font>
    <font>
      <sz val="10"/>
      <name val="Arial"/>
      <family val="2"/>
    </font>
    <font>
      <sz val="8"/>
      <name val="Arial"/>
      <family val="2"/>
    </font>
    <font>
      <sz val="10"/>
      <color indexed="22"/>
      <name val="Courier New"/>
      <family val="3"/>
    </font>
    <font>
      <b/>
      <sz val="14"/>
      <color indexed="9"/>
      <name val="Arial"/>
      <family val="2"/>
    </font>
    <font>
      <b/>
      <sz val="11"/>
      <color indexed="48"/>
      <name val="Courier New"/>
      <family val="3"/>
    </font>
    <font>
      <b/>
      <sz val="10"/>
      <name val="Arial"/>
      <family val="2"/>
    </font>
    <font>
      <b/>
      <sz val="8"/>
      <name val="Arial"/>
      <family val="2"/>
    </font>
    <font>
      <sz val="8"/>
      <name val="Tahoma"/>
      <family val="2"/>
    </font>
    <font>
      <vertAlign val="superscript"/>
      <sz val="10"/>
      <name val="Arial"/>
      <family val="2"/>
    </font>
    <font>
      <b/>
      <sz val="10"/>
      <color indexed="10"/>
      <name val="Arial"/>
      <family val="2"/>
    </font>
    <font>
      <sz val="8"/>
      <color indexed="10"/>
      <name val="Tahoma"/>
      <family val="2"/>
    </font>
    <font>
      <sz val="8"/>
      <color indexed="17"/>
      <name val="Tahoma"/>
      <family val="2"/>
    </font>
    <font>
      <sz val="8"/>
      <name val="Arial"/>
      <family val="2"/>
    </font>
    <font>
      <sz val="10"/>
      <color indexed="10"/>
      <name val="Arial"/>
      <family val="2"/>
    </font>
    <font>
      <sz val="8"/>
      <color indexed="81"/>
      <name val="Tahoma"/>
      <family val="2"/>
    </font>
    <font>
      <sz val="8"/>
      <color indexed="12"/>
      <name val="Tahoma"/>
      <family val="2"/>
    </font>
    <font>
      <sz val="8"/>
      <color indexed="20"/>
      <name val="Tahoma"/>
      <family val="2"/>
    </font>
    <font>
      <b/>
      <sz val="16"/>
      <name val="Arial"/>
      <family val="2"/>
    </font>
    <font>
      <b/>
      <sz val="12"/>
      <name val="Arial"/>
      <family val="2"/>
    </font>
    <font>
      <b/>
      <sz val="12"/>
      <name val="Arial"/>
      <family val="2"/>
    </font>
    <font>
      <i/>
      <sz val="10"/>
      <name val="Arial"/>
      <family val="2"/>
    </font>
    <font>
      <sz val="10"/>
      <name val="Arial"/>
      <family val="2"/>
    </font>
    <font>
      <sz val="14"/>
      <name val="Arial"/>
      <family val="2"/>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
      <sz val="10"/>
      <color indexed="12"/>
      <name val="Arial"/>
      <family val="2"/>
    </font>
    <font>
      <b/>
      <sz val="14"/>
      <name val="Arial"/>
      <family val="2"/>
    </font>
    <font>
      <b/>
      <sz val="10"/>
      <color indexed="12"/>
      <name val="Arial"/>
      <family val="2"/>
    </font>
    <font>
      <b/>
      <sz val="9"/>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b/>
      <u/>
      <sz val="11"/>
      <name val="Arial Narrow"/>
      <family val="2"/>
    </font>
    <font>
      <sz val="11"/>
      <name val="Arial Narrow"/>
      <family val="2"/>
    </font>
    <font>
      <b/>
      <sz val="11"/>
      <color indexed="12"/>
      <name val="Arial Narrow"/>
      <family val="2"/>
    </font>
    <font>
      <b/>
      <sz val="11"/>
      <color indexed="10"/>
      <name val="Arial Narrow"/>
      <family val="2"/>
    </font>
    <font>
      <sz val="11"/>
      <color indexed="8"/>
      <name val="Arial Narrow"/>
      <family val="2"/>
    </font>
    <font>
      <u/>
      <sz val="11"/>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2"/>
      <color indexed="12"/>
      <name val="Arial Narrow"/>
      <family val="2"/>
    </font>
    <font>
      <b/>
      <u/>
      <sz val="12"/>
      <name val="Arial Narrow"/>
      <family val="2"/>
    </font>
    <font>
      <sz val="12"/>
      <color indexed="10"/>
      <name val="Arial Narrow"/>
      <family val="2"/>
    </font>
    <font>
      <b/>
      <u/>
      <sz val="14"/>
      <color indexed="9"/>
      <name val="Arial"/>
      <family val="2"/>
    </font>
    <font>
      <b/>
      <sz val="11"/>
      <name val="Arial"/>
      <family val="2"/>
    </font>
    <font>
      <b/>
      <sz val="12"/>
      <color indexed="10"/>
      <name val="Arial Narrow"/>
      <family val="2"/>
    </font>
    <font>
      <sz val="8"/>
      <name val="Tahoma"/>
      <family val="2"/>
    </font>
    <font>
      <sz val="10"/>
      <name val="Arial Narrow"/>
      <family val="2"/>
    </font>
    <font>
      <sz val="8"/>
      <name val="Tahoma"/>
      <family val="2"/>
    </font>
    <font>
      <sz val="10"/>
      <color indexed="9"/>
      <name val="Arial"/>
      <family val="2"/>
    </font>
    <font>
      <b/>
      <sz val="20"/>
      <color indexed="9"/>
      <name val="Arial"/>
      <family val="2"/>
    </font>
    <font>
      <b/>
      <sz val="10"/>
      <color indexed="48"/>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sz val="8"/>
      <name val="Tahoma"/>
      <family val="2"/>
    </font>
    <font>
      <b/>
      <i/>
      <u/>
      <sz val="10"/>
      <color indexed="12"/>
      <name val="Arial"/>
      <family val="2"/>
    </font>
    <font>
      <b/>
      <sz val="16"/>
      <color indexed="9"/>
      <name val="Arial"/>
      <family val="2"/>
    </font>
    <font>
      <b/>
      <u/>
      <sz val="16"/>
      <color indexed="9"/>
      <name val="Arial"/>
      <family val="2"/>
    </font>
    <font>
      <b/>
      <u/>
      <sz val="11"/>
      <name val="Arial"/>
      <family val="2"/>
    </font>
    <font>
      <i/>
      <sz val="12"/>
      <name val="Arial"/>
      <family val="2"/>
    </font>
    <font>
      <sz val="12"/>
      <name val="Arial"/>
      <family val="2"/>
    </font>
    <font>
      <i/>
      <vertAlign val="superscript"/>
      <sz val="12"/>
      <name val="Arial"/>
      <family val="2"/>
    </font>
    <font>
      <i/>
      <sz val="11"/>
      <name val="Arial"/>
      <family val="2"/>
    </font>
    <font>
      <i/>
      <u/>
      <sz val="11"/>
      <name val="Arial"/>
      <family val="2"/>
    </font>
    <font>
      <sz val="8"/>
      <name val="Tahoma"/>
      <family val="2"/>
    </font>
    <font>
      <b/>
      <sz val="10"/>
      <color indexed="9"/>
      <name val="Arial"/>
      <family val="2"/>
    </font>
    <font>
      <u/>
      <sz val="8"/>
      <name val="Arial"/>
      <family val="2"/>
    </font>
    <font>
      <i/>
      <sz val="8"/>
      <name val="Arial"/>
      <family val="2"/>
    </font>
    <font>
      <b/>
      <sz val="12"/>
      <color indexed="9"/>
      <name val="Arial"/>
      <family val="2"/>
    </font>
    <font>
      <u/>
      <sz val="8"/>
      <name val="A"/>
    </font>
    <font>
      <sz val="8"/>
      <name val="A"/>
    </font>
    <font>
      <b/>
      <u/>
      <sz val="8"/>
      <name val="Arial"/>
      <family val="2"/>
    </font>
    <font>
      <b/>
      <sz val="14"/>
      <name val="Arial Narrow"/>
      <family val="2"/>
    </font>
    <font>
      <u/>
      <sz val="8"/>
      <color indexed="17"/>
      <name val="Tahoma"/>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10"/>
      <color theme="1"/>
      <name val="Arial"/>
      <family val="2"/>
    </font>
    <font>
      <sz val="8"/>
      <color theme="1"/>
      <name val="Arial"/>
      <family val="2"/>
    </font>
    <font>
      <b/>
      <sz val="12"/>
      <color rgb="FFFF0000"/>
      <name val="Arial Narrow"/>
      <family val="2"/>
    </font>
  </fonts>
  <fills count="2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13"/>
        <bgColor indexed="64"/>
      </patternFill>
    </fill>
    <fill>
      <patternFill patternType="solid">
        <fgColor indexed="41"/>
        <bgColor indexed="64"/>
      </patternFill>
    </fill>
    <fill>
      <patternFill patternType="solid">
        <fgColor indexed="47"/>
        <bgColor indexed="64"/>
      </patternFill>
    </fill>
    <fill>
      <patternFill patternType="lightDown">
        <bgColor indexed="9"/>
      </patternFill>
    </fill>
    <fill>
      <patternFill patternType="lightDown"/>
    </fill>
    <fill>
      <patternFill patternType="solid">
        <fgColor indexed="6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5117038483843"/>
        <bgColor indexed="64"/>
      </patternFill>
    </fill>
    <fill>
      <patternFill patternType="solid">
        <fgColor rgb="FFFFFF66"/>
        <bgColor indexed="64"/>
      </patternFill>
    </fill>
    <fill>
      <patternFill patternType="solid">
        <fgColor theme="0"/>
        <bgColor indexed="64"/>
      </patternFill>
    </fill>
    <fill>
      <patternFill patternType="solid">
        <fgColor theme="0" tint="-4.9989318521683403E-2"/>
        <bgColor indexed="64"/>
      </patternFill>
    </fill>
    <fill>
      <patternFill patternType="lightDown">
        <bgColor theme="0" tint="-4.9989318521683403E-2"/>
      </patternFill>
    </fill>
    <fill>
      <patternFill patternType="solid">
        <fgColor theme="4" tint="0.79998168889431442"/>
        <bgColor indexed="62"/>
      </patternFill>
    </fill>
    <fill>
      <gradientFill degree="270">
        <stop position="0">
          <color theme="3" tint="0.59999389629810485"/>
        </stop>
        <stop position="1">
          <color theme="4"/>
        </stop>
      </gradientFill>
    </fill>
  </fills>
  <borders count="161">
    <border>
      <left/>
      <right/>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10"/>
      </left>
      <right style="thin">
        <color indexed="10"/>
      </right>
      <top style="thin">
        <color indexed="10"/>
      </top>
      <bottom style="thin">
        <color indexed="10"/>
      </bottom>
      <diagonal/>
    </border>
    <border>
      <left/>
      <right style="thin">
        <color indexed="48"/>
      </right>
      <top/>
      <bottom/>
      <diagonal/>
    </border>
    <border>
      <left/>
      <right/>
      <top/>
      <bottom style="thin">
        <color indexed="64"/>
      </bottom>
      <diagonal/>
    </border>
    <border>
      <left/>
      <right/>
      <top style="thin">
        <color indexed="48"/>
      </top>
      <bottom style="thin">
        <color indexed="48"/>
      </bottom>
      <diagonal/>
    </border>
    <border>
      <left style="thin">
        <color indexed="48"/>
      </left>
      <right style="thin">
        <color indexed="48"/>
      </right>
      <top style="thin">
        <color indexed="48"/>
      </top>
      <bottom style="thin">
        <color indexed="48"/>
      </bottom>
      <diagonal/>
    </border>
    <border>
      <left style="medium">
        <color indexed="64"/>
      </left>
      <right style="thin">
        <color indexed="64"/>
      </right>
      <top style="medium">
        <color indexed="64"/>
      </top>
      <bottom style="medium">
        <color indexed="64"/>
      </bottom>
      <diagonal/>
    </border>
    <border>
      <left style="thin">
        <color indexed="48"/>
      </left>
      <right/>
      <top/>
      <bottom/>
      <diagonal/>
    </border>
    <border>
      <left/>
      <right style="double">
        <color indexed="48"/>
      </right>
      <top/>
      <bottom/>
      <diagonal/>
    </border>
    <border>
      <left/>
      <right/>
      <top/>
      <bottom style="double">
        <color indexed="48"/>
      </bottom>
      <diagonal/>
    </border>
    <border>
      <left/>
      <right style="double">
        <color indexed="48"/>
      </right>
      <top/>
      <bottom style="double">
        <color indexed="48"/>
      </bottom>
      <diagonal/>
    </border>
    <border>
      <left/>
      <right/>
      <top/>
      <bottom style="thin">
        <color indexed="48"/>
      </bottom>
      <diagonal/>
    </border>
    <border>
      <left style="double">
        <color indexed="48"/>
      </left>
      <right/>
      <top/>
      <bottom/>
      <diagonal/>
    </border>
    <border>
      <left style="double">
        <color indexed="48"/>
      </left>
      <right/>
      <top/>
      <bottom style="double">
        <color indexed="48"/>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mediumDashed">
        <color indexed="64"/>
      </bottom>
      <diagonal/>
    </border>
    <border>
      <left/>
      <right/>
      <top/>
      <bottom style="mediumDashed">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bottom style="mediumDashed">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ouble">
        <color indexed="48"/>
      </top>
      <bottom/>
      <diagonal/>
    </border>
    <border>
      <left/>
      <right/>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48"/>
      </left>
      <right/>
      <top style="double">
        <color indexed="48"/>
      </top>
      <bottom style="medium">
        <color indexed="64"/>
      </bottom>
      <diagonal/>
    </border>
    <border>
      <left/>
      <right/>
      <top style="double">
        <color indexed="48"/>
      </top>
      <bottom style="medium">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double">
        <color indexed="64"/>
      </left>
      <right/>
      <top style="thin">
        <color indexed="64"/>
      </top>
      <bottom style="double">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theme="3" tint="0.39994506668294322"/>
      </left>
      <right style="thin">
        <color theme="3" tint="0.39994506668294322"/>
      </right>
      <top/>
      <bottom/>
      <diagonal/>
    </border>
    <border>
      <left style="double">
        <color theme="3" tint="0.39994506668294322"/>
      </left>
      <right style="thin">
        <color indexed="64"/>
      </right>
      <top/>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style="thin">
        <color indexed="64"/>
      </top>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diagonal/>
    </border>
    <border>
      <left/>
      <right style="double">
        <color theme="3" tint="0.39994506668294322"/>
      </right>
      <top/>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rgb="FF0070C0"/>
      </left>
      <right style="thin">
        <color rgb="FF0070C0"/>
      </right>
      <top/>
      <bottom style="thin">
        <color rgb="FF0070C0"/>
      </bottom>
      <diagonal/>
    </border>
    <border>
      <left style="thin">
        <color theme="3" tint="0.39994506668294322"/>
      </left>
      <right/>
      <top style="thin">
        <color theme="3" tint="0.39994506668294322"/>
      </top>
      <bottom style="thin">
        <color theme="3" tint="0.39994506668294322"/>
      </bottom>
      <diagonal/>
    </border>
    <border>
      <left/>
      <right style="thin">
        <color indexed="64"/>
      </right>
      <top/>
      <bottom style="double">
        <color theme="3" tint="0.39994506668294322"/>
      </bottom>
      <diagonal/>
    </border>
    <border>
      <left style="thin">
        <color indexed="64"/>
      </left>
      <right style="thin">
        <color indexed="64"/>
      </right>
      <top style="double">
        <color theme="3" tint="0.39994506668294322"/>
      </top>
      <bottom/>
      <diagonal/>
    </border>
    <border>
      <left style="thin">
        <color indexed="64"/>
      </left>
      <right/>
      <top style="double">
        <color theme="3" tint="0.39994506668294322"/>
      </top>
      <bottom/>
      <diagonal/>
    </border>
    <border>
      <left/>
      <right/>
      <top style="double">
        <color theme="3" tint="0.39994506668294322"/>
      </top>
      <bottom/>
      <diagonal/>
    </border>
    <border>
      <left/>
      <right style="double">
        <color theme="3" tint="0.39994506668294322"/>
      </right>
      <top style="double">
        <color theme="3" tint="0.39994506668294322"/>
      </top>
      <bottom/>
      <diagonal/>
    </border>
    <border>
      <left/>
      <right style="double">
        <color theme="3" tint="0.39994506668294322"/>
      </right>
      <top/>
      <bottom style="mediumDashed">
        <color indexed="64"/>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thin">
        <color theme="3" tint="0.39994506668294322"/>
      </left>
      <right/>
      <top style="thin">
        <color theme="3" tint="0.39994506668294322"/>
      </top>
      <bottom/>
      <diagonal/>
    </border>
    <border>
      <left/>
      <right style="thin">
        <color theme="3" tint="0.39994506668294322"/>
      </right>
      <top style="thin">
        <color theme="3" tint="0.39994506668294322"/>
      </top>
      <bottom/>
      <diagonal/>
    </border>
    <border>
      <left style="double">
        <color theme="3" tint="0.39994506668294322"/>
      </left>
      <right/>
      <top style="double">
        <color theme="3" tint="0.39994506668294322"/>
      </top>
      <bottom/>
      <diagonal/>
    </border>
    <border>
      <left/>
      <right style="double">
        <color theme="3" tint="0.39991454817346722"/>
      </right>
      <top style="double">
        <color theme="3" tint="0.39994506668294322"/>
      </top>
      <bottom/>
      <diagonal/>
    </border>
    <border>
      <left/>
      <right style="double">
        <color theme="3" tint="0.39991454817346722"/>
      </right>
      <top/>
      <bottom/>
      <diagonal/>
    </border>
    <border>
      <left style="thin">
        <color indexed="64"/>
      </left>
      <right style="double">
        <color theme="3" tint="0.39994506668294322"/>
      </right>
      <top style="thin">
        <color indexed="64"/>
      </top>
      <bottom/>
      <diagonal/>
    </border>
    <border>
      <left/>
      <right style="thin">
        <color indexed="64"/>
      </right>
      <top style="double">
        <color theme="3" tint="0.39994506668294322"/>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medium">
        <color theme="3" tint="0.39994506668294322"/>
      </left>
      <right/>
      <top style="medium">
        <color theme="3" tint="0.39994506668294322"/>
      </top>
      <bottom style="medium">
        <color theme="3" tint="0.39994506668294322"/>
      </bottom>
      <diagonal/>
    </border>
    <border>
      <left/>
      <right/>
      <top style="medium">
        <color theme="3" tint="0.39994506668294322"/>
      </top>
      <bottom style="medium">
        <color theme="3" tint="0.39994506668294322"/>
      </bottom>
      <diagonal/>
    </border>
    <border>
      <left/>
      <right style="medium">
        <color theme="3" tint="0.39994506668294322"/>
      </right>
      <top style="medium">
        <color theme="3" tint="0.39994506668294322"/>
      </top>
      <bottom style="medium">
        <color theme="3" tint="0.39994506668294322"/>
      </bottom>
      <diagonal/>
    </border>
    <border>
      <left/>
      <right style="double">
        <color theme="3" tint="0.39991454817346722"/>
      </right>
      <top/>
      <bottom style="double">
        <color theme="3" tint="0.39994506668294322"/>
      </bottom>
      <diagonal/>
    </border>
    <border>
      <left style="thin">
        <color rgb="FF0070C0"/>
      </left>
      <right/>
      <top/>
      <bottom style="thin">
        <color rgb="FF0070C0"/>
      </bottom>
      <diagonal/>
    </border>
    <border>
      <left/>
      <right style="thin">
        <color rgb="FF0070C0"/>
      </right>
      <top/>
      <bottom style="thin">
        <color rgb="FF0070C0"/>
      </bottom>
      <diagonal/>
    </border>
  </borders>
  <cellStyleXfs count="7">
    <xf numFmtId="0" fontId="0" fillId="0" borderId="0"/>
    <xf numFmtId="43" fontId="1" fillId="0" borderId="0" applyFont="0" applyFill="0" applyBorder="0" applyAlignment="0" applyProtection="0"/>
    <xf numFmtId="43" fontId="1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alignment vertical="top"/>
      <protection locked="0"/>
    </xf>
    <xf numFmtId="0" fontId="11" fillId="0" borderId="0"/>
    <xf numFmtId="0" fontId="100" fillId="0" borderId="0"/>
  </cellStyleXfs>
  <cellXfs count="929">
    <xf numFmtId="0" fontId="0" fillId="0" borderId="0" xfId="0"/>
    <xf numFmtId="0" fontId="5" fillId="0" borderId="0" xfId="0" applyFont="1"/>
    <xf numFmtId="0" fontId="5" fillId="2" borderId="0" xfId="0" applyFont="1" applyFill="1" applyBorder="1"/>
    <xf numFmtId="0" fontId="5" fillId="0" borderId="0" xfId="0" applyFont="1" applyFill="1"/>
    <xf numFmtId="0" fontId="9" fillId="0" borderId="0" xfId="0" applyFont="1" applyFill="1"/>
    <xf numFmtId="0" fontId="5" fillId="0" borderId="0" xfId="0" applyFont="1" applyFill="1" applyBorder="1" applyProtection="1"/>
    <xf numFmtId="0" fontId="11" fillId="2" borderId="0" xfId="0" applyFont="1" applyFill="1" applyBorder="1" applyAlignment="1"/>
    <xf numFmtId="0" fontId="5" fillId="0" borderId="0" xfId="0" applyFont="1" applyProtection="1"/>
    <xf numFmtId="0" fontId="6" fillId="0" borderId="0" xfId="0" applyFont="1" applyProtection="1"/>
    <xf numFmtId="0" fontId="5" fillId="0" borderId="0" xfId="0" applyFont="1" applyFill="1" applyProtection="1"/>
    <xf numFmtId="0" fontId="8" fillId="0" borderId="0" xfId="4" applyFont="1" applyAlignment="1" applyProtection="1"/>
    <xf numFmtId="0" fontId="5" fillId="3" borderId="0" xfId="0" applyFont="1" applyFill="1" applyProtection="1"/>
    <xf numFmtId="0" fontId="16"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205" fontId="1" fillId="0" borderId="1" xfId="1" applyNumberFormat="1" applyBorder="1" applyProtection="1">
      <protection hidden="1"/>
    </xf>
    <xf numFmtId="0" fontId="0" fillId="0" borderId="1" xfId="0" applyBorder="1" applyProtection="1">
      <protection hidden="1"/>
    </xf>
    <xf numFmtId="174" fontId="0" fillId="0" borderId="0" xfId="0" applyNumberFormat="1" applyProtection="1">
      <protection hidden="1"/>
    </xf>
    <xf numFmtId="4" fontId="0" fillId="0" borderId="0" xfId="0" applyNumberFormat="1" applyProtection="1">
      <protection hidden="1"/>
    </xf>
    <xf numFmtId="0" fontId="5" fillId="3" borderId="0" xfId="0" applyFont="1" applyFill="1"/>
    <xf numFmtId="0" fontId="0" fillId="0" borderId="2" xfId="0" applyBorder="1" applyProtection="1">
      <protection hidden="1"/>
    </xf>
    <xf numFmtId="0" fontId="0" fillId="0" borderId="3" xfId="0" applyBorder="1" applyProtection="1">
      <protection hidden="1"/>
    </xf>
    <xf numFmtId="0" fontId="16" fillId="0" borderId="4" xfId="0" applyFont="1" applyBorder="1" applyProtection="1">
      <protection hidden="1"/>
    </xf>
    <xf numFmtId="0" fontId="0" fillId="0" borderId="5" xfId="0" applyBorder="1" applyProtection="1">
      <protection hidden="1"/>
    </xf>
    <xf numFmtId="172" fontId="0" fillId="0" borderId="0" xfId="0" applyNumberFormat="1" applyProtection="1">
      <protection hidden="1"/>
    </xf>
    <xf numFmtId="0" fontId="0" fillId="4" borderId="6" xfId="0" applyFill="1" applyBorder="1" applyProtection="1">
      <protection hidden="1"/>
    </xf>
    <xf numFmtId="0" fontId="0" fillId="4" borderId="0" xfId="0" quotePrefix="1" applyFill="1" applyProtection="1">
      <protection hidden="1"/>
    </xf>
    <xf numFmtId="0" fontId="0" fillId="4" borderId="0" xfId="0" applyFill="1" applyProtection="1">
      <protection hidden="1"/>
    </xf>
    <xf numFmtId="0" fontId="0" fillId="5" borderId="0" xfId="0" applyFill="1" applyProtection="1">
      <protection hidden="1"/>
    </xf>
    <xf numFmtId="0" fontId="0" fillId="6" borderId="0" xfId="0" applyFill="1" applyProtection="1">
      <protection hidden="1"/>
    </xf>
    <xf numFmtId="172" fontId="0" fillId="4" borderId="7" xfId="0" applyNumberFormat="1" applyFill="1" applyBorder="1" applyProtection="1">
      <protection hidden="1"/>
    </xf>
    <xf numFmtId="172" fontId="0" fillId="4" borderId="6" xfId="0" applyNumberFormat="1" applyFill="1" applyBorder="1" applyProtection="1">
      <protection hidden="1"/>
    </xf>
    <xf numFmtId="172" fontId="0" fillId="4" borderId="8" xfId="0" applyNumberFormat="1" applyFill="1" applyBorder="1" applyProtection="1">
      <protection hidden="1"/>
    </xf>
    <xf numFmtId="0" fontId="16" fillId="7" borderId="9" xfId="0" applyFont="1" applyFill="1" applyBorder="1" applyAlignment="1" applyProtection="1">
      <alignment horizontal="center"/>
      <protection hidden="1"/>
    </xf>
    <xf numFmtId="0" fontId="0" fillId="0" borderId="0" xfId="0" applyAlignment="1" applyProtection="1">
      <alignment horizontal="center"/>
      <protection hidden="1"/>
    </xf>
    <xf numFmtId="0" fontId="20" fillId="0" borderId="0" xfId="0" applyFont="1" applyProtection="1">
      <protection hidden="1"/>
    </xf>
    <xf numFmtId="189" fontId="0" fillId="0" borderId="0" xfId="0" applyNumberFormat="1" applyProtection="1">
      <protection hidden="1"/>
    </xf>
    <xf numFmtId="0" fontId="16" fillId="0" borderId="0" xfId="0" quotePrefix="1" applyFont="1" applyFill="1" applyBorder="1" applyAlignment="1" applyProtection="1">
      <alignment horizontal="center"/>
      <protection hidden="1"/>
    </xf>
    <xf numFmtId="0" fontId="0" fillId="8" borderId="9" xfId="0" applyFill="1" applyBorder="1" applyAlignment="1" applyProtection="1">
      <alignment horizontal="center"/>
      <protection hidden="1"/>
    </xf>
    <xf numFmtId="0" fontId="16" fillId="0" borderId="0" xfId="0" quotePrefix="1" applyFont="1" applyFill="1" applyBorder="1" applyAlignment="1" applyProtection="1">
      <alignment horizontal="center" vertical="center"/>
      <protection hidden="1"/>
    </xf>
    <xf numFmtId="0" fontId="16" fillId="9" borderId="9" xfId="0" applyFont="1" applyFill="1" applyBorder="1" applyAlignment="1" applyProtection="1">
      <alignment horizontal="center" vertical="center"/>
      <protection hidden="1"/>
    </xf>
    <xf numFmtId="0" fontId="16" fillId="4" borderId="9" xfId="0" applyFont="1" applyFill="1" applyBorder="1" applyAlignment="1" applyProtection="1">
      <alignment horizontal="center" vertical="center" shrinkToFit="1"/>
      <protection locked="0" hidden="1"/>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9" xfId="0" applyBorder="1" applyAlignment="1">
      <alignment horizontal="center"/>
    </xf>
    <xf numFmtId="0" fontId="16" fillId="0" borderId="10" xfId="0" applyFont="1" applyBorder="1" applyAlignment="1">
      <alignment horizontal="center"/>
    </xf>
    <xf numFmtId="186" fontId="0" fillId="0" borderId="0" xfId="0" applyNumberFormat="1" applyFill="1" applyBorder="1" applyAlignment="1">
      <alignment horizontal="center"/>
    </xf>
    <xf numFmtId="186" fontId="0" fillId="0" borderId="0" xfId="0" applyNumberFormat="1" applyAlignment="1">
      <alignment horizontal="center"/>
    </xf>
    <xf numFmtId="1" fontId="0" fillId="0" borderId="0" xfId="0" applyNumberFormat="1" applyBorder="1" applyAlignment="1">
      <alignment horizontal="center"/>
    </xf>
    <xf numFmtId="186" fontId="0" fillId="0" borderId="0" xfId="0" applyNumberFormat="1" applyBorder="1" applyAlignment="1">
      <alignment horizontal="center"/>
    </xf>
    <xf numFmtId="0" fontId="5" fillId="0" borderId="0" xfId="0" applyFont="1" applyFill="1" applyBorder="1" applyAlignment="1" applyProtection="1">
      <alignment horizontal="right"/>
    </xf>
    <xf numFmtId="0" fontId="24" fillId="0" borderId="0" xfId="0" applyFont="1"/>
    <xf numFmtId="0" fontId="0" fillId="0" borderId="10" xfId="0" applyBorder="1"/>
    <xf numFmtId="0" fontId="13" fillId="2" borderId="0" xfId="0" applyFont="1" applyFill="1"/>
    <xf numFmtId="0" fontId="0" fillId="3" borderId="11" xfId="0" applyFill="1" applyBorder="1" applyAlignment="1">
      <alignment horizont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13" fillId="2" borderId="0" xfId="0" applyFont="1" applyFill="1" applyBorder="1"/>
    <xf numFmtId="0" fontId="13" fillId="2" borderId="0" xfId="0" applyFont="1" applyFill="1" applyBorder="1" applyAlignment="1"/>
    <xf numFmtId="0" fontId="13" fillId="0" borderId="0" xfId="0" applyFont="1"/>
    <xf numFmtId="0" fontId="13" fillId="2" borderId="0" xfId="0" applyFont="1" applyFill="1" applyAlignment="1">
      <alignment horizontal="center"/>
    </xf>
    <xf numFmtId="0" fontId="11" fillId="0" borderId="0" xfId="0" applyFont="1" applyProtection="1"/>
    <xf numFmtId="0" fontId="31" fillId="2" borderId="0" xfId="0" applyFont="1" applyFill="1" applyBorder="1"/>
    <xf numFmtId="0" fontId="5" fillId="2" borderId="0" xfId="0" applyFont="1" applyFill="1"/>
    <xf numFmtId="0" fontId="11" fillId="2" borderId="0" xfId="0" applyFont="1" applyFill="1" applyBorder="1"/>
    <xf numFmtId="0" fontId="16" fillId="0" borderId="14" xfId="0" applyFont="1" applyBorder="1" applyAlignment="1" applyProtection="1">
      <alignment horizontal="center" vertical="center"/>
    </xf>
    <xf numFmtId="0" fontId="16" fillId="0" borderId="14" xfId="0" applyFont="1" applyBorder="1" applyAlignment="1" applyProtection="1">
      <alignment horizontal="center" vertical="center" wrapText="1"/>
    </xf>
    <xf numFmtId="0" fontId="11" fillId="3" borderId="0" xfId="0" applyFont="1" applyFill="1" applyProtection="1"/>
    <xf numFmtId="0" fontId="11" fillId="0" borderId="0" xfId="0" applyFont="1" applyBorder="1" applyProtection="1"/>
    <xf numFmtId="0" fontId="11" fillId="0" borderId="0" xfId="0" applyFont="1" applyFill="1" applyBorder="1" applyProtection="1">
      <protection locked="0"/>
    </xf>
    <xf numFmtId="0" fontId="11" fillId="0" borderId="0" xfId="0" applyFont="1" applyFill="1" applyBorder="1" applyProtection="1"/>
    <xf numFmtId="1" fontId="11" fillId="0" borderId="0" xfId="0" applyNumberFormat="1" applyFont="1" applyFill="1" applyBorder="1" applyProtection="1"/>
    <xf numFmtId="10" fontId="11" fillId="0" borderId="0" xfId="0" applyNumberFormat="1" applyFont="1" applyFill="1" applyBorder="1" applyProtection="1"/>
    <xf numFmtId="0" fontId="0" fillId="13" borderId="0" xfId="0" applyFill="1"/>
    <xf numFmtId="0" fontId="53" fillId="13" borderId="0" xfId="0" applyFont="1" applyFill="1" applyProtection="1"/>
    <xf numFmtId="0" fontId="16" fillId="13" borderId="15" xfId="0" applyFont="1" applyFill="1" applyBorder="1" applyAlignment="1">
      <alignment horizontal="center" vertical="center"/>
    </xf>
    <xf numFmtId="0" fontId="11" fillId="13" borderId="0" xfId="0" applyFont="1" applyFill="1"/>
    <xf numFmtId="0" fontId="51" fillId="13" borderId="0" xfId="0" applyFont="1" applyFill="1" applyBorder="1" applyProtection="1"/>
    <xf numFmtId="1" fontId="51" fillId="13" borderId="0" xfId="0" applyNumberFormat="1" applyFont="1" applyFill="1" applyBorder="1" applyProtection="1"/>
    <xf numFmtId="0" fontId="53" fillId="13" borderId="0" xfId="0" applyFont="1" applyFill="1" applyBorder="1" applyProtection="1"/>
    <xf numFmtId="0" fontId="51" fillId="13" borderId="0" xfId="0" applyFont="1" applyFill="1" applyBorder="1" applyAlignment="1" applyProtection="1">
      <alignment horizontal="right" vertical="center"/>
    </xf>
    <xf numFmtId="1" fontId="51" fillId="13" borderId="0" xfId="0" applyNumberFormat="1" applyFont="1" applyFill="1" applyBorder="1" applyAlignment="1" applyProtection="1">
      <alignment horizontal="right" vertical="center"/>
    </xf>
    <xf numFmtId="0" fontId="51" fillId="13" borderId="0" xfId="0" applyFont="1" applyFill="1" applyBorder="1" applyAlignment="1" applyProtection="1">
      <alignment vertical="center"/>
    </xf>
    <xf numFmtId="0" fontId="53" fillId="13" borderId="0" xfId="0" applyFont="1" applyFill="1" applyBorder="1" applyAlignment="1" applyProtection="1">
      <alignment vertical="center"/>
    </xf>
    <xf numFmtId="0" fontId="53" fillId="13" borderId="0" xfId="0" quotePrefix="1" applyFont="1" applyFill="1" applyBorder="1" applyAlignment="1" applyProtection="1">
      <alignment vertical="center"/>
    </xf>
    <xf numFmtId="0" fontId="51" fillId="13" borderId="0" xfId="0" applyFont="1" applyFill="1" applyBorder="1" applyAlignment="1" applyProtection="1">
      <alignment horizontal="center" vertical="center"/>
    </xf>
    <xf numFmtId="1" fontId="51" fillId="13" borderId="0" xfId="0" applyNumberFormat="1" applyFont="1" applyFill="1" applyBorder="1" applyAlignment="1" applyProtection="1">
      <alignment horizontal="center" vertical="center"/>
    </xf>
    <xf numFmtId="0" fontId="53" fillId="13" borderId="0" xfId="0" applyFont="1" applyFill="1" applyBorder="1" applyAlignment="1" applyProtection="1">
      <alignment horizontal="center"/>
    </xf>
    <xf numFmtId="0" fontId="53" fillId="13" borderId="0" xfId="0" quotePrefix="1" applyFont="1" applyFill="1" applyBorder="1" applyAlignment="1" applyProtection="1">
      <alignment horizontal="center"/>
    </xf>
    <xf numFmtId="0" fontId="55" fillId="13" borderId="16" xfId="0" applyFont="1" applyFill="1" applyBorder="1" applyAlignment="1">
      <alignment vertical="center"/>
    </xf>
    <xf numFmtId="2" fontId="54" fillId="13" borderId="0" xfId="0" applyNumberFormat="1" applyFont="1" applyFill="1" applyBorder="1" applyAlignment="1" applyProtection="1">
      <alignment horizontal="left"/>
    </xf>
    <xf numFmtId="1" fontId="53" fillId="13" borderId="0" xfId="0" applyNumberFormat="1" applyFont="1" applyFill="1" applyBorder="1" applyProtection="1"/>
    <xf numFmtId="0" fontId="16" fillId="13" borderId="0" xfId="0" applyFont="1" applyFill="1"/>
    <xf numFmtId="0" fontId="0" fillId="0" borderId="0" xfId="0" applyFill="1"/>
    <xf numFmtId="0" fontId="53" fillId="0" borderId="0" xfId="0" applyFont="1" applyFill="1" applyProtection="1"/>
    <xf numFmtId="0" fontId="16" fillId="0" borderId="0" xfId="0" applyFont="1" applyFill="1"/>
    <xf numFmtId="0" fontId="11" fillId="0" borderId="0" xfId="0" applyFont="1" applyFill="1"/>
    <xf numFmtId="0" fontId="11" fillId="14" borderId="0" xfId="0" applyFont="1" applyFill="1" applyProtection="1"/>
    <xf numFmtId="0" fontId="11" fillId="14" borderId="9" xfId="0" applyFont="1" applyFill="1" applyBorder="1" applyProtection="1"/>
    <xf numFmtId="0" fontId="53" fillId="0" borderId="0" xfId="0" applyFont="1" applyFill="1" applyAlignment="1" applyProtection="1">
      <alignment vertical="center"/>
    </xf>
    <xf numFmtId="0" fontId="53" fillId="0" borderId="0" xfId="0" applyFont="1" applyFill="1" applyAlignment="1" applyProtection="1">
      <alignment horizontal="center"/>
    </xf>
    <xf numFmtId="0" fontId="53" fillId="0" borderId="0" xfId="0" applyFont="1" applyFill="1" applyBorder="1" applyProtection="1"/>
    <xf numFmtId="0" fontId="51" fillId="13" borderId="0" xfId="0" applyFont="1" applyFill="1" applyBorder="1" applyAlignment="1">
      <alignment vertical="center"/>
    </xf>
    <xf numFmtId="0" fontId="62" fillId="15" borderId="0" xfId="0" applyFont="1" applyFill="1" applyProtection="1"/>
    <xf numFmtId="0" fontId="62" fillId="0" borderId="0" xfId="0" applyFont="1" applyFill="1" applyProtection="1"/>
    <xf numFmtId="0" fontId="63" fillId="13" borderId="0" xfId="0" applyFont="1" applyFill="1" applyBorder="1" applyProtection="1"/>
    <xf numFmtId="1" fontId="63" fillId="13" borderId="0" xfId="0" applyNumberFormat="1" applyFont="1" applyFill="1" applyBorder="1" applyProtection="1"/>
    <xf numFmtId="0" fontId="62" fillId="13" borderId="0" xfId="0" applyFont="1" applyFill="1" applyBorder="1" applyProtection="1"/>
    <xf numFmtId="0" fontId="64" fillId="13" borderId="0" xfId="0" applyFont="1" applyFill="1" applyBorder="1" applyAlignment="1" applyProtection="1">
      <alignment horizontal="right"/>
    </xf>
    <xf numFmtId="2" fontId="63" fillId="13" borderId="0" xfId="0" applyNumberFormat="1" applyFont="1" applyFill="1" applyBorder="1" applyAlignment="1" applyProtection="1">
      <alignment horizontal="left"/>
    </xf>
    <xf numFmtId="0" fontId="65" fillId="13" borderId="0" xfId="0" applyFont="1" applyFill="1" applyBorder="1" applyProtection="1"/>
    <xf numFmtId="0" fontId="62" fillId="13" borderId="0" xfId="0" applyFont="1" applyFill="1" applyBorder="1" applyAlignment="1" applyProtection="1">
      <alignment horizontal="right"/>
    </xf>
    <xf numFmtId="0" fontId="62" fillId="13" borderId="0" xfId="0" applyFont="1" applyFill="1" applyBorder="1" applyProtection="1">
      <protection hidden="1"/>
    </xf>
    <xf numFmtId="175" fontId="62" fillId="15" borderId="0" xfId="0" applyNumberFormat="1" applyFont="1" applyFill="1" applyProtection="1"/>
    <xf numFmtId="0" fontId="63" fillId="13" borderId="0" xfId="0" applyFont="1" applyFill="1" applyBorder="1" applyAlignment="1" applyProtection="1">
      <alignment horizontal="left"/>
    </xf>
    <xf numFmtId="1" fontId="63" fillId="13" borderId="0" xfId="0" applyNumberFormat="1" applyFont="1" applyFill="1" applyBorder="1" applyAlignment="1" applyProtection="1">
      <alignment horizontal="left"/>
    </xf>
    <xf numFmtId="4" fontId="62" fillId="13" borderId="0" xfId="0" applyNumberFormat="1" applyFont="1" applyFill="1" applyBorder="1" applyProtection="1"/>
    <xf numFmtId="0" fontId="62" fillId="13" borderId="0" xfId="0" applyFont="1" applyFill="1" applyBorder="1" applyAlignment="1" applyProtection="1">
      <alignment wrapText="1"/>
    </xf>
    <xf numFmtId="3" fontId="62" fillId="13" borderId="0" xfId="0" applyNumberFormat="1" applyFont="1" applyFill="1" applyBorder="1" applyProtection="1"/>
    <xf numFmtId="4" fontId="62" fillId="13" borderId="0" xfId="0" applyNumberFormat="1" applyFont="1" applyFill="1" applyBorder="1" applyAlignment="1" applyProtection="1">
      <alignment vertical="center"/>
      <protection hidden="1"/>
    </xf>
    <xf numFmtId="4" fontId="62" fillId="13" borderId="0" xfId="0" applyNumberFormat="1" applyFont="1" applyFill="1" applyBorder="1" applyAlignment="1" applyProtection="1">
      <alignment horizontal="right" vertical="center"/>
      <protection hidden="1"/>
    </xf>
    <xf numFmtId="4" fontId="66" fillId="13" borderId="0" xfId="0" applyNumberFormat="1" applyFont="1" applyFill="1" applyBorder="1" applyAlignment="1" applyProtection="1">
      <alignment vertical="center"/>
      <protection hidden="1"/>
    </xf>
    <xf numFmtId="0" fontId="62" fillId="13" borderId="17" xfId="0" applyFont="1" applyFill="1" applyBorder="1" applyProtection="1"/>
    <xf numFmtId="0" fontId="62" fillId="13" borderId="0" xfId="0" quotePrefix="1" applyFont="1" applyFill="1" applyBorder="1" applyProtection="1"/>
    <xf numFmtId="1" fontId="62" fillId="13" borderId="0" xfId="0" applyNumberFormat="1" applyFont="1" applyFill="1" applyBorder="1" applyProtection="1"/>
    <xf numFmtId="0" fontId="62" fillId="15" borderId="0" xfId="0" applyFont="1" applyFill="1" applyBorder="1" applyProtection="1"/>
    <xf numFmtId="0" fontId="62" fillId="0" borderId="0" xfId="0" applyFont="1" applyFill="1" applyBorder="1" applyProtection="1"/>
    <xf numFmtId="1" fontId="62" fillId="15" borderId="0" xfId="0" applyNumberFormat="1" applyFont="1" applyFill="1" applyBorder="1" applyProtection="1"/>
    <xf numFmtId="0" fontId="56" fillId="0" borderId="0" xfId="0" applyFont="1" applyFill="1" applyBorder="1" applyAlignment="1" applyProtection="1">
      <alignment horizontal="center"/>
    </xf>
    <xf numFmtId="43" fontId="11" fillId="0" borderId="0" xfId="1" applyFont="1" applyProtection="1"/>
    <xf numFmtId="176" fontId="11" fillId="0" borderId="0" xfId="0" applyNumberFormat="1" applyFont="1" applyProtection="1"/>
    <xf numFmtId="0" fontId="16" fillId="15" borderId="0" xfId="0" applyFont="1" applyFill="1" applyProtection="1"/>
    <xf numFmtId="43" fontId="1" fillId="0" borderId="0" xfId="0" applyNumberFormat="1" applyFont="1" applyBorder="1" applyAlignment="1">
      <alignment horizontal="center"/>
    </xf>
    <xf numFmtId="1" fontId="0" fillId="0" borderId="18" xfId="0" applyNumberFormat="1" applyBorder="1" applyAlignment="1">
      <alignment horizontal="center"/>
    </xf>
    <xf numFmtId="43" fontId="1" fillId="0" borderId="18" xfId="0" applyNumberFormat="1" applyFont="1" applyBorder="1" applyAlignment="1">
      <alignment horizontal="center"/>
    </xf>
    <xf numFmtId="186" fontId="0" fillId="0" borderId="18" xfId="0" applyNumberFormat="1" applyBorder="1" applyAlignment="1">
      <alignment horizontal="center"/>
    </xf>
    <xf numFmtId="186" fontId="0" fillId="0" borderId="18" xfId="0" applyNumberFormat="1" applyFill="1" applyBorder="1" applyAlignment="1">
      <alignment horizontal="center"/>
    </xf>
    <xf numFmtId="0" fontId="0" fillId="0" borderId="18" xfId="0" applyBorder="1"/>
    <xf numFmtId="0" fontId="5" fillId="16" borderId="0" xfId="0" applyFont="1" applyFill="1" applyBorder="1" applyAlignment="1" applyProtection="1">
      <alignment horizontal="right"/>
    </xf>
    <xf numFmtId="1" fontId="0" fillId="16" borderId="0" xfId="0" applyNumberFormat="1" applyFill="1" applyBorder="1" applyAlignment="1">
      <alignment horizontal="center"/>
    </xf>
    <xf numFmtId="0" fontId="1" fillId="16" borderId="0" xfId="0" applyFont="1" applyFill="1" applyBorder="1" applyAlignment="1">
      <alignment horizontal="center"/>
    </xf>
    <xf numFmtId="186" fontId="0" fillId="16" borderId="0" xfId="0" applyNumberFormat="1" applyFill="1" applyBorder="1" applyAlignment="1">
      <alignment horizontal="center"/>
    </xf>
    <xf numFmtId="186" fontId="0" fillId="16" borderId="0" xfId="0" applyNumberFormat="1" applyFill="1" applyAlignment="1">
      <alignment horizontal="center"/>
    </xf>
    <xf numFmtId="0" fontId="0" fillId="16" borderId="0" xfId="0" applyFill="1"/>
    <xf numFmtId="0" fontId="5" fillId="17" borderId="0" xfId="0" applyFont="1" applyFill="1" applyBorder="1" applyAlignment="1" applyProtection="1">
      <alignment horizontal="right"/>
    </xf>
    <xf numFmtId="1" fontId="0" fillId="17" borderId="0" xfId="0" applyNumberFormat="1" applyFill="1" applyBorder="1" applyAlignment="1">
      <alignment horizontal="center"/>
    </xf>
    <xf numFmtId="0" fontId="1" fillId="17" borderId="0" xfId="0" applyFont="1" applyFill="1" applyBorder="1" applyAlignment="1">
      <alignment horizontal="center"/>
    </xf>
    <xf numFmtId="186" fontId="0" fillId="17" borderId="0" xfId="0" applyNumberFormat="1" applyFill="1" applyBorder="1" applyAlignment="1">
      <alignment horizontal="center"/>
    </xf>
    <xf numFmtId="186" fontId="0" fillId="17" borderId="0" xfId="0" applyNumberFormat="1" applyFill="1" applyAlignment="1">
      <alignment horizontal="center"/>
    </xf>
    <xf numFmtId="0" fontId="0" fillId="17" borderId="0" xfId="0" applyFill="1"/>
    <xf numFmtId="1" fontId="0" fillId="16" borderId="0" xfId="0" quotePrefix="1" applyNumberFormat="1" applyFill="1" applyBorder="1" applyAlignment="1">
      <alignment horizontal="center"/>
    </xf>
    <xf numFmtId="0" fontId="5" fillId="18" borderId="0" xfId="0" applyFont="1" applyFill="1" applyBorder="1" applyAlignment="1" applyProtection="1">
      <alignment horizontal="right"/>
    </xf>
    <xf numFmtId="1" fontId="0" fillId="18" borderId="0" xfId="0" applyNumberFormat="1" applyFill="1" applyBorder="1" applyAlignment="1">
      <alignment horizontal="center"/>
    </xf>
    <xf numFmtId="0" fontId="1" fillId="18" borderId="0" xfId="0" applyFont="1" applyFill="1" applyBorder="1" applyAlignment="1">
      <alignment horizontal="center"/>
    </xf>
    <xf numFmtId="186" fontId="0" fillId="18" borderId="0" xfId="0" applyNumberFormat="1" applyFill="1" applyBorder="1" applyAlignment="1">
      <alignment horizontal="center"/>
    </xf>
    <xf numFmtId="186" fontId="0" fillId="18" borderId="0" xfId="0" applyNumberFormat="1" applyFill="1" applyAlignment="1">
      <alignment horizontal="center"/>
    </xf>
    <xf numFmtId="0" fontId="0" fillId="18" borderId="0" xfId="0" applyFill="1"/>
    <xf numFmtId="43" fontId="16" fillId="0" borderId="10" xfId="0" applyNumberFormat="1" applyFont="1" applyBorder="1"/>
    <xf numFmtId="0" fontId="43" fillId="19" borderId="0" xfId="0" applyFont="1" applyFill="1" applyBorder="1" applyProtection="1"/>
    <xf numFmtId="0" fontId="16" fillId="19" borderId="0" xfId="0" applyFont="1" applyFill="1" applyBorder="1" applyProtection="1"/>
    <xf numFmtId="1" fontId="16" fillId="19" borderId="0" xfId="0" applyNumberFormat="1" applyFont="1" applyFill="1" applyBorder="1" applyProtection="1"/>
    <xf numFmtId="0" fontId="11" fillId="19" borderId="0" xfId="0" applyFont="1" applyFill="1" applyBorder="1" applyProtection="1"/>
    <xf numFmtId="0" fontId="44" fillId="19" borderId="0" xfId="0" applyFont="1" applyFill="1" applyBorder="1" applyAlignment="1" applyProtection="1">
      <alignment horizontal="right"/>
    </xf>
    <xf numFmtId="0" fontId="11" fillId="19" borderId="18" xfId="0" applyFont="1" applyFill="1" applyBorder="1" applyProtection="1"/>
    <xf numFmtId="0" fontId="16" fillId="19" borderId="18" xfId="0" applyFont="1" applyFill="1" applyBorder="1" applyProtection="1"/>
    <xf numFmtId="1" fontId="16" fillId="19" borderId="18" xfId="0" applyNumberFormat="1" applyFont="1" applyFill="1" applyBorder="1" applyProtection="1"/>
    <xf numFmtId="0" fontId="11" fillId="19" borderId="0" xfId="0" applyFont="1" applyFill="1" applyBorder="1" applyAlignment="1" applyProtection="1">
      <alignment horizontal="left"/>
    </xf>
    <xf numFmtId="0" fontId="11" fillId="19" borderId="0" xfId="0" applyFont="1" applyFill="1" applyBorder="1" applyAlignment="1" applyProtection="1">
      <alignment horizontal="right"/>
    </xf>
    <xf numFmtId="49" fontId="17" fillId="19" borderId="0" xfId="0" applyNumberFormat="1" applyFont="1" applyFill="1" applyBorder="1" applyAlignment="1" applyProtection="1">
      <alignment horizontal="right"/>
    </xf>
    <xf numFmtId="0" fontId="16" fillId="19" borderId="0" xfId="0" applyFont="1" applyFill="1" applyBorder="1" applyAlignment="1" applyProtection="1">
      <alignment horizontal="left"/>
    </xf>
    <xf numFmtId="2" fontId="11" fillId="19" borderId="0" xfId="0" applyNumberFormat="1" applyFont="1" applyFill="1" applyBorder="1" applyProtection="1"/>
    <xf numFmtId="0" fontId="10" fillId="19" borderId="0" xfId="0" applyFont="1" applyFill="1" applyBorder="1" applyAlignment="1" applyProtection="1">
      <alignment horizontal="left"/>
      <protection hidden="1"/>
    </xf>
    <xf numFmtId="0" fontId="16" fillId="19" borderId="0" xfId="0" applyFont="1" applyFill="1" applyBorder="1" applyAlignment="1" applyProtection="1">
      <alignment horizontal="right"/>
    </xf>
    <xf numFmtId="1" fontId="46" fillId="19" borderId="0" xfId="0" applyNumberFormat="1" applyFont="1" applyFill="1" applyBorder="1" applyAlignment="1" applyProtection="1">
      <alignment horizontal="left"/>
    </xf>
    <xf numFmtId="0" fontId="16" fillId="19" borderId="19" xfId="0" applyFont="1" applyFill="1" applyBorder="1" applyAlignment="1" applyProtection="1">
      <alignment horizontal="left"/>
    </xf>
    <xf numFmtId="2" fontId="11" fillId="19" borderId="0" xfId="0" applyNumberFormat="1" applyFont="1" applyFill="1" applyBorder="1" applyProtection="1">
      <protection hidden="1"/>
    </xf>
    <xf numFmtId="0" fontId="16" fillId="19" borderId="18" xfId="0" applyFont="1" applyFill="1" applyBorder="1" applyAlignment="1" applyProtection="1">
      <alignment horizontal="left"/>
    </xf>
    <xf numFmtId="1" fontId="46" fillId="19" borderId="18" xfId="0" applyNumberFormat="1" applyFont="1" applyFill="1" applyBorder="1" applyAlignment="1" applyProtection="1">
      <alignment horizontal="left"/>
    </xf>
    <xf numFmtId="0" fontId="11" fillId="19" borderId="18" xfId="0" applyFont="1" applyFill="1" applyBorder="1" applyAlignment="1" applyProtection="1">
      <alignment horizontal="left"/>
    </xf>
    <xf numFmtId="1" fontId="46" fillId="19" borderId="0" xfId="0" applyNumberFormat="1" applyFont="1" applyFill="1" applyBorder="1" applyProtection="1"/>
    <xf numFmtId="2" fontId="42" fillId="19" borderId="0" xfId="0" applyNumberFormat="1" applyFont="1" applyFill="1" applyBorder="1" applyAlignment="1" applyProtection="1">
      <alignment horizontal="center"/>
    </xf>
    <xf numFmtId="1" fontId="47" fillId="19" borderId="0" xfId="0" applyNumberFormat="1" applyFont="1" applyFill="1" applyBorder="1" applyAlignment="1" applyProtection="1">
      <alignment horizontal="left"/>
    </xf>
    <xf numFmtId="1" fontId="47" fillId="19" borderId="18" xfId="0" applyNumberFormat="1" applyFont="1" applyFill="1" applyBorder="1" applyAlignment="1" applyProtection="1">
      <alignment horizontal="left"/>
    </xf>
    <xf numFmtId="0" fontId="48" fillId="19" borderId="0" xfId="0" applyFont="1" applyFill="1" applyBorder="1" applyAlignment="1" applyProtection="1">
      <alignment horizontal="left"/>
    </xf>
    <xf numFmtId="0" fontId="11" fillId="19" borderId="0" xfId="0" applyFont="1" applyFill="1" applyBorder="1" applyProtection="1">
      <protection hidden="1"/>
    </xf>
    <xf numFmtId="2" fontId="11" fillId="19" borderId="0" xfId="0" applyNumberFormat="1" applyFont="1" applyFill="1" applyBorder="1" applyAlignment="1" applyProtection="1">
      <alignment horizontal="right"/>
    </xf>
    <xf numFmtId="0" fontId="42" fillId="19" borderId="0" xfId="0" applyFont="1" applyFill="1" applyBorder="1" applyAlignment="1" applyProtection="1">
      <alignment horizontal="center" vertical="center"/>
    </xf>
    <xf numFmtId="1" fontId="47" fillId="19" borderId="0" xfId="0" applyNumberFormat="1" applyFont="1" applyFill="1" applyBorder="1" applyAlignment="1" applyProtection="1">
      <alignment horizontal="right"/>
    </xf>
    <xf numFmtId="2" fontId="16" fillId="19" borderId="0" xfId="0" applyNumberFormat="1" applyFont="1" applyFill="1" applyBorder="1" applyAlignment="1" applyProtection="1">
      <alignment horizontal="right"/>
    </xf>
    <xf numFmtId="2" fontId="20" fillId="19" borderId="0" xfId="0" applyNumberFormat="1" applyFont="1" applyFill="1" applyBorder="1" applyAlignment="1" applyProtection="1">
      <alignment horizontal="center" vertical="center"/>
      <protection hidden="1"/>
    </xf>
    <xf numFmtId="2" fontId="16" fillId="19" borderId="19" xfId="0" applyNumberFormat="1" applyFont="1" applyFill="1" applyBorder="1" applyProtection="1"/>
    <xf numFmtId="2" fontId="16" fillId="19" borderId="0" xfId="0" applyNumberFormat="1" applyFont="1" applyFill="1" applyBorder="1" applyProtection="1"/>
    <xf numFmtId="0" fontId="16" fillId="19" borderId="18" xfId="0" applyFont="1" applyFill="1" applyBorder="1" applyAlignment="1" applyProtection="1">
      <alignment horizontal="right"/>
    </xf>
    <xf numFmtId="2" fontId="16" fillId="19" borderId="18" xfId="0" applyNumberFormat="1" applyFont="1" applyFill="1" applyBorder="1" applyProtection="1"/>
    <xf numFmtId="1" fontId="47" fillId="19" borderId="18" xfId="0" applyNumberFormat="1" applyFont="1" applyFill="1" applyBorder="1" applyAlignment="1" applyProtection="1">
      <alignment horizontal="right"/>
    </xf>
    <xf numFmtId="2" fontId="11" fillId="19" borderId="18" xfId="0" applyNumberFormat="1" applyFont="1" applyFill="1" applyBorder="1" applyProtection="1"/>
    <xf numFmtId="1" fontId="47" fillId="19" borderId="0" xfId="0" applyNumberFormat="1" applyFont="1" applyFill="1" applyBorder="1" applyProtection="1"/>
    <xf numFmtId="0" fontId="10" fillId="19" borderId="18" xfId="0" quotePrefix="1" applyFont="1" applyFill="1" applyBorder="1" applyAlignment="1" applyProtection="1"/>
    <xf numFmtId="0" fontId="10" fillId="19" borderId="18" xfId="0" applyFont="1" applyFill="1" applyBorder="1" applyAlignment="1" applyProtection="1"/>
    <xf numFmtId="3" fontId="16" fillId="19" borderId="0" xfId="0" applyNumberFormat="1" applyFont="1" applyFill="1" applyBorder="1" applyProtection="1"/>
    <xf numFmtId="0" fontId="10" fillId="19" borderId="0" xfId="0" applyFont="1" applyFill="1" applyBorder="1" applyProtection="1">
      <protection hidden="1"/>
    </xf>
    <xf numFmtId="0" fontId="49" fillId="19" borderId="0" xfId="0" applyFont="1" applyFill="1" applyBorder="1" applyAlignment="1" applyProtection="1">
      <alignment horizontal="right"/>
    </xf>
    <xf numFmtId="0" fontId="12" fillId="19" borderId="0" xfId="0" applyFont="1" applyFill="1" applyBorder="1" applyAlignment="1" applyProtection="1">
      <alignment vertical="center" wrapText="1"/>
    </xf>
    <xf numFmtId="4" fontId="16" fillId="19" borderId="0" xfId="0" applyNumberFormat="1" applyFont="1" applyFill="1" applyBorder="1" applyProtection="1"/>
    <xf numFmtId="0" fontId="11" fillId="19" borderId="0" xfId="0" quotePrefix="1" applyFont="1" applyFill="1" applyBorder="1" applyAlignment="1" applyProtection="1">
      <alignment horizontal="center"/>
    </xf>
    <xf numFmtId="174" fontId="11" fillId="19" borderId="0" xfId="0" applyNumberFormat="1" applyFont="1" applyFill="1" applyBorder="1" applyProtection="1"/>
    <xf numFmtId="1" fontId="50" fillId="19" borderId="0" xfId="0" applyNumberFormat="1" applyFont="1" applyFill="1" applyBorder="1" applyProtection="1"/>
    <xf numFmtId="2" fontId="16" fillId="19" borderId="0" xfId="0" applyNumberFormat="1" applyFont="1" applyFill="1" applyBorder="1" applyAlignment="1" applyProtection="1">
      <alignment horizontal="left"/>
    </xf>
    <xf numFmtId="176" fontId="68" fillId="20" borderId="20" xfId="0" applyNumberFormat="1" applyFont="1" applyFill="1" applyBorder="1" applyProtection="1"/>
    <xf numFmtId="175" fontId="62" fillId="20" borderId="20" xfId="0" applyNumberFormat="1" applyFont="1" applyFill="1" applyBorder="1" applyProtection="1"/>
    <xf numFmtId="174" fontId="62" fillId="20" borderId="20" xfId="0" applyNumberFormat="1" applyFont="1" applyFill="1" applyBorder="1" applyProtection="1"/>
    <xf numFmtId="174" fontId="62" fillId="20" borderId="20" xfId="0" applyNumberFormat="1" applyFont="1" applyFill="1" applyBorder="1" applyAlignment="1" applyProtection="1">
      <alignment vertical="center"/>
    </xf>
    <xf numFmtId="2" fontId="62" fillId="20" borderId="20" xfId="0" applyNumberFormat="1" applyFont="1" applyFill="1" applyBorder="1" applyProtection="1"/>
    <xf numFmtId="4" fontId="62" fillId="20" borderId="20" xfId="0" applyNumberFormat="1" applyFont="1" applyFill="1" applyBorder="1" applyAlignment="1" applyProtection="1">
      <alignment horizontal="right"/>
    </xf>
    <xf numFmtId="4" fontId="62" fillId="20" borderId="20" xfId="0" applyNumberFormat="1" applyFont="1" applyFill="1" applyBorder="1" applyProtection="1"/>
    <xf numFmtId="4" fontId="62" fillId="20" borderId="20" xfId="0" quotePrefix="1" applyNumberFormat="1" applyFont="1" applyFill="1" applyBorder="1" applyProtection="1"/>
    <xf numFmtId="4" fontId="62" fillId="20" borderId="20" xfId="0" applyNumberFormat="1" applyFont="1" applyFill="1" applyBorder="1" applyAlignment="1" applyProtection="1">
      <alignment vertical="center"/>
    </xf>
    <xf numFmtId="0" fontId="11" fillId="0" borderId="0" xfId="0" applyFont="1" applyAlignment="1">
      <alignment horizontal="right"/>
    </xf>
    <xf numFmtId="0" fontId="0" fillId="14" borderId="0" xfId="0" applyFill="1"/>
    <xf numFmtId="202" fontId="62" fillId="20" borderId="20" xfId="1" applyNumberFormat="1" applyFont="1" applyFill="1" applyBorder="1" applyProtection="1"/>
    <xf numFmtId="0" fontId="62" fillId="13" borderId="0" xfId="0" quotePrefix="1" applyFont="1" applyFill="1" applyBorder="1" applyAlignment="1" applyProtection="1">
      <alignment horizontal="right"/>
    </xf>
    <xf numFmtId="0" fontId="101" fillId="13" borderId="0" xfId="0" applyFont="1" applyFill="1" applyBorder="1" applyAlignment="1" applyProtection="1">
      <alignment horizontal="right"/>
    </xf>
    <xf numFmtId="0" fontId="102" fillId="19" borderId="0" xfId="0" applyFont="1" applyFill="1" applyBorder="1" applyAlignment="1" applyProtection="1">
      <alignment horizontal="right"/>
    </xf>
    <xf numFmtId="0" fontId="16" fillId="19" borderId="19" xfId="0" applyFont="1" applyFill="1" applyBorder="1" applyAlignment="1" applyProtection="1">
      <alignment horizontal="right" vertical="center"/>
    </xf>
    <xf numFmtId="0" fontId="16" fillId="19" borderId="0" xfId="0" applyFont="1" applyFill="1" applyBorder="1" applyAlignment="1" applyProtection="1">
      <alignment horizontal="right" vertical="center"/>
    </xf>
    <xf numFmtId="0" fontId="63" fillId="13" borderId="10" xfId="0" quotePrefix="1" applyFont="1" applyFill="1" applyBorder="1" applyAlignment="1" applyProtection="1">
      <alignment horizontal="right"/>
    </xf>
    <xf numFmtId="202" fontId="63" fillId="20" borderId="20" xfId="1" applyNumberFormat="1" applyFont="1" applyFill="1" applyBorder="1" applyProtection="1"/>
    <xf numFmtId="0" fontId="103" fillId="0" borderId="0" xfId="0" applyFont="1" applyProtection="1"/>
    <xf numFmtId="0" fontId="12" fillId="0" borderId="0" xfId="0" applyFont="1" applyProtection="1"/>
    <xf numFmtId="0" fontId="11" fillId="0" borderId="0" xfId="0" applyFont="1"/>
    <xf numFmtId="0" fontId="11" fillId="0" borderId="18" xfId="0" applyFont="1" applyBorder="1"/>
    <xf numFmtId="0" fontId="11" fillId="17" borderId="0" xfId="0" applyFont="1" applyFill="1"/>
    <xf numFmtId="0" fontId="11" fillId="18" borderId="0" xfId="0" applyFont="1" applyFill="1"/>
    <xf numFmtId="0" fontId="11" fillId="16" borderId="0" xfId="0" applyFont="1" applyFill="1"/>
    <xf numFmtId="0" fontId="104" fillId="21" borderId="0" xfId="0" applyFont="1" applyFill="1" applyAlignment="1">
      <alignment horizontal="center"/>
    </xf>
    <xf numFmtId="0" fontId="16" fillId="13" borderId="21" xfId="0" applyFont="1" applyFill="1" applyBorder="1" applyAlignment="1">
      <alignment horizontal="right" vertical="center"/>
    </xf>
    <xf numFmtId="43" fontId="62" fillId="15" borderId="0" xfId="1" applyFont="1" applyFill="1" applyProtection="1"/>
    <xf numFmtId="0" fontId="62" fillId="13" borderId="22" xfId="0" applyFont="1" applyFill="1" applyBorder="1" applyAlignment="1" applyProtection="1">
      <protection hidden="1"/>
    </xf>
    <xf numFmtId="0" fontId="62" fillId="13" borderId="0" xfId="0" applyFont="1" applyFill="1" applyBorder="1" applyAlignment="1" applyProtection="1">
      <protection hidden="1"/>
    </xf>
    <xf numFmtId="0" fontId="62" fillId="13" borderId="0" xfId="0" applyFont="1" applyFill="1" applyBorder="1" applyAlignment="1" applyProtection="1">
      <alignment horizontal="right"/>
      <protection hidden="1"/>
    </xf>
    <xf numFmtId="0" fontId="63" fillId="13" borderId="0" xfId="0" applyFont="1" applyFill="1" applyBorder="1" applyAlignment="1" applyProtection="1">
      <protection hidden="1"/>
    </xf>
    <xf numFmtId="0" fontId="11" fillId="0" borderId="0" xfId="0" applyFont="1" applyAlignment="1" applyProtection="1">
      <alignment horizontal="center" vertical="center"/>
    </xf>
    <xf numFmtId="0" fontId="11" fillId="3" borderId="0" xfId="0" applyFont="1" applyFill="1" applyBorder="1" applyProtection="1"/>
    <xf numFmtId="0" fontId="77" fillId="13" borderId="6" xfId="4" quotePrefix="1" applyFont="1" applyFill="1" applyBorder="1" applyAlignment="1" applyProtection="1">
      <alignment horizontal="center" vertical="center" wrapText="1" shrinkToFit="1"/>
    </xf>
    <xf numFmtId="0" fontId="42" fillId="13" borderId="0" xfId="0" quotePrefix="1" applyFont="1" applyFill="1" applyBorder="1" applyProtection="1"/>
    <xf numFmtId="0" fontId="2" fillId="13" borderId="6" xfId="4" applyFont="1" applyFill="1" applyBorder="1" applyAlignment="1" applyProtection="1">
      <alignment horizontal="center" vertical="center" wrapText="1" shrinkToFit="1"/>
    </xf>
    <xf numFmtId="0" fontId="42" fillId="13" borderId="0" xfId="0" applyFont="1" applyFill="1" applyBorder="1" applyProtection="1"/>
    <xf numFmtId="176" fontId="76" fillId="13" borderId="0" xfId="0" applyNumberFormat="1" applyFont="1" applyFill="1" applyBorder="1" applyAlignment="1" applyProtection="1">
      <alignment wrapText="1"/>
    </xf>
    <xf numFmtId="176" fontId="76" fillId="13" borderId="6" xfId="0" applyNumberFormat="1" applyFont="1" applyFill="1" applyBorder="1" applyAlignment="1" applyProtection="1">
      <alignment horizontal="center" vertical="center"/>
    </xf>
    <xf numFmtId="2" fontId="78" fillId="13" borderId="0" xfId="0" quotePrefix="1" applyNumberFormat="1" applyFont="1" applyFill="1" applyBorder="1" applyProtection="1"/>
    <xf numFmtId="0" fontId="42" fillId="13" borderId="7" xfId="0" applyFont="1" applyFill="1" applyBorder="1" applyProtection="1"/>
    <xf numFmtId="176" fontId="76" fillId="13" borderId="7" xfId="0" applyNumberFormat="1" applyFont="1" applyFill="1" applyBorder="1" applyAlignment="1" applyProtection="1">
      <alignment wrapText="1"/>
    </xf>
    <xf numFmtId="176" fontId="76" fillId="13" borderId="0" xfId="0" quotePrefix="1" applyNumberFormat="1" applyFont="1" applyFill="1" applyBorder="1" applyAlignment="1" applyProtection="1">
      <alignment horizontal="center"/>
    </xf>
    <xf numFmtId="176" fontId="79" fillId="13" borderId="7" xfId="0" applyNumberFormat="1" applyFont="1" applyFill="1" applyBorder="1" applyAlignment="1" applyProtection="1">
      <alignment wrapText="1"/>
    </xf>
    <xf numFmtId="2" fontId="78" fillId="13" borderId="6" xfId="0" quotePrefix="1" applyNumberFormat="1" applyFont="1" applyFill="1" applyBorder="1" applyAlignment="1" applyProtection="1">
      <alignment horizontal="center"/>
    </xf>
    <xf numFmtId="176" fontId="79" fillId="13" borderId="6" xfId="0" applyNumberFormat="1" applyFont="1" applyFill="1" applyBorder="1" applyAlignment="1" applyProtection="1">
      <alignment horizontal="center" vertical="center"/>
    </xf>
    <xf numFmtId="0" fontId="42" fillId="13" borderId="18" xfId="0" applyFont="1" applyFill="1" applyBorder="1" applyProtection="1"/>
    <xf numFmtId="176" fontId="79" fillId="13" borderId="0" xfId="0" applyNumberFormat="1" applyFont="1" applyFill="1" applyBorder="1" applyAlignment="1" applyProtection="1">
      <alignment wrapText="1"/>
    </xf>
    <xf numFmtId="0" fontId="42" fillId="13" borderId="8" xfId="0" applyFont="1" applyFill="1" applyBorder="1" applyProtection="1"/>
    <xf numFmtId="176" fontId="76" fillId="13" borderId="0" xfId="0" quotePrefix="1" applyNumberFormat="1" applyFont="1" applyFill="1" applyBorder="1" applyAlignment="1" applyProtection="1">
      <alignment horizontal="center" vertical="center"/>
    </xf>
    <xf numFmtId="0" fontId="42" fillId="13" borderId="6" xfId="0" applyFont="1" applyFill="1" applyBorder="1" applyProtection="1"/>
    <xf numFmtId="176" fontId="79" fillId="13" borderId="7" xfId="4" applyNumberFormat="1" applyFont="1" applyFill="1" applyBorder="1" applyAlignment="1" applyProtection="1">
      <alignment horizontal="right" vertical="center" wrapText="1" shrinkToFit="1"/>
    </xf>
    <xf numFmtId="176" fontId="79" fillId="13" borderId="0" xfId="0" applyNumberFormat="1" applyFont="1" applyFill="1" applyBorder="1" applyAlignment="1" applyProtection="1">
      <alignment horizontal="center" vertical="center"/>
    </xf>
    <xf numFmtId="0" fontId="79" fillId="13" borderId="0" xfId="0" applyFont="1" applyFill="1" applyBorder="1" applyAlignment="1" applyProtection="1">
      <alignment wrapText="1"/>
    </xf>
    <xf numFmtId="0" fontId="79" fillId="13" borderId="7" xfId="0" applyFont="1" applyFill="1" applyBorder="1" applyAlignment="1" applyProtection="1">
      <alignment wrapText="1"/>
    </xf>
    <xf numFmtId="0" fontId="11" fillId="13" borderId="0" xfId="0" applyFont="1" applyFill="1" applyBorder="1" applyProtection="1"/>
    <xf numFmtId="0" fontId="11" fillId="13" borderId="23" xfId="0" applyFont="1" applyFill="1" applyBorder="1" applyProtection="1"/>
    <xf numFmtId="0" fontId="11" fillId="13" borderId="23" xfId="0" applyFont="1" applyFill="1" applyBorder="1" applyAlignment="1" applyProtection="1">
      <alignment wrapText="1"/>
    </xf>
    <xf numFmtId="0" fontId="42" fillId="13" borderId="0" xfId="0" applyFont="1" applyFill="1" applyBorder="1" applyAlignment="1" applyProtection="1">
      <alignment horizontal="right"/>
    </xf>
    <xf numFmtId="0" fontId="11" fillId="13" borderId="0" xfId="0" applyFont="1" applyFill="1" applyBorder="1" applyAlignment="1" applyProtection="1">
      <alignment horizontal="right"/>
    </xf>
    <xf numFmtId="1" fontId="11" fillId="13" borderId="0" xfId="0" applyNumberFormat="1" applyFont="1" applyFill="1" applyBorder="1" applyAlignment="1" applyProtection="1">
      <alignment horizontal="left"/>
    </xf>
    <xf numFmtId="0" fontId="11" fillId="13" borderId="0" xfId="0" applyFont="1" applyFill="1" applyBorder="1" applyAlignment="1" applyProtection="1">
      <alignment horizontal="left" vertical="top"/>
    </xf>
    <xf numFmtId="0" fontId="11" fillId="13" borderId="0" xfId="0" applyFont="1" applyFill="1" applyBorder="1" applyAlignment="1" applyProtection="1">
      <alignment vertical="center"/>
    </xf>
    <xf numFmtId="0" fontId="11" fillId="13" borderId="0" xfId="0" applyFont="1" applyFill="1" applyBorder="1" applyAlignment="1" applyProtection="1">
      <alignment horizontal="left" vertical="center"/>
    </xf>
    <xf numFmtId="0" fontId="11" fillId="13" borderId="0" xfId="0" applyFont="1" applyFill="1" applyBorder="1" applyAlignment="1" applyProtection="1">
      <alignment horizontal="right" vertical="center"/>
    </xf>
    <xf numFmtId="0" fontId="2" fillId="13" borderId="0" xfId="4" applyFont="1" applyFill="1" applyBorder="1" applyAlignment="1" applyProtection="1">
      <alignment vertical="center"/>
    </xf>
    <xf numFmtId="0" fontId="11" fillId="13" borderId="24" xfId="0" applyFont="1" applyFill="1" applyBorder="1" applyProtection="1"/>
    <xf numFmtId="0" fontId="11" fillId="13" borderId="25" xfId="0" applyFont="1" applyFill="1" applyBorder="1" applyProtection="1"/>
    <xf numFmtId="0" fontId="11" fillId="13" borderId="26" xfId="0" applyFont="1" applyFill="1" applyBorder="1" applyProtection="1"/>
    <xf numFmtId="0" fontId="11" fillId="22" borderId="0" xfId="0" applyFont="1" applyFill="1" applyBorder="1" applyProtection="1"/>
    <xf numFmtId="0" fontId="11" fillId="22" borderId="0" xfId="0" applyFont="1" applyFill="1" applyProtection="1"/>
    <xf numFmtId="0" fontId="73" fillId="22" borderId="0" xfId="0" applyFont="1" applyFill="1" applyProtection="1"/>
    <xf numFmtId="0" fontId="11" fillId="22" borderId="0" xfId="0" applyFont="1" applyFill="1" applyAlignment="1" applyProtection="1">
      <alignment horizontal="center" vertical="center"/>
    </xf>
    <xf numFmtId="0" fontId="11" fillId="20" borderId="20" xfId="0" applyFont="1" applyFill="1" applyBorder="1" applyProtection="1"/>
    <xf numFmtId="0" fontId="11" fillId="16" borderId="20" xfId="0" applyFont="1" applyFill="1" applyBorder="1" applyProtection="1"/>
    <xf numFmtId="0" fontId="11" fillId="21" borderId="108" xfId="0" applyFont="1" applyFill="1" applyBorder="1" applyProtection="1"/>
    <xf numFmtId="0" fontId="10" fillId="13" borderId="0" xfId="0" applyFont="1" applyFill="1" applyBorder="1" applyProtection="1"/>
    <xf numFmtId="0" fontId="11" fillId="13" borderId="0" xfId="0" applyFont="1" applyFill="1" applyBorder="1" applyAlignment="1" applyProtection="1">
      <alignment wrapText="1"/>
    </xf>
    <xf numFmtId="0" fontId="49" fillId="13" borderId="0" xfId="0" applyFont="1" applyFill="1" applyBorder="1" applyAlignment="1" applyProtection="1">
      <alignment wrapText="1"/>
    </xf>
    <xf numFmtId="0" fontId="11" fillId="13" borderId="0" xfId="0" applyFont="1" applyFill="1" applyBorder="1" applyAlignment="1" applyProtection="1">
      <alignment horizontal="left" vertical="center" wrapText="1"/>
    </xf>
    <xf numFmtId="10" fontId="11" fillId="16" borderId="20" xfId="0" applyNumberFormat="1" applyFont="1" applyFill="1" applyBorder="1" applyProtection="1"/>
    <xf numFmtId="0" fontId="81" fillId="13" borderId="0" xfId="4" applyFont="1" applyFill="1" applyBorder="1" applyAlignment="1" applyProtection="1"/>
    <xf numFmtId="0" fontId="11" fillId="13" borderId="0" xfId="0" applyFont="1" applyFill="1" applyBorder="1" applyAlignment="1" applyProtection="1">
      <alignment horizontal="right" wrapText="1"/>
    </xf>
    <xf numFmtId="0" fontId="7" fillId="13" borderId="27" xfId="0" applyFont="1" applyFill="1" applyBorder="1" applyProtection="1"/>
    <xf numFmtId="0" fontId="7" fillId="13" borderId="0" xfId="0" applyFont="1" applyFill="1" applyBorder="1" applyProtection="1"/>
    <xf numFmtId="0" fontId="6" fillId="13" borderId="0" xfId="0" applyFont="1" applyFill="1" applyBorder="1" applyProtection="1"/>
    <xf numFmtId="0" fontId="15" fillId="13" borderId="0" xfId="0" applyFont="1" applyFill="1" applyBorder="1" applyProtection="1"/>
    <xf numFmtId="0" fontId="6" fillId="13" borderId="23" xfId="0" applyFont="1" applyFill="1" applyBorder="1" applyProtection="1"/>
    <xf numFmtId="0" fontId="7" fillId="13" borderId="28" xfId="0" applyFont="1" applyFill="1" applyBorder="1" applyProtection="1"/>
    <xf numFmtId="0" fontId="7" fillId="13" borderId="24" xfId="0" applyFont="1" applyFill="1" applyBorder="1" applyProtection="1"/>
    <xf numFmtId="0" fontId="6" fillId="13" borderId="24" xfId="0" applyFont="1" applyFill="1" applyBorder="1" applyProtection="1"/>
    <xf numFmtId="0" fontId="15" fillId="13" borderId="24" xfId="0" applyFont="1" applyFill="1" applyBorder="1" applyProtection="1"/>
    <xf numFmtId="0" fontId="6" fillId="13" borderId="25" xfId="0" applyFont="1" applyFill="1" applyBorder="1" applyProtection="1"/>
    <xf numFmtId="0" fontId="9" fillId="13" borderId="27" xfId="0" applyFont="1" applyFill="1" applyBorder="1"/>
    <xf numFmtId="0" fontId="5" fillId="13" borderId="0" xfId="0" applyFont="1" applyFill="1" applyBorder="1"/>
    <xf numFmtId="0" fontId="13" fillId="13" borderId="23" xfId="0" applyFont="1" applyFill="1" applyBorder="1"/>
    <xf numFmtId="0" fontId="5" fillId="13" borderId="27" xfId="0" applyFont="1" applyFill="1" applyBorder="1"/>
    <xf numFmtId="0" fontId="9" fillId="13" borderId="0" xfId="0" applyFont="1" applyFill="1"/>
    <xf numFmtId="0" fontId="9" fillId="13" borderId="28" xfId="0" applyFont="1" applyFill="1" applyBorder="1"/>
    <xf numFmtId="0" fontId="30" fillId="13" borderId="29" xfId="0" applyFont="1" applyFill="1" applyBorder="1" applyAlignment="1">
      <alignment horizontal="center" wrapText="1"/>
    </xf>
    <xf numFmtId="0" fontId="5" fillId="13" borderId="23" xfId="0" applyFont="1" applyFill="1" applyBorder="1"/>
    <xf numFmtId="0" fontId="13" fillId="13" borderId="0" xfId="0" applyFont="1" applyFill="1"/>
    <xf numFmtId="0" fontId="13" fillId="13" borderId="25" xfId="0" applyFont="1" applyFill="1" applyBorder="1"/>
    <xf numFmtId="0" fontId="5" fillId="13" borderId="0" xfId="0" applyFont="1" applyFill="1" applyBorder="1" applyAlignment="1">
      <alignment horizontal="left"/>
    </xf>
    <xf numFmtId="0" fontId="5" fillId="13" borderId="0" xfId="0" applyFont="1" applyFill="1"/>
    <xf numFmtId="0" fontId="5" fillId="13" borderId="24" xfId="0" applyFont="1" applyFill="1" applyBorder="1"/>
    <xf numFmtId="0" fontId="31" fillId="13" borderId="0" xfId="0" applyFont="1" applyFill="1" applyBorder="1" applyAlignment="1">
      <alignment horizontal="center"/>
    </xf>
    <xf numFmtId="0" fontId="16" fillId="13" borderId="1" xfId="0" applyFont="1" applyFill="1" applyBorder="1" applyAlignment="1">
      <alignment horizontal="center" vertical="center"/>
    </xf>
    <xf numFmtId="0" fontId="16" fillId="3" borderId="30" xfId="0" applyFont="1" applyFill="1" applyBorder="1" applyAlignment="1">
      <alignment horizontal="center" vertical="center"/>
    </xf>
    <xf numFmtId="0" fontId="16" fillId="3" borderId="31" xfId="0" applyFont="1" applyFill="1" applyBorder="1" applyAlignment="1">
      <alignment horizontal="center" vertical="center"/>
    </xf>
    <xf numFmtId="0" fontId="16" fillId="3" borderId="32" xfId="0" applyFont="1" applyFill="1" applyBorder="1" applyAlignment="1">
      <alignment horizontal="center" vertical="center"/>
    </xf>
    <xf numFmtId="0" fontId="16" fillId="3" borderId="33" xfId="0" applyFont="1" applyFill="1" applyBorder="1" applyAlignment="1">
      <alignment horizontal="center" vertical="center"/>
    </xf>
    <xf numFmtId="0" fontId="11" fillId="13" borderId="0" xfId="0" applyFont="1" applyFill="1" applyBorder="1" applyAlignment="1"/>
    <xf numFmtId="0" fontId="11" fillId="13" borderId="0" xfId="0" applyFont="1" applyFill="1" applyBorder="1" applyAlignment="1">
      <alignment horizontal="left"/>
    </xf>
    <xf numFmtId="0" fontId="11" fillId="13" borderId="0" xfId="0" applyFont="1" applyFill="1" applyBorder="1"/>
    <xf numFmtId="0" fontId="11" fillId="13" borderId="27" xfId="0" applyFont="1" applyFill="1" applyBorder="1"/>
    <xf numFmtId="0" fontId="11" fillId="13" borderId="23" xfId="0" applyFont="1" applyFill="1" applyBorder="1" applyAlignment="1"/>
    <xf numFmtId="0" fontId="11" fillId="2" borderId="0" xfId="0" applyFont="1" applyFill="1"/>
    <xf numFmtId="0" fontId="43" fillId="13" borderId="0" xfId="0" applyFont="1" applyFill="1" applyBorder="1" applyAlignment="1">
      <alignment horizontal="left" wrapText="1"/>
    </xf>
    <xf numFmtId="0" fontId="11" fillId="13" borderId="23" xfId="0" applyFont="1" applyFill="1" applyBorder="1"/>
    <xf numFmtId="0" fontId="11" fillId="21" borderId="32" xfId="0" applyFont="1" applyFill="1" applyBorder="1"/>
    <xf numFmtId="0" fontId="11" fillId="21" borderId="34" xfId="0" applyFont="1" applyFill="1" applyBorder="1"/>
    <xf numFmtId="0" fontId="11" fillId="21" borderId="0" xfId="0" applyFont="1" applyFill="1" applyBorder="1"/>
    <xf numFmtId="0" fontId="11" fillId="21" borderId="35" xfId="0" applyFont="1" applyFill="1" applyBorder="1"/>
    <xf numFmtId="0" fontId="85" fillId="21" borderId="34" xfId="0" applyFont="1" applyFill="1" applyBorder="1"/>
    <xf numFmtId="0" fontId="86" fillId="21" borderId="34" xfId="0" applyFont="1" applyFill="1" applyBorder="1"/>
    <xf numFmtId="0" fontId="85" fillId="21" borderId="32" xfId="0" applyFont="1" applyFill="1" applyBorder="1"/>
    <xf numFmtId="0" fontId="85" fillId="21" borderId="0" xfId="0" applyFont="1" applyFill="1" applyBorder="1"/>
    <xf numFmtId="0" fontId="86" fillId="21" borderId="0" xfId="0" applyFont="1" applyFill="1" applyBorder="1"/>
    <xf numFmtId="17" fontId="86" fillId="21" borderId="33" xfId="0" applyNumberFormat="1" applyFont="1" applyFill="1" applyBorder="1"/>
    <xf numFmtId="0" fontId="85" fillId="21" borderId="35" xfId="0" applyFont="1" applyFill="1" applyBorder="1"/>
    <xf numFmtId="0" fontId="86" fillId="21" borderId="35" xfId="0" applyFont="1" applyFill="1" applyBorder="1"/>
    <xf numFmtId="0" fontId="86" fillId="21" borderId="33" xfId="0" applyFont="1" applyFill="1" applyBorder="1"/>
    <xf numFmtId="0" fontId="11" fillId="21" borderId="36" xfId="0" applyFont="1" applyFill="1" applyBorder="1"/>
    <xf numFmtId="0" fontId="11" fillId="21" borderId="37" xfId="0" applyFont="1" applyFill="1" applyBorder="1"/>
    <xf numFmtId="0" fontId="11" fillId="21" borderId="38" xfId="0" applyFont="1" applyFill="1" applyBorder="1"/>
    <xf numFmtId="0" fontId="89" fillId="21" borderId="30" xfId="0" applyFont="1" applyFill="1" applyBorder="1" applyAlignment="1">
      <alignment vertical="top"/>
    </xf>
    <xf numFmtId="0" fontId="89" fillId="21" borderId="30" xfId="0" applyFont="1" applyFill="1" applyBorder="1"/>
    <xf numFmtId="0" fontId="88" fillId="21" borderId="34" xfId="0" applyFont="1" applyFill="1" applyBorder="1"/>
    <xf numFmtId="0" fontId="88" fillId="21" borderId="0" xfId="0" applyFont="1" applyFill="1" applyBorder="1"/>
    <xf numFmtId="0" fontId="88" fillId="21" borderId="35" xfId="0" applyFont="1" applyFill="1" applyBorder="1"/>
    <xf numFmtId="1" fontId="16" fillId="7" borderId="10" xfId="0" applyNumberFormat="1" applyFont="1" applyFill="1" applyBorder="1" applyAlignment="1">
      <alignment horizontal="center"/>
    </xf>
    <xf numFmtId="1" fontId="12" fillId="3" borderId="108" xfId="0" applyNumberFormat="1" applyFont="1" applyFill="1" applyBorder="1" applyAlignment="1" applyProtection="1">
      <alignment horizontal="center"/>
      <protection locked="0"/>
    </xf>
    <xf numFmtId="0" fontId="11" fillId="3" borderId="19" xfId="0" applyFont="1" applyFill="1" applyBorder="1" applyProtection="1"/>
    <xf numFmtId="0" fontId="11" fillId="3" borderId="26" xfId="0" applyFont="1" applyFill="1" applyBorder="1" applyProtection="1"/>
    <xf numFmtId="172" fontId="11" fillId="19" borderId="26" xfId="0" applyNumberFormat="1" applyFont="1" applyFill="1" applyBorder="1" applyProtection="1"/>
    <xf numFmtId="10" fontId="11" fillId="16" borderId="108" xfId="0" applyNumberFormat="1" applyFont="1" applyFill="1" applyBorder="1" applyAlignment="1" applyProtection="1">
      <alignment horizontal="right" shrinkToFit="1"/>
    </xf>
    <xf numFmtId="176" fontId="11" fillId="3" borderId="108" xfId="0" applyNumberFormat="1" applyFont="1" applyFill="1" applyBorder="1" applyProtection="1">
      <protection locked="0"/>
    </xf>
    <xf numFmtId="176" fontId="11" fillId="20" borderId="108" xfId="0" applyNumberFormat="1" applyFont="1" applyFill="1" applyBorder="1" applyProtection="1"/>
    <xf numFmtId="1" fontId="11" fillId="3" borderId="19" xfId="0" applyNumberFormat="1" applyFont="1" applyFill="1" applyBorder="1" applyProtection="1"/>
    <xf numFmtId="176" fontId="68" fillId="20" borderId="108" xfId="0" applyNumberFormat="1" applyFont="1" applyFill="1" applyBorder="1" applyProtection="1"/>
    <xf numFmtId="176" fontId="11" fillId="20" borderId="109" xfId="0" applyNumberFormat="1" applyFont="1" applyFill="1" applyBorder="1" applyProtection="1"/>
    <xf numFmtId="10" fontId="11" fillId="3" borderId="109" xfId="0" applyNumberFormat="1" applyFont="1" applyFill="1" applyBorder="1" applyAlignment="1" applyProtection="1">
      <alignment horizontal="right" shrinkToFit="1"/>
      <protection locked="0"/>
    </xf>
    <xf numFmtId="176" fontId="11" fillId="20" borderId="108" xfId="0" applyNumberFormat="1" applyFont="1" applyFill="1" applyBorder="1" applyAlignment="1" applyProtection="1">
      <alignment horizontal="right"/>
    </xf>
    <xf numFmtId="173" fontId="11" fillId="3" borderId="108" xfId="0" applyNumberFormat="1" applyFont="1" applyFill="1" applyBorder="1" applyProtection="1">
      <protection locked="0"/>
    </xf>
    <xf numFmtId="3" fontId="11" fillId="3" borderId="108" xfId="0" applyNumberFormat="1" applyFont="1" applyFill="1" applyBorder="1" applyProtection="1">
      <protection locked="0"/>
    </xf>
    <xf numFmtId="1" fontId="11" fillId="20" borderId="108" xfId="0" applyNumberFormat="1" applyFont="1" applyFill="1" applyBorder="1" applyProtection="1"/>
    <xf numFmtId="173" fontId="11" fillId="3" borderId="108" xfId="0" applyNumberFormat="1" applyFont="1" applyFill="1" applyBorder="1" applyAlignment="1" applyProtection="1">
      <alignment horizontal="right"/>
      <protection locked="0"/>
    </xf>
    <xf numFmtId="174" fontId="11" fillId="3" borderId="108" xfId="0" applyNumberFormat="1" applyFont="1" applyFill="1" applyBorder="1" applyProtection="1">
      <protection locked="0"/>
    </xf>
    <xf numFmtId="177" fontId="11" fillId="3" borderId="108" xfId="0" applyNumberFormat="1" applyFont="1" applyFill="1" applyBorder="1" applyProtection="1">
      <protection locked="0"/>
    </xf>
    <xf numFmtId="0" fontId="11" fillId="0" borderId="0" xfId="0" applyFont="1" applyFill="1" applyProtection="1"/>
    <xf numFmtId="0" fontId="11" fillId="14" borderId="0" xfId="0" applyFont="1" applyFill="1"/>
    <xf numFmtId="0" fontId="16" fillId="0" borderId="0" xfId="0" applyFont="1" applyFill="1" applyAlignment="1">
      <alignment horizontal="left"/>
    </xf>
    <xf numFmtId="0" fontId="53" fillId="22" borderId="0" xfId="0" applyFont="1" applyFill="1" applyAlignment="1" applyProtection="1">
      <alignment vertical="center"/>
    </xf>
    <xf numFmtId="0" fontId="53" fillId="22" borderId="0" xfId="0" applyFont="1" applyFill="1" applyAlignment="1" applyProtection="1">
      <alignment horizontal="center"/>
    </xf>
    <xf numFmtId="0" fontId="53" fillId="22" borderId="0" xfId="0" applyFont="1" applyFill="1" applyProtection="1"/>
    <xf numFmtId="0" fontId="53" fillId="22" borderId="0" xfId="0" applyFont="1" applyFill="1" applyBorder="1" applyProtection="1"/>
    <xf numFmtId="1" fontId="11" fillId="22" borderId="0" xfId="0" applyNumberFormat="1" applyFont="1" applyFill="1" applyProtection="1"/>
    <xf numFmtId="0" fontId="11" fillId="0" borderId="0" xfId="0" applyFont="1" applyBorder="1" applyAlignment="1" applyProtection="1">
      <alignment wrapText="1"/>
    </xf>
    <xf numFmtId="0" fontId="11" fillId="0" borderId="0" xfId="0" applyFont="1" applyBorder="1" applyAlignment="1" applyProtection="1"/>
    <xf numFmtId="1" fontId="53" fillId="22" borderId="0" xfId="0" applyNumberFormat="1" applyFont="1" applyFill="1" applyBorder="1" applyProtection="1"/>
    <xf numFmtId="0" fontId="11" fillId="0" borderId="0" xfId="0" applyFont="1" applyProtection="1">
      <protection hidden="1"/>
    </xf>
    <xf numFmtId="0" fontId="11" fillId="0" borderId="30" xfId="0" applyFont="1" applyBorder="1" applyProtection="1">
      <protection locked="0"/>
    </xf>
    <xf numFmtId="0" fontId="11" fillId="0" borderId="32" xfId="0" applyFont="1" applyBorder="1" applyProtection="1">
      <protection locked="0"/>
    </xf>
    <xf numFmtId="0" fontId="11" fillId="0" borderId="33" xfId="0" applyNumberFormat="1" applyFont="1" applyBorder="1" applyProtection="1">
      <protection locked="0"/>
    </xf>
    <xf numFmtId="4" fontId="11" fillId="0" borderId="0" xfId="1" applyNumberFormat="1" applyFont="1" applyBorder="1" applyProtection="1">
      <protection locked="0"/>
    </xf>
    <xf numFmtId="43" fontId="103" fillId="0" borderId="0" xfId="0" applyNumberFormat="1" applyFont="1" applyBorder="1" applyProtection="1">
      <protection locked="0"/>
    </xf>
    <xf numFmtId="0" fontId="11" fillId="0" borderId="0" xfId="0" applyFont="1" applyBorder="1" applyProtection="1">
      <protection locked="0"/>
    </xf>
    <xf numFmtId="0" fontId="103" fillId="0" borderId="0" xfId="0" applyFont="1" applyBorder="1" applyProtection="1">
      <protection locked="0"/>
    </xf>
    <xf numFmtId="0" fontId="11" fillId="0" borderId="0" xfId="0" applyFont="1" applyProtection="1">
      <protection locked="0"/>
    </xf>
    <xf numFmtId="10" fontId="11" fillId="21" borderId="108" xfId="0" applyNumberFormat="1" applyFont="1" applyFill="1" applyBorder="1" applyAlignment="1" applyProtection="1">
      <alignment horizontal="right" shrinkToFit="1"/>
      <protection locked="0"/>
    </xf>
    <xf numFmtId="0" fontId="105" fillId="14" borderId="0" xfId="0" applyFont="1" applyFill="1" applyProtection="1">
      <protection locked="0"/>
    </xf>
    <xf numFmtId="0" fontId="73" fillId="3" borderId="0" xfId="0" applyFont="1" applyFill="1"/>
    <xf numFmtId="0" fontId="73" fillId="0" borderId="0" xfId="0" applyFont="1" applyFill="1"/>
    <xf numFmtId="0" fontId="11" fillId="0" borderId="0" xfId="0" applyFont="1" applyAlignment="1"/>
    <xf numFmtId="0" fontId="11" fillId="0" borderId="0" xfId="0" applyFont="1" applyAlignment="1">
      <alignment vertical="center"/>
    </xf>
    <xf numFmtId="0" fontId="16" fillId="0" borderId="0" xfId="0" applyFont="1" applyFill="1" applyAlignment="1">
      <alignment wrapText="1"/>
    </xf>
    <xf numFmtId="0" fontId="16" fillId="0" borderId="0" xfId="0" applyFont="1" applyAlignment="1">
      <alignment wrapText="1"/>
    </xf>
    <xf numFmtId="0" fontId="16" fillId="13" borderId="39" xfId="0" applyFont="1" applyFill="1" applyBorder="1" applyAlignment="1">
      <alignment horizontal="left" vertical="center" wrapText="1"/>
    </xf>
    <xf numFmtId="0" fontId="68" fillId="13" borderId="39" xfId="0" applyFont="1" applyFill="1" applyBorder="1" applyAlignment="1">
      <alignment horizontal="center" wrapText="1"/>
    </xf>
    <xf numFmtId="0" fontId="62" fillId="14" borderId="0" xfId="0" applyFont="1" applyFill="1" applyProtection="1">
      <protection locked="0"/>
    </xf>
    <xf numFmtId="0" fontId="62" fillId="14" borderId="0" xfId="0" applyFont="1" applyFill="1" applyProtection="1"/>
    <xf numFmtId="0" fontId="62" fillId="15" borderId="0" xfId="0" quotePrefix="1" applyFont="1" applyFill="1" applyProtection="1"/>
    <xf numFmtId="2" fontId="12" fillId="19" borderId="110" xfId="0" applyNumberFormat="1" applyFont="1" applyFill="1" applyBorder="1" applyAlignment="1" applyProtection="1">
      <alignment vertical="center" wrapText="1"/>
    </xf>
    <xf numFmtId="2" fontId="12" fillId="19" borderId="0" xfId="0" applyNumberFormat="1" applyFont="1" applyFill="1" applyBorder="1" applyAlignment="1" applyProtection="1">
      <alignment vertical="center" wrapText="1"/>
    </xf>
    <xf numFmtId="0" fontId="16" fillId="13" borderId="1" xfId="0" applyFont="1" applyFill="1" applyBorder="1" applyAlignment="1">
      <alignment horizontal="center" vertical="center" wrapText="1"/>
    </xf>
    <xf numFmtId="0" fontId="16" fillId="13" borderId="39" xfId="0" applyFont="1" applyFill="1" applyBorder="1" applyAlignment="1">
      <alignment horizontal="center" vertical="center" wrapText="1"/>
    </xf>
    <xf numFmtId="0" fontId="16" fillId="13" borderId="39" xfId="0" applyFont="1" applyFill="1" applyBorder="1" applyAlignment="1">
      <alignment horizontal="center" vertical="top" wrapText="1"/>
    </xf>
    <xf numFmtId="0" fontId="16" fillId="13" borderId="1" xfId="0" applyFont="1" applyFill="1" applyBorder="1" applyAlignment="1">
      <alignment horizontal="center" vertical="top" wrapText="1"/>
    </xf>
    <xf numFmtId="0" fontId="73" fillId="0" borderId="0" xfId="0" applyFont="1" applyFill="1" applyProtection="1"/>
    <xf numFmtId="0" fontId="11" fillId="0" borderId="14" xfId="0" applyFont="1" applyBorder="1" applyAlignment="1" applyProtection="1">
      <alignment horizontal="center" vertical="center"/>
    </xf>
    <xf numFmtId="0" fontId="11" fillId="0" borderId="0" xfId="0" applyFont="1" applyFill="1" applyAlignment="1" applyProtection="1">
      <alignment wrapText="1"/>
    </xf>
    <xf numFmtId="0" fontId="11" fillId="0" borderId="32" xfId="0" applyFont="1" applyBorder="1" applyAlignment="1">
      <alignment vertical="center"/>
    </xf>
    <xf numFmtId="0" fontId="11" fillId="0" borderId="0" xfId="0" applyFont="1" applyBorder="1" applyAlignment="1" applyProtection="1">
      <alignment horizontal="center" vertical="center"/>
      <protection hidden="1"/>
    </xf>
    <xf numFmtId="0" fontId="11" fillId="3" borderId="0" xfId="0" applyFont="1" applyFill="1" applyBorder="1" applyAlignment="1">
      <alignment horizontal="left" vertical="center" wrapText="1"/>
    </xf>
    <xf numFmtId="0" fontId="11" fillId="3" borderId="37" xfId="0" applyFont="1" applyFill="1" applyBorder="1" applyAlignment="1">
      <alignment horizontal="left" vertical="center" wrapText="1"/>
    </xf>
    <xf numFmtId="0" fontId="11" fillId="0" borderId="40" xfId="0" applyFont="1" applyBorder="1" applyAlignment="1">
      <alignment vertical="center"/>
    </xf>
    <xf numFmtId="0" fontId="11" fillId="3" borderId="0" xfId="0" applyFont="1" applyFill="1" applyBorder="1" applyAlignment="1">
      <alignment horizontal="left" vertical="center"/>
    </xf>
    <xf numFmtId="0" fontId="11" fillId="0" borderId="33" xfId="0" applyFont="1" applyBorder="1" applyAlignment="1">
      <alignment vertical="center"/>
    </xf>
    <xf numFmtId="0" fontId="11" fillId="3" borderId="35" xfId="0" applyFont="1" applyFill="1" applyBorder="1" applyAlignment="1">
      <alignment horizontal="left" vertical="center"/>
    </xf>
    <xf numFmtId="0" fontId="11" fillId="21" borderId="35" xfId="0" applyFont="1" applyFill="1" applyBorder="1" applyAlignment="1">
      <alignment vertical="center"/>
    </xf>
    <xf numFmtId="0" fontId="11" fillId="3" borderId="35" xfId="0" applyFont="1" applyFill="1" applyBorder="1" applyAlignment="1">
      <alignment horizontal="left" vertical="center" wrapText="1"/>
    </xf>
    <xf numFmtId="0" fontId="11" fillId="3" borderId="38" xfId="0" applyFont="1" applyFill="1" applyBorder="1" applyAlignment="1">
      <alignment horizontal="left" vertical="center" wrapText="1"/>
    </xf>
    <xf numFmtId="0" fontId="12" fillId="0" borderId="41" xfId="6" applyFont="1" applyFill="1" applyBorder="1" applyAlignment="1" applyProtection="1">
      <alignment horizontal="center" vertical="center" wrapText="1"/>
    </xf>
    <xf numFmtId="0" fontId="12" fillId="0" borderId="42" xfId="6" applyFont="1" applyBorder="1" applyAlignment="1" applyProtection="1">
      <alignment horizontal="center" vertical="center" wrapText="1"/>
    </xf>
    <xf numFmtId="0" fontId="12" fillId="0" borderId="43" xfId="6" applyFont="1" applyBorder="1" applyAlignment="1" applyProtection="1">
      <alignment horizontal="center" vertical="center" wrapText="1"/>
    </xf>
    <xf numFmtId="0" fontId="12" fillId="0" borderId="44" xfId="6" applyFont="1" applyBorder="1" applyAlignment="1" applyProtection="1">
      <alignment horizontal="center" vertical="center" wrapText="1"/>
    </xf>
    <xf numFmtId="0" fontId="12" fillId="0" borderId="41" xfId="6" applyFont="1" applyBorder="1" applyAlignment="1" applyProtection="1">
      <alignment horizontal="center" vertical="center" wrapText="1"/>
    </xf>
    <xf numFmtId="0" fontId="12" fillId="10" borderId="42" xfId="6" applyFont="1" applyFill="1" applyBorder="1" applyAlignment="1" applyProtection="1">
      <alignment horizontal="center" vertical="center" wrapText="1"/>
    </xf>
    <xf numFmtId="0" fontId="29" fillId="11" borderId="41" xfId="6" applyFont="1" applyFill="1" applyBorder="1" applyAlignment="1" applyProtection="1">
      <alignment horizontal="center" vertical="center" wrapText="1"/>
    </xf>
    <xf numFmtId="0" fontId="12" fillId="11" borderId="41" xfId="6" applyFont="1" applyFill="1" applyBorder="1" applyAlignment="1" applyProtection="1">
      <alignment horizontal="center" vertical="center" wrapText="1"/>
    </xf>
    <xf numFmtId="0" fontId="12" fillId="3" borderId="41" xfId="6" applyFont="1" applyFill="1" applyBorder="1" applyAlignment="1" applyProtection="1">
      <alignment horizontal="center" vertical="center" wrapText="1"/>
    </xf>
    <xf numFmtId="0" fontId="12" fillId="22" borderId="45" xfId="6" applyFont="1" applyFill="1" applyBorder="1" applyAlignment="1" applyProtection="1">
      <alignment horizontal="center" vertical="center" wrapText="1"/>
    </xf>
    <xf numFmtId="0" fontId="12" fillId="23" borderId="42" xfId="6" applyFont="1" applyFill="1" applyBorder="1" applyAlignment="1" applyProtection="1">
      <alignment horizontal="center" vertical="center" wrapText="1"/>
    </xf>
    <xf numFmtId="0" fontId="92" fillId="22" borderId="42" xfId="6" applyFont="1" applyFill="1" applyBorder="1" applyAlignment="1" applyProtection="1">
      <alignment horizontal="center" vertical="center" wrapText="1"/>
    </xf>
    <xf numFmtId="0" fontId="92" fillId="22" borderId="41" xfId="6" applyFont="1" applyFill="1" applyBorder="1" applyAlignment="1" applyProtection="1">
      <alignment horizontal="center" vertical="center" wrapText="1"/>
    </xf>
    <xf numFmtId="0" fontId="12" fillId="22" borderId="42" xfId="6" applyFont="1" applyFill="1" applyBorder="1" applyAlignment="1" applyProtection="1">
      <alignment horizontal="center" vertical="center" wrapText="1"/>
    </xf>
    <xf numFmtId="0" fontId="29" fillId="23" borderId="41" xfId="6" applyFont="1" applyFill="1" applyBorder="1" applyAlignment="1" applyProtection="1">
      <alignment horizontal="center" vertical="center" wrapText="1"/>
    </xf>
    <xf numFmtId="0" fontId="92" fillId="22" borderId="46" xfId="6" applyFont="1" applyFill="1" applyBorder="1" applyAlignment="1" applyProtection="1">
      <alignment horizontal="center" vertical="center" wrapText="1"/>
    </xf>
    <xf numFmtId="0" fontId="11" fillId="0" borderId="14" xfId="0" applyFont="1" applyFill="1" applyBorder="1" applyProtection="1"/>
    <xf numFmtId="0" fontId="11" fillId="0" borderId="42" xfId="0" applyFont="1" applyFill="1" applyBorder="1" applyProtection="1"/>
    <xf numFmtId="0" fontId="11" fillId="0" borderId="47" xfId="0" applyFont="1" applyFill="1" applyBorder="1" applyProtection="1"/>
    <xf numFmtId="1" fontId="11" fillId="0" borderId="0" xfId="0" applyNumberFormat="1" applyFont="1" applyFill="1" applyAlignment="1" applyProtection="1">
      <alignment wrapText="1"/>
    </xf>
    <xf numFmtId="0" fontId="11" fillId="0" borderId="0" xfId="0" applyFont="1" applyFill="1" applyBorder="1" applyAlignment="1" applyProtection="1">
      <alignment horizontal="center" vertical="center" wrapText="1"/>
    </xf>
    <xf numFmtId="0" fontId="106" fillId="0" borderId="0" xfId="0" applyFont="1" applyFill="1" applyAlignment="1" applyProtection="1">
      <alignment wrapText="1"/>
    </xf>
    <xf numFmtId="0" fontId="12" fillId="23" borderId="40" xfId="6" applyFont="1" applyFill="1" applyBorder="1" applyAlignment="1" applyProtection="1">
      <alignment horizontal="center" vertical="center" wrapText="1"/>
    </xf>
    <xf numFmtId="0" fontId="62" fillId="22" borderId="0" xfId="0" applyFont="1" applyFill="1" applyProtection="1"/>
    <xf numFmtId="1" fontId="62" fillId="22" borderId="0" xfId="0" applyNumberFormat="1" applyFont="1" applyFill="1" applyProtection="1"/>
    <xf numFmtId="0" fontId="63" fillId="22" borderId="0" xfId="0" applyFont="1" applyFill="1" applyBorder="1" applyAlignment="1" applyProtection="1">
      <alignment horizontal="right" vertical="center"/>
    </xf>
    <xf numFmtId="1" fontId="63" fillId="22" borderId="0" xfId="0" applyNumberFormat="1" applyFont="1" applyFill="1" applyBorder="1" applyAlignment="1" applyProtection="1">
      <alignment horizontal="right" vertical="center"/>
    </xf>
    <xf numFmtId="0" fontId="62" fillId="22" borderId="0" xfId="0" applyFont="1" applyFill="1" applyBorder="1" applyProtection="1"/>
    <xf numFmtId="0" fontId="62" fillId="22" borderId="0" xfId="0" quotePrefix="1" applyFont="1" applyFill="1" applyBorder="1" applyProtection="1"/>
    <xf numFmtId="0" fontId="73" fillId="22" borderId="0" xfId="0" applyFont="1" applyFill="1" applyAlignment="1" applyProtection="1">
      <alignment wrapText="1"/>
    </xf>
    <xf numFmtId="0" fontId="11" fillId="22" borderId="0" xfId="0" applyFont="1" applyFill="1" applyBorder="1" applyAlignment="1" applyProtection="1"/>
    <xf numFmtId="0" fontId="11" fillId="22" borderId="0" xfId="0" applyFont="1" applyFill="1" applyBorder="1" applyAlignment="1" applyProtection="1">
      <alignment wrapText="1"/>
    </xf>
    <xf numFmtId="0" fontId="11" fillId="13" borderId="48" xfId="0" applyFont="1" applyFill="1" applyBorder="1" applyAlignment="1" applyProtection="1"/>
    <xf numFmtId="0" fontId="73" fillId="13" borderId="28" xfId="0" applyFont="1" applyFill="1" applyBorder="1" applyProtection="1"/>
    <xf numFmtId="0" fontId="73" fillId="13" borderId="49" xfId="0" applyFont="1" applyFill="1" applyBorder="1" applyProtection="1"/>
    <xf numFmtId="0" fontId="73" fillId="13" borderId="27" xfId="0" applyFont="1" applyFill="1" applyBorder="1" applyProtection="1"/>
    <xf numFmtId="0" fontId="73" fillId="13" borderId="27" xfId="0" applyFont="1" applyFill="1" applyBorder="1" applyAlignment="1" applyProtection="1">
      <alignment wrapText="1"/>
    </xf>
    <xf numFmtId="0" fontId="5" fillId="22" borderId="0" xfId="0" applyFont="1" applyFill="1" applyProtection="1"/>
    <xf numFmtId="0" fontId="5" fillId="22" borderId="0" xfId="0" applyFont="1" applyFill="1" applyBorder="1" applyProtection="1"/>
    <xf numFmtId="0" fontId="6" fillId="22" borderId="0" xfId="0" applyFont="1" applyFill="1" applyProtection="1"/>
    <xf numFmtId="0" fontId="73" fillId="22" borderId="0" xfId="0" applyFont="1" applyFill="1"/>
    <xf numFmtId="0" fontId="16" fillId="22" borderId="0" xfId="0" applyFont="1" applyFill="1" applyAlignment="1">
      <alignment wrapText="1"/>
    </xf>
    <xf numFmtId="0" fontId="11" fillId="22" borderId="0" xfId="0" applyFont="1" applyFill="1"/>
    <xf numFmtId="0" fontId="11" fillId="22" borderId="0" xfId="0" applyFont="1" applyFill="1" applyAlignment="1">
      <alignment horizontal="left"/>
    </xf>
    <xf numFmtId="0" fontId="11" fillId="22" borderId="0" xfId="0" applyFont="1" applyFill="1" applyAlignment="1">
      <alignment horizontal="left" vertical="center"/>
    </xf>
    <xf numFmtId="0" fontId="73" fillId="22" borderId="0" xfId="0" applyFont="1" applyFill="1" applyAlignment="1"/>
    <xf numFmtId="0" fontId="73" fillId="22" borderId="0" xfId="0" applyFont="1" applyFill="1" applyAlignment="1">
      <alignment vertical="center"/>
    </xf>
    <xf numFmtId="0" fontId="11" fillId="22" borderId="0" xfId="0" applyFont="1" applyFill="1" applyAlignment="1"/>
    <xf numFmtId="0" fontId="73" fillId="13" borderId="28" xfId="0" applyFont="1" applyFill="1" applyBorder="1"/>
    <xf numFmtId="0" fontId="16" fillId="13" borderId="24" xfId="0" applyFont="1" applyFill="1" applyBorder="1" applyAlignment="1">
      <alignment wrapText="1"/>
    </xf>
    <xf numFmtId="0" fontId="11" fillId="13" borderId="24" xfId="0" applyFont="1" applyFill="1" applyBorder="1"/>
    <xf numFmtId="0" fontId="11" fillId="13" borderId="25" xfId="0" applyFont="1" applyFill="1" applyBorder="1"/>
    <xf numFmtId="0" fontId="73" fillId="13" borderId="27" xfId="0" applyFont="1" applyFill="1" applyBorder="1"/>
    <xf numFmtId="0" fontId="73" fillId="13" borderId="27" xfId="0" applyFont="1" applyFill="1" applyBorder="1" applyAlignment="1"/>
    <xf numFmtId="0" fontId="73" fillId="13" borderId="27" xfId="0" applyFont="1" applyFill="1" applyBorder="1" applyAlignment="1">
      <alignment vertical="center"/>
    </xf>
    <xf numFmtId="0" fontId="11" fillId="13" borderId="27" xfId="0" applyFont="1" applyFill="1" applyBorder="1" applyAlignment="1"/>
    <xf numFmtId="0" fontId="11" fillId="13" borderId="23" xfId="0" applyFont="1" applyFill="1" applyBorder="1" applyAlignment="1">
      <alignment vertical="center"/>
    </xf>
    <xf numFmtId="0" fontId="16" fillId="13" borderId="0" xfId="0" applyFont="1" applyFill="1" applyBorder="1" applyAlignment="1">
      <alignment horizontal="left" wrapText="1"/>
    </xf>
    <xf numFmtId="0" fontId="11" fillId="13" borderId="0" xfId="0" applyFont="1" applyFill="1" applyBorder="1" applyAlignment="1">
      <alignment horizontal="left" vertical="center"/>
    </xf>
    <xf numFmtId="0" fontId="11" fillId="13" borderId="0" xfId="0" applyFont="1" applyFill="1" applyBorder="1" applyAlignment="1">
      <alignment vertical="center"/>
    </xf>
    <xf numFmtId="0" fontId="16" fillId="13" borderId="0" xfId="0" applyFont="1" applyFill="1" applyBorder="1" applyAlignment="1">
      <alignment wrapText="1"/>
    </xf>
    <xf numFmtId="0" fontId="29" fillId="13" borderId="0" xfId="0" applyFont="1" applyFill="1" applyBorder="1" applyAlignment="1">
      <alignment horizontal="left" vertical="center" wrapText="1"/>
    </xf>
    <xf numFmtId="0" fontId="11" fillId="13" borderId="0" xfId="0" applyFont="1" applyFill="1" applyBorder="1" applyAlignment="1">
      <alignment vertical="center" wrapText="1"/>
    </xf>
    <xf numFmtId="0" fontId="16" fillId="13" borderId="0" xfId="0" applyFont="1" applyFill="1" applyBorder="1" applyAlignment="1">
      <alignment horizontal="left" vertical="center" wrapText="1"/>
    </xf>
    <xf numFmtId="0" fontId="16" fillId="13" borderId="0" xfId="0" applyFont="1" applyFill="1" applyBorder="1" applyAlignment="1">
      <alignment horizontal="left" vertical="center"/>
    </xf>
    <xf numFmtId="0" fontId="11" fillId="13" borderId="0" xfId="0" applyFont="1" applyFill="1" applyBorder="1" applyAlignment="1">
      <alignment horizontal="left" vertical="center" wrapText="1"/>
    </xf>
    <xf numFmtId="0" fontId="9" fillId="22" borderId="0" xfId="0" applyFont="1" applyFill="1"/>
    <xf numFmtId="0" fontId="5" fillId="22" borderId="0" xfId="0" applyFont="1" applyFill="1"/>
    <xf numFmtId="0" fontId="13" fillId="22" borderId="0" xfId="0" applyFont="1" applyFill="1"/>
    <xf numFmtId="0" fontId="5" fillId="22" borderId="0" xfId="0" applyFont="1" applyFill="1" applyBorder="1" applyAlignment="1"/>
    <xf numFmtId="0" fontId="5" fillId="22" borderId="0" xfId="0" applyFont="1" applyFill="1" applyBorder="1"/>
    <xf numFmtId="0" fontId="11" fillId="22" borderId="0" xfId="0" applyFont="1" applyFill="1" applyBorder="1" applyAlignment="1"/>
    <xf numFmtId="0" fontId="11" fillId="22" borderId="0" xfId="0" applyFont="1" applyFill="1" applyBorder="1"/>
    <xf numFmtId="0" fontId="11" fillId="21" borderId="108" xfId="0" applyFont="1" applyFill="1" applyBorder="1" applyAlignment="1" applyProtection="1">
      <alignment horizontal="center" vertical="center"/>
      <protection locked="0"/>
    </xf>
    <xf numFmtId="216" fontId="11" fillId="21" borderId="108" xfId="0" applyNumberFormat="1" applyFont="1" applyFill="1" applyBorder="1" applyAlignment="1" applyProtection="1">
      <alignment horizontal="center" vertical="center"/>
      <protection locked="0"/>
    </xf>
    <xf numFmtId="0" fontId="11" fillId="13" borderId="0" xfId="0" applyFont="1" applyFill="1" applyBorder="1" applyAlignment="1" applyProtection="1">
      <alignment horizontal="center" vertical="center"/>
    </xf>
    <xf numFmtId="0" fontId="102" fillId="13" borderId="6" xfId="4" applyFont="1" applyFill="1" applyBorder="1" applyAlignment="1" applyProtection="1">
      <alignment horizontal="center" vertical="center" wrapText="1" shrinkToFit="1"/>
    </xf>
    <xf numFmtId="0" fontId="102" fillId="13" borderId="0" xfId="0" applyFont="1" applyFill="1" applyBorder="1" applyAlignment="1" applyProtection="1">
      <alignment horizontal="center" vertical="center" wrapText="1"/>
    </xf>
    <xf numFmtId="0" fontId="102" fillId="13" borderId="0" xfId="0" applyFont="1" applyFill="1" applyBorder="1" applyAlignment="1" applyProtection="1">
      <alignment horizontal="center" vertical="center"/>
    </xf>
    <xf numFmtId="0" fontId="102" fillId="13" borderId="6" xfId="0" applyFont="1" applyFill="1" applyBorder="1" applyAlignment="1" applyProtection="1">
      <alignment horizontal="center" vertical="center"/>
    </xf>
    <xf numFmtId="0" fontId="102" fillId="13" borderId="0" xfId="0" applyFont="1" applyFill="1" applyBorder="1" applyAlignment="1" applyProtection="1">
      <alignment vertical="center" wrapText="1"/>
    </xf>
    <xf numFmtId="0" fontId="102" fillId="13" borderId="8" xfId="0" applyFont="1" applyFill="1" applyBorder="1" applyAlignment="1" applyProtection="1">
      <alignment vertical="center" wrapText="1"/>
    </xf>
    <xf numFmtId="176" fontId="102" fillId="13" borderId="8" xfId="0" applyNumberFormat="1" applyFont="1" applyFill="1" applyBorder="1" applyAlignment="1" applyProtection="1">
      <alignment vertical="center" wrapText="1"/>
    </xf>
    <xf numFmtId="0" fontId="17" fillId="22" borderId="42" xfId="6" applyFont="1" applyFill="1" applyBorder="1" applyAlignment="1" applyProtection="1">
      <alignment horizontal="center" vertical="center" wrapText="1"/>
    </xf>
    <xf numFmtId="0" fontId="12" fillId="0" borderId="41" xfId="6" applyFont="1" applyFill="1" applyBorder="1" applyAlignment="1" applyProtection="1">
      <alignment horizontal="right" vertical="center" wrapText="1"/>
    </xf>
    <xf numFmtId="0" fontId="12" fillId="0" borderId="41" xfId="6" applyFont="1" applyFill="1" applyBorder="1" applyAlignment="1" applyProtection="1">
      <alignment horizontal="right" wrapText="1"/>
    </xf>
    <xf numFmtId="0" fontId="89" fillId="21" borderId="32" xfId="0" applyFont="1" applyFill="1" applyBorder="1"/>
    <xf numFmtId="0" fontId="16" fillId="13" borderId="50" xfId="6" applyFont="1" applyFill="1" applyBorder="1" applyAlignment="1" applyProtection="1">
      <alignment vertical="center" wrapText="1"/>
    </xf>
    <xf numFmtId="0" fontId="11" fillId="13" borderId="0" xfId="0" applyFont="1" applyFill="1" applyBorder="1" applyAlignment="1" applyProtection="1">
      <alignment vertical="center" wrapText="1"/>
    </xf>
    <xf numFmtId="0" fontId="11" fillId="19" borderId="0" xfId="0" applyFont="1" applyFill="1" applyBorder="1" applyAlignment="1" applyProtection="1">
      <alignment horizontal="center" vertical="center"/>
    </xf>
    <xf numFmtId="0" fontId="53" fillId="13" borderId="0" xfId="0" applyFont="1" applyFill="1" applyBorder="1" applyAlignment="1" applyProtection="1">
      <alignment horizontal="center" vertical="center"/>
    </xf>
    <xf numFmtId="0" fontId="11" fillId="19" borderId="0" xfId="0" applyFont="1" applyFill="1" applyBorder="1" applyAlignment="1" applyProtection="1">
      <alignment horizontal="center"/>
    </xf>
    <xf numFmtId="0" fontId="11" fillId="19" borderId="0" xfId="0" applyFont="1" applyFill="1" applyBorder="1" applyAlignment="1" applyProtection="1"/>
    <xf numFmtId="0" fontId="11" fillId="19" borderId="0" xfId="0" applyFont="1" applyFill="1" applyBorder="1" applyAlignment="1" applyProtection="1">
      <alignment horizontal="center" wrapText="1"/>
    </xf>
    <xf numFmtId="4" fontId="66" fillId="13" borderId="0" xfId="0" applyNumberFormat="1" applyFont="1" applyFill="1" applyBorder="1" applyAlignment="1" applyProtection="1">
      <alignment horizontal="center" vertical="center"/>
      <protection hidden="1"/>
    </xf>
    <xf numFmtId="0" fontId="2" fillId="13" borderId="31" xfId="4" applyFill="1" applyBorder="1" applyAlignment="1" applyProtection="1">
      <alignment horizontal="right" vertical="center" wrapText="1"/>
    </xf>
    <xf numFmtId="0" fontId="2" fillId="13" borderId="51" xfId="4" applyFill="1" applyBorder="1" applyAlignment="1" applyProtection="1">
      <alignment horizontal="right" vertical="center" wrapText="1"/>
    </xf>
    <xf numFmtId="0" fontId="11" fillId="19" borderId="111" xfId="0" applyFont="1" applyFill="1" applyBorder="1" applyProtection="1"/>
    <xf numFmtId="0" fontId="11" fillId="19" borderId="112" xfId="0" applyFont="1" applyFill="1" applyBorder="1" applyProtection="1"/>
    <xf numFmtId="1" fontId="11" fillId="19" borderId="0" xfId="0" applyNumberFormat="1" applyFont="1" applyFill="1" applyBorder="1" applyAlignment="1" applyProtection="1">
      <alignment horizontal="center" wrapText="1"/>
    </xf>
    <xf numFmtId="0" fontId="16" fillId="19" borderId="0" xfId="0" applyFont="1" applyFill="1" applyBorder="1" applyAlignment="1" applyProtection="1">
      <alignment horizontal="center"/>
    </xf>
    <xf numFmtId="0" fontId="10" fillId="19" borderId="112" xfId="0" applyFont="1" applyFill="1" applyBorder="1" applyProtection="1"/>
    <xf numFmtId="0" fontId="24" fillId="19" borderId="0" xfId="0" applyFont="1" applyFill="1" applyBorder="1" applyProtection="1"/>
    <xf numFmtId="0" fontId="20" fillId="19" borderId="0" xfId="0" applyFont="1" applyFill="1" applyBorder="1" applyAlignment="1" applyProtection="1">
      <alignment horizontal="center" vertical="center"/>
      <protection hidden="1"/>
    </xf>
    <xf numFmtId="0" fontId="24" fillId="19" borderId="0" xfId="0" applyFont="1" applyFill="1" applyBorder="1" applyAlignment="1" applyProtection="1">
      <alignment horizontal="center" vertical="center"/>
    </xf>
    <xf numFmtId="0" fontId="53" fillId="13" borderId="111" xfId="0" applyFont="1" applyFill="1" applyBorder="1" applyProtection="1"/>
    <xf numFmtId="0" fontId="53" fillId="13" borderId="112" xfId="0" applyFont="1" applyFill="1" applyBorder="1" applyAlignment="1" applyProtection="1">
      <alignment vertical="center"/>
    </xf>
    <xf numFmtId="0" fontId="53" fillId="13" borderId="112" xfId="0" applyFont="1" applyFill="1" applyBorder="1" applyAlignment="1" applyProtection="1">
      <alignment horizontal="center"/>
    </xf>
    <xf numFmtId="0" fontId="53" fillId="13" borderId="112" xfId="0" applyFont="1" applyFill="1" applyBorder="1" applyProtection="1"/>
    <xf numFmtId="0" fontId="53" fillId="13" borderId="113" xfId="0" applyFont="1" applyFill="1" applyBorder="1" applyProtection="1"/>
    <xf numFmtId="2" fontId="58" fillId="13" borderId="114" xfId="4" applyNumberFormat="1" applyFont="1" applyFill="1" applyBorder="1" applyAlignment="1" applyProtection="1">
      <alignment horizontal="left"/>
    </xf>
    <xf numFmtId="0" fontId="51" fillId="13" borderId="114" xfId="0" applyFont="1" applyFill="1" applyBorder="1" applyProtection="1"/>
    <xf numFmtId="1" fontId="51" fillId="13" borderId="114" xfId="0" applyNumberFormat="1" applyFont="1" applyFill="1" applyBorder="1" applyProtection="1"/>
    <xf numFmtId="0" fontId="53" fillId="13" borderId="114" xfId="0" applyFont="1" applyFill="1" applyBorder="1" applyProtection="1"/>
    <xf numFmtId="0" fontId="53" fillId="13" borderId="115" xfId="0" applyFont="1" applyFill="1" applyBorder="1" applyProtection="1"/>
    <xf numFmtId="0" fontId="11" fillId="13" borderId="111" xfId="0" applyFont="1" applyFill="1" applyBorder="1" applyProtection="1"/>
    <xf numFmtId="0" fontId="11" fillId="13" borderId="112" xfId="0" applyFont="1" applyFill="1" applyBorder="1" applyProtection="1"/>
    <xf numFmtId="0" fontId="11" fillId="13" borderId="111" xfId="0" applyFont="1" applyFill="1" applyBorder="1" applyAlignment="1" applyProtection="1"/>
    <xf numFmtId="0" fontId="11" fillId="13" borderId="112" xfId="0" applyFont="1" applyFill="1" applyBorder="1" applyAlignment="1" applyProtection="1"/>
    <xf numFmtId="0" fontId="11" fillId="13" borderId="112" xfId="0" applyFont="1" applyFill="1" applyBorder="1" applyAlignment="1" applyProtection="1">
      <alignment wrapText="1"/>
    </xf>
    <xf numFmtId="0" fontId="11" fillId="13" borderId="111" xfId="0" applyFont="1" applyFill="1" applyBorder="1" applyAlignment="1" applyProtection="1">
      <alignment wrapText="1"/>
    </xf>
    <xf numFmtId="0" fontId="16" fillId="13" borderId="111" xfId="0" applyFont="1" applyFill="1" applyBorder="1" applyAlignment="1" applyProtection="1">
      <alignment horizontal="center" vertical="center"/>
    </xf>
    <xf numFmtId="0" fontId="11" fillId="13" borderId="111" xfId="0" applyFont="1" applyFill="1" applyBorder="1" applyAlignment="1" applyProtection="1">
      <alignment horizontal="left" vertical="center"/>
    </xf>
    <xf numFmtId="0" fontId="11" fillId="13" borderId="113" xfId="0" applyFont="1" applyFill="1" applyBorder="1" applyProtection="1"/>
    <xf numFmtId="0" fontId="11" fillId="13" borderId="114" xfId="0" applyFont="1" applyFill="1" applyBorder="1" applyProtection="1"/>
    <xf numFmtId="0" fontId="11" fillId="13" borderId="115" xfId="0" applyFont="1" applyFill="1" applyBorder="1" applyProtection="1"/>
    <xf numFmtId="0" fontId="62" fillId="13" borderId="111" xfId="0" applyFont="1" applyFill="1" applyBorder="1" applyProtection="1"/>
    <xf numFmtId="0" fontId="62" fillId="13" borderId="112" xfId="0" applyFont="1" applyFill="1" applyBorder="1" applyProtection="1"/>
    <xf numFmtId="0" fontId="62" fillId="13" borderId="113" xfId="0" applyFont="1" applyFill="1" applyBorder="1" applyProtection="1"/>
    <xf numFmtId="0" fontId="62" fillId="13" borderId="114" xfId="0" applyFont="1" applyFill="1" applyBorder="1" applyAlignment="1" applyProtection="1">
      <alignment horizontal="left"/>
    </xf>
    <xf numFmtId="0" fontId="63" fillId="13" borderId="114" xfId="0" applyFont="1" applyFill="1" applyBorder="1" applyAlignment="1" applyProtection="1">
      <alignment horizontal="right" vertical="center"/>
    </xf>
    <xf numFmtId="1" fontId="63" fillId="13" borderId="114" xfId="0" applyNumberFormat="1" applyFont="1" applyFill="1" applyBorder="1" applyAlignment="1" applyProtection="1">
      <alignment horizontal="right" vertical="center"/>
    </xf>
    <xf numFmtId="0" fontId="62" fillId="13" borderId="114" xfId="0" applyFont="1" applyFill="1" applyBorder="1" applyProtection="1"/>
    <xf numFmtId="0" fontId="62" fillId="13" borderId="114" xfId="0" quotePrefix="1" applyFont="1" applyFill="1" applyBorder="1" applyProtection="1"/>
    <xf numFmtId="0" fontId="62" fillId="13" borderId="115" xfId="0" applyFont="1" applyFill="1" applyBorder="1" applyProtection="1"/>
    <xf numFmtId="0" fontId="63" fillId="13" borderId="116" xfId="0" applyFont="1" applyFill="1" applyBorder="1" applyProtection="1"/>
    <xf numFmtId="1" fontId="63" fillId="13" borderId="117" xfId="0" applyNumberFormat="1" applyFont="1" applyFill="1" applyBorder="1" applyProtection="1"/>
    <xf numFmtId="0" fontId="63" fillId="13" borderId="117" xfId="0" applyFont="1" applyFill="1" applyBorder="1" applyProtection="1"/>
    <xf numFmtId="0" fontId="62" fillId="13" borderId="117" xfId="0" applyFont="1" applyFill="1" applyBorder="1" applyProtection="1"/>
    <xf numFmtId="0" fontId="62" fillId="13" borderId="118" xfId="0" applyFont="1" applyFill="1" applyBorder="1" applyProtection="1"/>
    <xf numFmtId="0" fontId="0" fillId="21" borderId="0" xfId="0" applyFill="1"/>
    <xf numFmtId="0" fontId="53" fillId="21" borderId="0" xfId="0" applyFont="1" applyFill="1" applyProtection="1"/>
    <xf numFmtId="0" fontId="59" fillId="21" borderId="0" xfId="0" applyFont="1" applyFill="1" applyBorder="1" applyAlignment="1">
      <alignment horizontal="center" vertical="center"/>
    </xf>
    <xf numFmtId="1" fontId="5" fillId="0" borderId="0" xfId="0" applyNumberFormat="1" applyFont="1" applyProtection="1"/>
    <xf numFmtId="1" fontId="0" fillId="0" borderId="0" xfId="0" applyNumberFormat="1" applyProtection="1">
      <protection hidden="1"/>
    </xf>
    <xf numFmtId="1" fontId="11" fillId="0" borderId="0" xfId="0" applyNumberFormat="1" applyFont="1" applyProtection="1"/>
    <xf numFmtId="1" fontId="11" fillId="14" borderId="0" xfId="0" applyNumberFormat="1" applyFont="1" applyFill="1" applyProtection="1"/>
    <xf numFmtId="1" fontId="11" fillId="14" borderId="6" xfId="0" applyNumberFormat="1" applyFont="1" applyFill="1" applyBorder="1" applyProtection="1"/>
    <xf numFmtId="1" fontId="11" fillId="0" borderId="6" xfId="0" applyNumberFormat="1" applyFont="1" applyBorder="1" applyProtection="1"/>
    <xf numFmtId="1" fontId="11" fillId="0" borderId="9" xfId="0" applyNumberFormat="1" applyFont="1" applyBorder="1" applyProtection="1"/>
    <xf numFmtId="186" fontId="0" fillId="0" borderId="0" xfId="0" applyNumberFormat="1" applyFill="1"/>
    <xf numFmtId="5" fontId="60" fillId="0" borderId="0" xfId="3" applyNumberFormat="1" applyFont="1" applyFill="1"/>
    <xf numFmtId="5" fontId="0" fillId="0" borderId="0" xfId="0" applyNumberFormat="1" applyFill="1"/>
    <xf numFmtId="0" fontId="11" fillId="0" borderId="0" xfId="0" applyFont="1" applyFill="1" applyAlignment="1" applyProtection="1"/>
    <xf numFmtId="1" fontId="12" fillId="3" borderId="108" xfId="0" applyNumberFormat="1" applyFont="1" applyFill="1" applyBorder="1" applyAlignment="1" applyProtection="1">
      <alignment horizontal="center" vertical="center"/>
      <protection locked="0"/>
    </xf>
    <xf numFmtId="1" fontId="12" fillId="3" borderId="109" xfId="0" applyNumberFormat="1" applyFont="1" applyFill="1" applyBorder="1" applyAlignment="1" applyProtection="1">
      <alignment horizontal="center" vertical="center"/>
      <protection locked="0"/>
    </xf>
    <xf numFmtId="1" fontId="107" fillId="21" borderId="119" xfId="0" applyNumberFormat="1" applyFont="1" applyFill="1" applyBorder="1" applyAlignment="1" applyProtection="1">
      <alignment horizontal="center" vertical="center"/>
      <protection locked="0"/>
    </xf>
    <xf numFmtId="0" fontId="12" fillId="12" borderId="41" xfId="6" applyFont="1" applyFill="1" applyBorder="1" applyAlignment="1" applyProtection="1">
      <alignment horizontal="center" vertical="center" wrapText="1"/>
    </xf>
    <xf numFmtId="0" fontId="11" fillId="19" borderId="0" xfId="0" applyFont="1" applyFill="1" applyBorder="1" applyAlignment="1" applyProtection="1">
      <alignment wrapText="1"/>
    </xf>
    <xf numFmtId="0" fontId="11" fillId="13" borderId="120" xfId="0" applyFont="1" applyFill="1" applyBorder="1" applyProtection="1"/>
    <xf numFmtId="0" fontId="77" fillId="13" borderId="120" xfId="4" quotePrefix="1" applyFont="1" applyFill="1" applyBorder="1" applyAlignment="1" applyProtection="1">
      <alignment horizontal="center" vertical="center" wrapText="1" shrinkToFit="1"/>
    </xf>
    <xf numFmtId="0" fontId="102" fillId="13" borderId="121" xfId="0" applyFont="1" applyFill="1" applyBorder="1" applyAlignment="1" applyProtection="1">
      <alignment horizontal="center" vertical="center" wrapText="1" shrinkToFit="1"/>
    </xf>
    <xf numFmtId="0" fontId="2" fillId="13" borderId="120" xfId="4" applyFont="1" applyFill="1" applyBorder="1" applyAlignment="1" applyProtection="1">
      <alignment horizontal="center" vertical="center" wrapText="1" shrinkToFit="1"/>
    </xf>
    <xf numFmtId="0" fontId="11" fillId="13" borderId="121" xfId="0" applyFont="1" applyFill="1" applyBorder="1" applyAlignment="1" applyProtection="1">
      <alignment horizontal="center" vertical="center" wrapText="1" shrinkToFit="1"/>
    </xf>
    <xf numFmtId="0" fontId="102" fillId="13" borderId="120" xfId="4" applyFont="1" applyFill="1" applyBorder="1" applyAlignment="1" applyProtection="1">
      <alignment horizontal="center" vertical="center" wrapText="1" shrinkToFit="1"/>
    </xf>
    <xf numFmtId="176" fontId="16" fillId="13" borderId="121" xfId="0" applyNumberFormat="1" applyFont="1" applyFill="1" applyBorder="1" applyAlignment="1" applyProtection="1">
      <alignment horizontal="center" vertical="center" wrapText="1" shrinkToFit="1"/>
    </xf>
    <xf numFmtId="0" fontId="11" fillId="13" borderId="122" xfId="0" applyFont="1" applyFill="1" applyBorder="1" applyAlignment="1" applyProtection="1">
      <alignment horizontal="center" vertical="center" wrapText="1" shrinkToFit="1"/>
    </xf>
    <xf numFmtId="176" fontId="76" fillId="13" borderId="120" xfId="1" quotePrefix="1" applyNumberFormat="1" applyFont="1" applyFill="1" applyBorder="1" applyAlignment="1" applyProtection="1">
      <alignment horizontal="center"/>
    </xf>
    <xf numFmtId="176" fontId="20" fillId="13" borderId="121" xfId="0" applyNumberFormat="1" applyFont="1" applyFill="1" applyBorder="1" applyAlignment="1" applyProtection="1">
      <alignment horizontal="center" vertical="center" wrapText="1" shrinkToFit="1"/>
    </xf>
    <xf numFmtId="0" fontId="42" fillId="13" borderId="120" xfId="4" applyFont="1" applyFill="1" applyBorder="1" applyAlignment="1" applyProtection="1">
      <alignment horizontal="center" vertical="center" wrapText="1" shrinkToFit="1"/>
    </xf>
    <xf numFmtId="0" fontId="102" fillId="13" borderId="123" xfId="4" applyFont="1" applyFill="1" applyBorder="1" applyAlignment="1" applyProtection="1">
      <alignment horizontal="center" vertical="center" wrapText="1" shrinkToFit="1"/>
    </xf>
    <xf numFmtId="0" fontId="2" fillId="13" borderId="124" xfId="4" applyFont="1" applyFill="1" applyBorder="1" applyAlignment="1" applyProtection="1">
      <alignment horizontal="center" vertical="center" wrapText="1" shrinkToFit="1"/>
    </xf>
    <xf numFmtId="0" fontId="2" fillId="13" borderId="125" xfId="4" applyFont="1" applyFill="1" applyBorder="1" applyAlignment="1" applyProtection="1">
      <alignment horizontal="center" vertical="center" wrapText="1" shrinkToFit="1"/>
    </xf>
    <xf numFmtId="0" fontId="42" fillId="13" borderId="126" xfId="0" applyFont="1" applyFill="1" applyBorder="1" applyProtection="1"/>
    <xf numFmtId="0" fontId="42" fillId="13" borderId="125" xfId="0" applyFont="1" applyFill="1" applyBorder="1" applyProtection="1"/>
    <xf numFmtId="0" fontId="79" fillId="13" borderId="125" xfId="0" applyFont="1" applyFill="1" applyBorder="1" applyAlignment="1" applyProtection="1">
      <alignment wrapText="1"/>
    </xf>
    <xf numFmtId="0" fontId="11" fillId="13" borderId="127" xfId="0" applyFont="1" applyFill="1" applyBorder="1" applyAlignment="1" applyProtection="1">
      <alignment horizontal="center" vertical="center" wrapText="1" shrinkToFit="1"/>
    </xf>
    <xf numFmtId="0" fontId="82" fillId="13" borderId="128" xfId="0" applyFont="1" applyFill="1" applyBorder="1" applyAlignment="1" applyProtection="1">
      <alignment horizontal="center" vertical="top" wrapText="1"/>
    </xf>
    <xf numFmtId="0" fontId="82" fillId="13" borderId="0" xfId="0" applyFont="1" applyFill="1" applyBorder="1" applyAlignment="1" applyProtection="1">
      <alignment horizontal="center" vertical="top" wrapText="1"/>
    </xf>
    <xf numFmtId="0" fontId="94" fillId="13" borderId="0" xfId="0" applyFont="1" applyFill="1" applyBorder="1" applyAlignment="1" applyProtection="1">
      <alignment horizontal="center"/>
    </xf>
    <xf numFmtId="0" fontId="94" fillId="13" borderId="129" xfId="0" applyFont="1" applyFill="1" applyBorder="1" applyAlignment="1" applyProtection="1">
      <alignment horizontal="center" wrapText="1"/>
    </xf>
    <xf numFmtId="0" fontId="82" fillId="13" borderId="130" xfId="0" applyFont="1" applyFill="1" applyBorder="1" applyAlignment="1" applyProtection="1">
      <alignment horizontal="center" vertical="top" wrapText="1"/>
    </xf>
    <xf numFmtId="0" fontId="82" fillId="13" borderId="126" xfId="0" applyFont="1" applyFill="1" applyBorder="1" applyAlignment="1" applyProtection="1">
      <alignment horizontal="center" vertical="top" wrapText="1"/>
    </xf>
    <xf numFmtId="0" fontId="94" fillId="13" borderId="126" xfId="0" applyFont="1" applyFill="1" applyBorder="1" applyAlignment="1" applyProtection="1">
      <alignment horizontal="center"/>
    </xf>
    <xf numFmtId="0" fontId="94" fillId="13" borderId="131" xfId="0" applyFont="1" applyFill="1" applyBorder="1" applyAlignment="1" applyProtection="1">
      <alignment horizontal="center" wrapText="1"/>
    </xf>
    <xf numFmtId="0" fontId="68" fillId="13" borderId="132" xfId="0" applyFont="1" applyFill="1" applyBorder="1" applyAlignment="1" applyProtection="1">
      <alignment horizontal="left" vertical="center" wrapText="1"/>
    </xf>
    <xf numFmtId="0" fontId="16" fillId="24" borderId="132" xfId="0" applyFont="1" applyFill="1" applyBorder="1" applyAlignment="1" applyProtection="1">
      <alignment horizontal="left" vertical="center" wrapText="1"/>
    </xf>
    <xf numFmtId="0" fontId="16" fillId="13" borderId="132" xfId="0" applyFont="1" applyFill="1" applyBorder="1" applyAlignment="1" applyProtection="1">
      <alignment vertical="center"/>
      <protection hidden="1"/>
    </xf>
    <xf numFmtId="0" fontId="62" fillId="13" borderId="0" xfId="0" applyFont="1" applyFill="1" applyBorder="1" applyAlignment="1" applyProtection="1">
      <alignment vertical="center"/>
    </xf>
    <xf numFmtId="0" fontId="0" fillId="13" borderId="0" xfId="0" applyFill="1" applyAlignment="1">
      <alignment vertical="center"/>
    </xf>
    <xf numFmtId="0" fontId="16" fillId="13" borderId="0" xfId="0" applyFont="1" applyFill="1" applyAlignment="1">
      <alignment vertical="center"/>
    </xf>
    <xf numFmtId="226" fontId="11" fillId="21" borderId="108" xfId="0" applyNumberFormat="1" applyFont="1" applyFill="1" applyBorder="1" applyAlignment="1" applyProtection="1">
      <alignment horizontal="left" vertical="center"/>
      <protection locked="0"/>
    </xf>
    <xf numFmtId="0" fontId="16" fillId="13" borderId="108" xfId="0" applyFont="1" applyFill="1" applyBorder="1" applyAlignment="1" applyProtection="1">
      <alignment horizontal="center" vertical="center"/>
      <protection hidden="1"/>
    </xf>
    <xf numFmtId="0" fontId="63" fillId="13" borderId="0" xfId="0" applyFont="1" applyFill="1" applyBorder="1" applyAlignment="1" applyProtection="1">
      <alignment horizontal="center"/>
      <protection hidden="1"/>
    </xf>
    <xf numFmtId="0" fontId="63" fillId="13" borderId="133" xfId="0" applyFont="1" applyFill="1" applyBorder="1" applyAlignment="1" applyProtection="1">
      <alignment horizontal="center" vertical="center"/>
      <protection hidden="1"/>
    </xf>
    <xf numFmtId="0" fontId="0" fillId="14" borderId="18" xfId="0" applyFill="1" applyBorder="1"/>
    <xf numFmtId="0" fontId="98" fillId="0" borderId="0" xfId="0" applyFont="1" applyFill="1" applyBorder="1" applyAlignment="1" applyProtection="1">
      <alignment horizontal="center" vertical="center"/>
      <protection locked="0"/>
    </xf>
    <xf numFmtId="174" fontId="62" fillId="15" borderId="0" xfId="0" applyNumberFormat="1" applyFont="1" applyFill="1" applyProtection="1"/>
    <xf numFmtId="0" fontId="11" fillId="13" borderId="0" xfId="0" applyFont="1" applyFill="1" applyBorder="1" applyAlignment="1" applyProtection="1">
      <alignment horizontal="left"/>
    </xf>
    <xf numFmtId="0" fontId="0" fillId="14" borderId="0" xfId="0" applyFill="1" applyProtection="1">
      <protection hidden="1"/>
    </xf>
    <xf numFmtId="0" fontId="85" fillId="21" borderId="34" xfId="0" quotePrefix="1" applyFont="1" applyFill="1" applyBorder="1" applyAlignment="1">
      <alignment horizontal="left" vertical="top" wrapText="1"/>
    </xf>
    <xf numFmtId="0" fontId="85" fillId="21" borderId="36" xfId="0" quotePrefix="1" applyFont="1" applyFill="1" applyBorder="1" applyAlignment="1">
      <alignment horizontal="left" vertical="top" wrapText="1"/>
    </xf>
    <xf numFmtId="0" fontId="11" fillId="0" borderId="0" xfId="0" quotePrefix="1" applyFont="1" applyFill="1" applyAlignment="1">
      <alignment horizontal="left"/>
    </xf>
    <xf numFmtId="0" fontId="11" fillId="0" borderId="9" xfId="0" applyFont="1" applyBorder="1" applyAlignment="1">
      <alignment horizontal="center" vertical="center" wrapText="1"/>
    </xf>
    <xf numFmtId="0" fontId="0" fillId="0" borderId="9" xfId="0" applyBorder="1" applyAlignment="1">
      <alignment horizontal="center" vertical="center"/>
    </xf>
    <xf numFmtId="0" fontId="68" fillId="21" borderId="7" xfId="0" quotePrefix="1" applyFont="1" applyFill="1" applyBorder="1" applyAlignment="1">
      <alignment horizontal="center" vertical="center" wrapText="1"/>
    </xf>
    <xf numFmtId="0" fontId="89" fillId="21" borderId="30" xfId="0" applyFont="1" applyFill="1" applyBorder="1" applyAlignment="1">
      <alignment vertical="center"/>
    </xf>
    <xf numFmtId="0" fontId="68" fillId="21" borderId="52" xfId="0" applyFont="1" applyFill="1" applyBorder="1" applyAlignment="1">
      <alignment horizontal="center" vertical="center"/>
    </xf>
    <xf numFmtId="0" fontId="0" fillId="0" borderId="31"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11" fillId="19" borderId="0" xfId="0" applyFont="1" applyFill="1" applyBorder="1" applyAlignment="1" applyProtection="1">
      <alignment horizontal="centerContinuous" wrapText="1"/>
    </xf>
    <xf numFmtId="0" fontId="11" fillId="19" borderId="112" xfId="0" applyFont="1" applyFill="1" applyBorder="1" applyAlignment="1" applyProtection="1">
      <alignment horizontal="left"/>
    </xf>
    <xf numFmtId="1" fontId="11" fillId="21" borderId="108" xfId="0" applyNumberFormat="1" applyFont="1" applyFill="1" applyBorder="1" applyAlignment="1" applyProtection="1">
      <alignment vertical="center"/>
      <protection locked="0"/>
    </xf>
    <xf numFmtId="1" fontId="11" fillId="21" borderId="134" xfId="0" applyNumberFormat="1" applyFont="1" applyFill="1" applyBorder="1" applyAlignment="1" applyProtection="1">
      <alignment vertical="center"/>
      <protection locked="0"/>
    </xf>
    <xf numFmtId="0" fontId="11" fillId="13" borderId="2" xfId="0" applyFont="1" applyFill="1" applyBorder="1" applyProtection="1"/>
    <xf numFmtId="0" fontId="77" fillId="13" borderId="2" xfId="4" quotePrefix="1" applyFont="1" applyFill="1" applyBorder="1" applyAlignment="1" applyProtection="1">
      <alignment horizontal="center" vertical="center" wrapText="1" shrinkToFit="1"/>
    </xf>
    <xf numFmtId="0" fontId="2" fillId="13" borderId="2" xfId="4" applyFont="1" applyFill="1" applyBorder="1" applyAlignment="1" applyProtection="1">
      <alignment horizontal="center" vertical="center" wrapText="1" shrinkToFit="1"/>
    </xf>
    <xf numFmtId="0" fontId="102" fillId="13" borderId="2" xfId="4" applyFont="1" applyFill="1" applyBorder="1" applyAlignment="1" applyProtection="1">
      <alignment horizontal="center" vertical="center" wrapText="1" shrinkToFit="1"/>
    </xf>
    <xf numFmtId="0" fontId="102" fillId="13" borderId="2" xfId="4" applyFont="1" applyFill="1" applyBorder="1" applyAlignment="1" applyProtection="1">
      <alignment horizontal="center" vertical="center" wrapText="1"/>
    </xf>
    <xf numFmtId="176" fontId="76" fillId="13" borderId="2" xfId="1" quotePrefix="1" applyNumberFormat="1" applyFont="1" applyFill="1" applyBorder="1" applyAlignment="1" applyProtection="1">
      <alignment horizontal="center"/>
    </xf>
    <xf numFmtId="0" fontId="2" fillId="13" borderId="135" xfId="4" applyFont="1" applyFill="1" applyBorder="1" applyAlignment="1" applyProtection="1">
      <alignment horizontal="center" vertical="center" wrapText="1" shrinkToFit="1"/>
    </xf>
    <xf numFmtId="0" fontId="42" fillId="13" borderId="6" xfId="4" applyFont="1" applyFill="1" applyBorder="1" applyAlignment="1" applyProtection="1">
      <alignment horizontal="center" vertical="center" wrapText="1" shrinkToFit="1"/>
    </xf>
    <xf numFmtId="0" fontId="102" fillId="13" borderId="136" xfId="0" applyFont="1" applyFill="1" applyBorder="1" applyAlignment="1" applyProtection="1">
      <alignment vertical="center" wrapText="1"/>
    </xf>
    <xf numFmtId="0" fontId="11" fillId="13" borderId="137" xfId="0" applyFont="1" applyFill="1" applyBorder="1" applyProtection="1"/>
    <xf numFmtId="0" fontId="75" fillId="13" borderId="138" xfId="0" applyFont="1" applyFill="1" applyBorder="1" applyProtection="1"/>
    <xf numFmtId="0" fontId="102" fillId="13" borderId="139" xfId="0" applyFont="1" applyFill="1" applyBorder="1" applyAlignment="1" applyProtection="1">
      <alignment horizontal="center" vertical="center"/>
    </xf>
    <xf numFmtId="176" fontId="76" fillId="13" borderId="55" xfId="0" quotePrefix="1" applyNumberFormat="1" applyFont="1" applyFill="1" applyBorder="1" applyAlignment="1" applyProtection="1">
      <alignment horizontal="center" vertical="center"/>
    </xf>
    <xf numFmtId="0" fontId="11" fillId="13" borderId="56" xfId="0" applyFont="1" applyFill="1" applyBorder="1" applyProtection="1"/>
    <xf numFmtId="0" fontId="75" fillId="13" borderId="56" xfId="0" applyFont="1" applyFill="1" applyBorder="1" applyProtection="1"/>
    <xf numFmtId="176" fontId="16" fillId="13" borderId="140" xfId="0" applyNumberFormat="1" applyFont="1" applyFill="1" applyBorder="1" applyAlignment="1" applyProtection="1">
      <alignment horizontal="center" vertical="center"/>
    </xf>
    <xf numFmtId="0" fontId="102" fillId="13" borderId="0" xfId="0" applyFont="1" applyFill="1" applyBorder="1" applyAlignment="1" applyProtection="1">
      <alignment wrapText="1"/>
    </xf>
    <xf numFmtId="0" fontId="11" fillId="13" borderId="0" xfId="0" applyFont="1" applyFill="1" applyBorder="1" applyAlignment="1" applyProtection="1">
      <alignment vertical="center" wrapText="1"/>
    </xf>
    <xf numFmtId="0" fontId="11" fillId="13" borderId="0" xfId="0" applyFont="1" applyFill="1" applyBorder="1" applyAlignment="1" applyProtection="1">
      <alignment horizontal="center" wrapText="1"/>
    </xf>
    <xf numFmtId="0" fontId="11" fillId="21" borderId="134" xfId="0" applyFont="1" applyFill="1" applyBorder="1" applyAlignment="1" applyProtection="1">
      <alignment horizontal="left" vertical="center"/>
      <protection locked="0"/>
    </xf>
    <xf numFmtId="0" fontId="11" fillId="21" borderId="144" xfId="0" applyFont="1" applyFill="1" applyBorder="1" applyAlignment="1" applyProtection="1">
      <alignment horizontal="left" vertical="center"/>
      <protection locked="0"/>
    </xf>
    <xf numFmtId="0" fontId="11" fillId="21" borderId="145" xfId="0" applyFont="1" applyFill="1" applyBorder="1" applyAlignment="1" applyProtection="1">
      <alignment horizontal="left" vertical="center"/>
      <protection locked="0"/>
    </xf>
    <xf numFmtId="0" fontId="11" fillId="21" borderId="134" xfId="0" applyFont="1" applyFill="1" applyBorder="1" applyAlignment="1" applyProtection="1">
      <alignment horizontal="left" vertical="center" shrinkToFit="1"/>
      <protection locked="0"/>
    </xf>
    <xf numFmtId="0" fontId="11" fillId="21" borderId="144" xfId="0" applyFont="1" applyFill="1" applyBorder="1" applyAlignment="1" applyProtection="1">
      <alignment horizontal="left" vertical="center" shrinkToFit="1"/>
      <protection locked="0"/>
    </xf>
    <xf numFmtId="0" fontId="11" fillId="21" borderId="145" xfId="0" applyFont="1" applyFill="1" applyBorder="1" applyAlignment="1" applyProtection="1">
      <alignment horizontal="left" vertical="center" shrinkToFit="1"/>
      <protection locked="0"/>
    </xf>
    <xf numFmtId="0" fontId="48" fillId="13" borderId="0" xfId="0" applyFont="1" applyFill="1" applyBorder="1" applyAlignment="1" applyProtection="1">
      <alignment horizontal="center" vertical="center"/>
    </xf>
    <xf numFmtId="0" fontId="11" fillId="21" borderId="134" xfId="0" applyFont="1" applyFill="1" applyBorder="1" applyAlignment="1" applyProtection="1">
      <alignment horizontal="left" vertical="center" wrapText="1"/>
      <protection locked="0"/>
    </xf>
    <xf numFmtId="0" fontId="11" fillId="21" borderId="144" xfId="0" applyFont="1" applyFill="1" applyBorder="1" applyAlignment="1" applyProtection="1">
      <alignment horizontal="left" vertical="center" wrapText="1"/>
      <protection locked="0"/>
    </xf>
    <xf numFmtId="0" fontId="11" fillId="21" borderId="145" xfId="0" applyFont="1" applyFill="1" applyBorder="1" applyAlignment="1" applyProtection="1">
      <alignment horizontal="left" vertical="center" wrapText="1"/>
      <protection locked="0"/>
    </xf>
    <xf numFmtId="0" fontId="74" fillId="25" borderId="141" xfId="0" quotePrefix="1" applyFont="1" applyFill="1" applyBorder="1" applyAlignment="1" applyProtection="1">
      <alignment horizontal="center" vertical="top" wrapText="1"/>
    </xf>
    <xf numFmtId="0" fontId="74" fillId="25" borderId="142" xfId="0" applyFont="1" applyFill="1" applyBorder="1" applyAlignment="1" applyProtection="1">
      <alignment horizontal="center" vertical="top" wrapText="1"/>
    </xf>
    <xf numFmtId="0" fontId="74" fillId="25" borderId="143" xfId="0" applyFont="1" applyFill="1" applyBorder="1" applyAlignment="1" applyProtection="1">
      <alignment horizontal="center" vertical="top" wrapText="1"/>
    </xf>
    <xf numFmtId="0" fontId="16" fillId="13" borderId="0" xfId="0" applyFont="1" applyFill="1" applyBorder="1" applyAlignment="1" applyProtection="1">
      <alignment vertical="center" wrapText="1"/>
    </xf>
    <xf numFmtId="0" fontId="11" fillId="13" borderId="0" xfId="0" applyFont="1" applyFill="1" applyBorder="1" applyAlignment="1" applyProtection="1">
      <alignment horizontal="center" vertical="center" wrapText="1"/>
    </xf>
    <xf numFmtId="49" fontId="11" fillId="21" borderId="134" xfId="0" applyNumberFormat="1" applyFont="1" applyFill="1" applyBorder="1" applyAlignment="1" applyProtection="1">
      <alignment horizontal="left" vertical="center"/>
      <protection locked="0"/>
    </xf>
    <xf numFmtId="49" fontId="11" fillId="21" borderId="145" xfId="0" applyNumberFormat="1" applyFont="1" applyFill="1" applyBorder="1" applyAlignment="1" applyProtection="1">
      <alignment horizontal="left" vertical="center"/>
      <protection locked="0"/>
    </xf>
    <xf numFmtId="0" fontId="11" fillId="19" borderId="0" xfId="0" applyFont="1" applyFill="1" applyBorder="1" applyAlignment="1" applyProtection="1">
      <alignment horizontal="right" wrapText="1"/>
    </xf>
    <xf numFmtId="0" fontId="53" fillId="13" borderId="0" xfId="0" applyFont="1" applyFill="1" applyBorder="1" applyAlignment="1">
      <alignment vertical="center" wrapText="1"/>
    </xf>
    <xf numFmtId="0" fontId="11" fillId="19" borderId="0" xfId="0" applyFont="1" applyFill="1" applyBorder="1" applyAlignment="1" applyProtection="1">
      <alignment horizontal="center" vertical="center"/>
    </xf>
    <xf numFmtId="0" fontId="24" fillId="19" borderId="0" xfId="0" applyFont="1" applyFill="1" applyBorder="1" applyAlignment="1" applyProtection="1">
      <alignment horizontal="center"/>
    </xf>
    <xf numFmtId="174" fontId="11" fillId="3" borderId="134" xfId="0" applyNumberFormat="1" applyFont="1" applyFill="1" applyBorder="1" applyAlignment="1" applyProtection="1">
      <alignment wrapText="1"/>
      <protection locked="0"/>
    </xf>
    <xf numFmtId="174" fontId="11" fillId="3" borderId="144" xfId="0" applyNumberFormat="1" applyFont="1" applyFill="1" applyBorder="1" applyAlignment="1" applyProtection="1">
      <alignment wrapText="1"/>
      <protection locked="0"/>
    </xf>
    <xf numFmtId="0" fontId="11" fillId="0" borderId="144" xfId="0" applyFont="1" applyBorder="1" applyAlignment="1" applyProtection="1">
      <alignment wrapText="1"/>
      <protection locked="0"/>
    </xf>
    <xf numFmtId="0" fontId="11" fillId="0" borderId="145" xfId="0" applyFont="1" applyBorder="1" applyAlignment="1" applyProtection="1">
      <alignment wrapText="1"/>
      <protection locked="0"/>
    </xf>
    <xf numFmtId="176" fontId="11" fillId="3" borderId="134" xfId="0" applyNumberFormat="1" applyFont="1" applyFill="1" applyBorder="1" applyAlignment="1" applyProtection="1">
      <alignment horizontal="left"/>
      <protection locked="0"/>
    </xf>
    <xf numFmtId="176" fontId="11" fillId="0" borderId="145" xfId="0" applyNumberFormat="1" applyFont="1" applyBorder="1" applyProtection="1">
      <protection locked="0"/>
    </xf>
    <xf numFmtId="0" fontId="11" fillId="19" borderId="0" xfId="0" quotePrefix="1" applyFont="1" applyFill="1" applyBorder="1" applyAlignment="1" applyProtection="1">
      <alignment horizontal="center" vertical="center"/>
    </xf>
    <xf numFmtId="0" fontId="102" fillId="19" borderId="0" xfId="0" quotePrefix="1" applyFont="1" applyFill="1" applyBorder="1" applyAlignment="1" applyProtection="1">
      <alignment horizontal="center" vertical="center"/>
    </xf>
    <xf numFmtId="0" fontId="102" fillId="19" borderId="0" xfId="0" applyFont="1" applyFill="1" applyBorder="1" applyAlignment="1" applyProtection="1">
      <alignment horizontal="center" vertical="center"/>
    </xf>
    <xf numFmtId="2" fontId="24" fillId="19" borderId="0" xfId="0" applyNumberFormat="1" applyFont="1" applyFill="1" applyBorder="1" applyAlignment="1" applyProtection="1">
      <alignment horizontal="center" vertical="center"/>
      <protection hidden="1"/>
    </xf>
    <xf numFmtId="176" fontId="11" fillId="3" borderId="145" xfId="0" applyNumberFormat="1" applyFont="1" applyFill="1" applyBorder="1" applyAlignment="1" applyProtection="1">
      <alignment horizontal="left"/>
      <protection locked="0"/>
    </xf>
    <xf numFmtId="0" fontId="24" fillId="19" borderId="0" xfId="0" applyFont="1" applyFill="1" applyBorder="1" applyAlignment="1" applyProtection="1">
      <alignment horizontal="center" vertical="center"/>
      <protection hidden="1"/>
    </xf>
    <xf numFmtId="1" fontId="69" fillId="13" borderId="57" xfId="0" applyNumberFormat="1" applyFont="1" applyFill="1" applyBorder="1" applyAlignment="1" applyProtection="1">
      <alignment horizontal="center" vertical="center"/>
    </xf>
    <xf numFmtId="1" fontId="69" fillId="13" borderId="58" xfId="0" applyNumberFormat="1" applyFont="1" applyFill="1" applyBorder="1" applyAlignment="1" applyProtection="1">
      <alignment horizontal="center" vertical="center"/>
    </xf>
    <xf numFmtId="1" fontId="69" fillId="13" borderId="59" xfId="0" applyNumberFormat="1" applyFont="1" applyFill="1" applyBorder="1" applyAlignment="1" applyProtection="1">
      <alignment horizontal="center" vertical="center"/>
    </xf>
    <xf numFmtId="0" fontId="53" fillId="13" borderId="0" xfId="0" applyFont="1" applyFill="1" applyBorder="1" applyAlignment="1" applyProtection="1">
      <alignment horizontal="center" vertical="center"/>
    </xf>
    <xf numFmtId="0" fontId="57" fillId="13" borderId="0" xfId="0" applyFont="1" applyFill="1" applyBorder="1" applyAlignment="1" applyProtection="1">
      <alignment horizontal="left" vertical="top" wrapText="1"/>
    </xf>
    <xf numFmtId="0" fontId="53" fillId="13" borderId="0" xfId="0" applyFont="1" applyFill="1" applyBorder="1" applyAlignment="1" applyProtection="1">
      <alignment horizontal="left" vertical="top" wrapText="1"/>
    </xf>
    <xf numFmtId="176" fontId="11" fillId="3" borderId="146" xfId="0" applyNumberFormat="1" applyFont="1" applyFill="1" applyBorder="1" applyAlignment="1" applyProtection="1">
      <alignment horizontal="left"/>
      <protection locked="0"/>
    </xf>
    <xf numFmtId="176" fontId="11" fillId="3" borderId="147" xfId="0" applyNumberFormat="1" applyFont="1" applyFill="1" applyBorder="1" applyAlignment="1" applyProtection="1">
      <alignment horizontal="left"/>
      <protection locked="0"/>
    </xf>
    <xf numFmtId="0" fontId="20" fillId="19" borderId="0" xfId="0" applyFont="1" applyFill="1" applyBorder="1" applyAlignment="1" applyProtection="1">
      <alignment horizontal="center"/>
      <protection hidden="1"/>
    </xf>
    <xf numFmtId="0" fontId="11" fillId="19" borderId="0" xfId="0" applyFont="1" applyFill="1" applyBorder="1" applyAlignment="1" applyProtection="1">
      <alignment horizontal="center"/>
    </xf>
    <xf numFmtId="0" fontId="14" fillId="25" borderId="141" xfId="0" applyFont="1" applyFill="1" applyBorder="1" applyAlignment="1" applyProtection="1">
      <alignment horizontal="center" vertical="center" wrapText="1"/>
    </xf>
    <xf numFmtId="0" fontId="14" fillId="25" borderId="142" xfId="0" applyFont="1" applyFill="1" applyBorder="1" applyAlignment="1" applyProtection="1">
      <alignment horizontal="center" vertical="center" wrapText="1"/>
    </xf>
    <xf numFmtId="0" fontId="14" fillId="25" borderId="143" xfId="0" applyFont="1" applyFill="1" applyBorder="1" applyAlignment="1" applyProtection="1">
      <alignment horizontal="center" vertical="center" wrapText="1"/>
    </xf>
    <xf numFmtId="0" fontId="11" fillId="19" borderId="0" xfId="0" applyFont="1" applyFill="1" applyBorder="1" applyAlignment="1" applyProtection="1"/>
    <xf numFmtId="0" fontId="11" fillId="19" borderId="0" xfId="0" applyFont="1" applyFill="1" applyBorder="1" applyAlignment="1" applyProtection="1">
      <alignment horizontal="center" wrapText="1"/>
    </xf>
    <xf numFmtId="0" fontId="16" fillId="19" borderId="134" xfId="0" applyFont="1" applyFill="1" applyBorder="1" applyAlignment="1" applyProtection="1">
      <alignment horizontal="center"/>
      <protection hidden="1"/>
    </xf>
    <xf numFmtId="0" fontId="16" fillId="19" borderId="145" xfId="0" applyFont="1" applyFill="1" applyBorder="1" applyAlignment="1" applyProtection="1">
      <alignment horizontal="center"/>
      <protection hidden="1"/>
    </xf>
    <xf numFmtId="0" fontId="45" fillId="19" borderId="134" xfId="0" applyFont="1" applyFill="1" applyBorder="1" applyAlignment="1" applyProtection="1">
      <alignment horizontal="center"/>
      <protection hidden="1"/>
    </xf>
    <xf numFmtId="0" fontId="45" fillId="19" borderId="145" xfId="0" applyFont="1" applyFill="1" applyBorder="1" applyAlignment="1" applyProtection="1">
      <alignment horizontal="center"/>
      <protection hidden="1"/>
    </xf>
    <xf numFmtId="0" fontId="16" fillId="19" borderId="134" xfId="0" applyFont="1" applyFill="1" applyBorder="1" applyAlignment="1" applyProtection="1">
      <alignment horizontal="left"/>
    </xf>
    <xf numFmtId="0" fontId="16" fillId="19" borderId="144" xfId="0" applyFont="1" applyFill="1" applyBorder="1" applyAlignment="1" applyProtection="1">
      <alignment horizontal="left"/>
    </xf>
    <xf numFmtId="0" fontId="16" fillId="19" borderId="145" xfId="0" applyFont="1" applyFill="1" applyBorder="1" applyAlignment="1" applyProtection="1">
      <alignment horizontal="left"/>
    </xf>
    <xf numFmtId="4" fontId="66" fillId="13" borderId="0" xfId="0" applyNumberFormat="1" applyFont="1" applyFill="1" applyBorder="1" applyAlignment="1" applyProtection="1">
      <alignment horizontal="center" vertical="center"/>
      <protection hidden="1"/>
    </xf>
    <xf numFmtId="0" fontId="62" fillId="13" borderId="0" xfId="0" applyFont="1" applyFill="1" applyBorder="1" applyAlignment="1" applyProtection="1">
      <alignment vertical="center"/>
      <protection hidden="1"/>
    </xf>
    <xf numFmtId="0" fontId="62" fillId="13" borderId="0" xfId="0" applyFont="1" applyFill="1" applyBorder="1" applyAlignment="1" applyProtection="1">
      <alignment horizontal="right" vertical="center"/>
    </xf>
    <xf numFmtId="0" fontId="63" fillId="13" borderId="116" xfId="0" applyFont="1" applyFill="1" applyBorder="1" applyAlignment="1" applyProtection="1">
      <alignment horizontal="center"/>
      <protection hidden="1"/>
    </xf>
    <xf numFmtId="0" fontId="63" fillId="13" borderId="118" xfId="0" applyFont="1" applyFill="1" applyBorder="1" applyAlignment="1" applyProtection="1">
      <alignment horizontal="center"/>
      <protection hidden="1"/>
    </xf>
    <xf numFmtId="0" fontId="71" fillId="13" borderId="0" xfId="0" applyFont="1" applyFill="1" applyBorder="1" applyAlignment="1" applyProtection="1">
      <alignment horizontal="left" vertical="top"/>
    </xf>
    <xf numFmtId="0" fontId="71" fillId="13" borderId="112" xfId="0" applyFont="1" applyFill="1" applyBorder="1" applyAlignment="1" applyProtection="1">
      <alignment horizontal="left" vertical="top"/>
    </xf>
    <xf numFmtId="0" fontId="108" fillId="13" borderId="0" xfId="0" applyFont="1" applyFill="1" applyBorder="1" applyAlignment="1" applyProtection="1">
      <alignment horizontal="center"/>
    </xf>
    <xf numFmtId="0" fontId="0" fillId="21" borderId="9" xfId="0" applyFill="1" applyBorder="1" applyAlignment="1" applyProtection="1">
      <alignment horizontal="left" vertical="center" wrapText="1"/>
      <protection locked="0"/>
    </xf>
    <xf numFmtId="0" fontId="0" fillId="21" borderId="62" xfId="0" applyFill="1" applyBorder="1" applyAlignment="1" applyProtection="1">
      <alignment horizontal="left" vertical="center" wrapText="1"/>
      <protection locked="0"/>
    </xf>
    <xf numFmtId="0" fontId="11" fillId="21" borderId="4" xfId="0" applyFont="1" applyFill="1" applyBorder="1" applyAlignment="1" applyProtection="1">
      <alignment horizontal="left" vertical="center" wrapText="1"/>
      <protection locked="0"/>
    </xf>
    <xf numFmtId="0" fontId="11" fillId="21" borderId="10" xfId="0" applyFont="1" applyFill="1" applyBorder="1" applyAlignment="1" applyProtection="1">
      <alignment horizontal="left" vertical="center" wrapText="1"/>
      <protection locked="0"/>
    </xf>
    <xf numFmtId="0" fontId="11" fillId="21" borderId="65" xfId="0" applyFont="1" applyFill="1" applyBorder="1" applyAlignment="1" applyProtection="1">
      <alignment horizontal="left" vertical="center" wrapText="1"/>
      <protection locked="0"/>
    </xf>
    <xf numFmtId="0" fontId="59" fillId="21" borderId="0" xfId="0" applyFont="1" applyFill="1" applyBorder="1" applyAlignment="1">
      <alignment horizontal="center" vertical="center"/>
    </xf>
    <xf numFmtId="0" fontId="16" fillId="13" borderId="66" xfId="0" applyFont="1" applyFill="1" applyBorder="1" applyAlignment="1">
      <alignment horizontal="center" vertical="center"/>
    </xf>
    <xf numFmtId="0" fontId="16" fillId="13" borderId="67" xfId="0" applyFont="1" applyFill="1" applyBorder="1" applyAlignment="1">
      <alignment horizontal="center" vertical="center"/>
    </xf>
    <xf numFmtId="0" fontId="59" fillId="21" borderId="68" xfId="0" applyFont="1" applyFill="1" applyBorder="1" applyAlignment="1" applyProtection="1">
      <alignment horizontal="left" vertical="top" wrapText="1"/>
      <protection locked="0"/>
    </xf>
    <xf numFmtId="0" fontId="59" fillId="21" borderId="60" xfId="0" applyFont="1" applyFill="1" applyBorder="1" applyAlignment="1" applyProtection="1">
      <alignment horizontal="left" vertical="top" wrapText="1"/>
      <protection locked="0"/>
    </xf>
    <xf numFmtId="0" fontId="59" fillId="21" borderId="61" xfId="0" applyFont="1" applyFill="1" applyBorder="1" applyAlignment="1" applyProtection="1">
      <alignment horizontal="left" vertical="top" wrapText="1"/>
      <protection locked="0"/>
    </xf>
    <xf numFmtId="0" fontId="0" fillId="21" borderId="63" xfId="0" applyFill="1" applyBorder="1" applyAlignment="1" applyProtection="1">
      <alignment horizontal="left" vertical="center" wrapText="1"/>
      <protection locked="0"/>
    </xf>
    <xf numFmtId="0" fontId="0" fillId="21" borderId="64" xfId="0" applyFill="1" applyBorder="1" applyAlignment="1" applyProtection="1">
      <alignment horizontal="left" vertical="center" wrapText="1"/>
      <protection locked="0"/>
    </xf>
    <xf numFmtId="0" fontId="11" fillId="21" borderId="9" xfId="0" applyFont="1" applyFill="1" applyBorder="1" applyAlignment="1" applyProtection="1">
      <alignment horizontal="left" vertical="center" wrapText="1"/>
      <protection locked="0"/>
    </xf>
    <xf numFmtId="0" fontId="14" fillId="25" borderId="39" xfId="0" applyFont="1" applyFill="1" applyBorder="1" applyAlignment="1" applyProtection="1">
      <alignment horizontal="center" vertical="center" wrapText="1"/>
    </xf>
    <xf numFmtId="0" fontId="14" fillId="25" borderId="60" xfId="0" applyFont="1" applyFill="1" applyBorder="1" applyAlignment="1" applyProtection="1">
      <alignment horizontal="center" vertical="center" wrapText="1"/>
    </xf>
    <xf numFmtId="0" fontId="14" fillId="25" borderId="61" xfId="0" applyFont="1" applyFill="1" applyBorder="1" applyAlignment="1" applyProtection="1">
      <alignment horizontal="center" vertical="center" wrapText="1"/>
    </xf>
    <xf numFmtId="0" fontId="82" fillId="25" borderId="148" xfId="0" applyFont="1" applyFill="1" applyBorder="1" applyAlignment="1" applyProtection="1">
      <alignment horizontal="center" vertical="top" wrapText="1"/>
    </xf>
    <xf numFmtId="0" fontId="82" fillId="25" borderId="138" xfId="0" applyFont="1" applyFill="1" applyBorder="1" applyAlignment="1" applyProtection="1">
      <alignment horizontal="center" vertical="top" wrapText="1"/>
    </xf>
    <xf numFmtId="0" fontId="82" fillId="25" borderId="149" xfId="0" applyFont="1" applyFill="1" applyBorder="1" applyAlignment="1" applyProtection="1">
      <alignment horizontal="center" vertical="top" wrapText="1"/>
    </xf>
    <xf numFmtId="0" fontId="82" fillId="25" borderId="128" xfId="0" applyFont="1" applyFill="1" applyBorder="1" applyAlignment="1" applyProtection="1">
      <alignment horizontal="center" vertical="top" wrapText="1"/>
    </xf>
    <xf numFmtId="0" fontId="82" fillId="25" borderId="0" xfId="0" applyFont="1" applyFill="1" applyBorder="1" applyAlignment="1" applyProtection="1">
      <alignment horizontal="center" vertical="top" wrapText="1"/>
    </xf>
    <xf numFmtId="0" fontId="82" fillId="25" borderId="150" xfId="0" applyFont="1" applyFill="1" applyBorder="1" applyAlignment="1" applyProtection="1">
      <alignment horizontal="center" vertical="top" wrapText="1"/>
    </xf>
    <xf numFmtId="0" fontId="102" fillId="13" borderId="151" xfId="0" applyFont="1" applyFill="1" applyBorder="1" applyAlignment="1" applyProtection="1">
      <alignment horizontal="center" vertical="center" wrapText="1"/>
    </xf>
    <xf numFmtId="0" fontId="102" fillId="13" borderId="121" xfId="0" applyFont="1" applyFill="1" applyBorder="1" applyAlignment="1">
      <alignment horizontal="center" vertical="center" wrapText="1"/>
    </xf>
    <xf numFmtId="0" fontId="102" fillId="13" borderId="6" xfId="0" applyFont="1" applyFill="1" applyBorder="1" applyAlignment="1" applyProtection="1">
      <alignment horizontal="center" vertical="center" wrapText="1"/>
    </xf>
    <xf numFmtId="0" fontId="102" fillId="13" borderId="6" xfId="0" applyFont="1" applyFill="1" applyBorder="1" applyAlignment="1">
      <alignment horizontal="center" vertical="center" wrapText="1"/>
    </xf>
    <xf numFmtId="0" fontId="102" fillId="13" borderId="8" xfId="0" applyFont="1" applyFill="1" applyBorder="1" applyAlignment="1" applyProtection="1">
      <alignment horizontal="center" vertical="center" wrapText="1"/>
    </xf>
    <xf numFmtId="0" fontId="102" fillId="13" borderId="120" xfId="4" applyFont="1" applyFill="1" applyBorder="1" applyAlignment="1" applyProtection="1">
      <alignment horizontal="center" vertical="center" wrapText="1"/>
    </xf>
    <xf numFmtId="0" fontId="102" fillId="13" borderId="152" xfId="0" applyFont="1" applyFill="1" applyBorder="1" applyAlignment="1" applyProtection="1">
      <alignment horizontal="left" vertical="center"/>
    </xf>
    <xf numFmtId="0" fontId="102" fillId="13" borderId="69" xfId="0" applyFont="1" applyFill="1" applyBorder="1" applyAlignment="1" applyProtection="1">
      <alignment horizontal="left" vertical="center"/>
    </xf>
    <xf numFmtId="0" fontId="16" fillId="13" borderId="153" xfId="0" applyFont="1" applyFill="1" applyBorder="1" applyAlignment="1" applyProtection="1">
      <alignment horizontal="left" vertical="center"/>
    </xf>
    <xf numFmtId="0" fontId="16" fillId="13" borderId="154" xfId="0" applyFont="1" applyFill="1" applyBorder="1" applyAlignment="1" applyProtection="1">
      <alignment horizontal="left" vertical="center"/>
    </xf>
    <xf numFmtId="0" fontId="14" fillId="25" borderId="155" xfId="0" applyFont="1" applyFill="1" applyBorder="1" applyAlignment="1" applyProtection="1">
      <alignment horizontal="center" vertical="center" wrapText="1"/>
    </xf>
    <xf numFmtId="0" fontId="14" fillId="25" borderId="156" xfId="0" applyFont="1" applyFill="1" applyBorder="1" applyAlignment="1" applyProtection="1">
      <alignment horizontal="center" vertical="center" wrapText="1"/>
    </xf>
    <xf numFmtId="0" fontId="14" fillId="25" borderId="157" xfId="0" applyFont="1" applyFill="1" applyBorder="1" applyAlignment="1" applyProtection="1">
      <alignment horizontal="center" vertical="center" wrapText="1"/>
    </xf>
    <xf numFmtId="0" fontId="16" fillId="13" borderId="134" xfId="0" applyFont="1" applyFill="1" applyBorder="1" applyAlignment="1" applyProtection="1">
      <alignment horizontal="center" vertical="center"/>
      <protection hidden="1"/>
    </xf>
    <xf numFmtId="0" fontId="16" fillId="13" borderId="145" xfId="0" applyFont="1" applyFill="1" applyBorder="1" applyAlignment="1" applyProtection="1">
      <alignment horizontal="center" vertical="center"/>
      <protection hidden="1"/>
    </xf>
    <xf numFmtId="0" fontId="16" fillId="13" borderId="146" xfId="0" applyFont="1" applyFill="1" applyBorder="1" applyAlignment="1" applyProtection="1">
      <alignment horizontal="left" vertical="center"/>
    </xf>
    <xf numFmtId="0" fontId="16" fillId="13" borderId="110" xfId="0" applyFont="1" applyFill="1" applyBorder="1" applyAlignment="1" applyProtection="1">
      <alignment horizontal="left" vertical="center"/>
    </xf>
    <xf numFmtId="0" fontId="16" fillId="13" borderId="144" xfId="0" applyFont="1" applyFill="1" applyBorder="1" applyAlignment="1" applyProtection="1">
      <alignment horizontal="left" vertical="center"/>
    </xf>
    <xf numFmtId="0" fontId="16" fillId="13" borderId="145" xfId="0" applyFont="1" applyFill="1" applyBorder="1" applyAlignment="1" applyProtection="1">
      <alignment horizontal="left" vertical="center"/>
    </xf>
    <xf numFmtId="0" fontId="92" fillId="22" borderId="46" xfId="6" applyFont="1" applyFill="1" applyBorder="1" applyAlignment="1" applyProtection="1">
      <alignment horizontal="center" vertical="center" wrapText="1"/>
    </xf>
    <xf numFmtId="0" fontId="92" fillId="22" borderId="65" xfId="6" applyFont="1" applyFill="1" applyBorder="1" applyAlignment="1" applyProtection="1">
      <alignment horizontal="center" vertical="center" wrapText="1"/>
    </xf>
    <xf numFmtId="0" fontId="100" fillId="22" borderId="65" xfId="6" applyFill="1" applyBorder="1" applyAlignment="1" applyProtection="1">
      <alignment horizontal="center" vertical="center"/>
    </xf>
    <xf numFmtId="0" fontId="82" fillId="25" borderId="49" xfId="0" applyFont="1" applyFill="1" applyBorder="1" applyAlignment="1" applyProtection="1">
      <alignment horizontal="center" vertical="top" wrapText="1"/>
    </xf>
    <xf numFmtId="0" fontId="82" fillId="25" borderId="75" xfId="0" applyFont="1" applyFill="1" applyBorder="1" applyAlignment="1" applyProtection="1">
      <alignment horizontal="center" vertical="top" wrapText="1"/>
    </xf>
    <xf numFmtId="0" fontId="82" fillId="25" borderId="27" xfId="0" applyFont="1" applyFill="1" applyBorder="1" applyAlignment="1" applyProtection="1">
      <alignment horizontal="center" vertical="top" wrapText="1"/>
    </xf>
    <xf numFmtId="0" fontId="11" fillId="3" borderId="34" xfId="0" applyFont="1" applyFill="1" applyBorder="1" applyAlignment="1" applyProtection="1">
      <alignment horizontal="center" vertical="center" wrapText="1"/>
    </xf>
    <xf numFmtId="0" fontId="11" fillId="3" borderId="76" xfId="0" applyFont="1" applyFill="1" applyBorder="1" applyAlignment="1" applyProtection="1">
      <alignment horizontal="center" vertical="center" wrapText="1"/>
    </xf>
    <xf numFmtId="0" fontId="16" fillId="13" borderId="77" xfId="0" applyFont="1" applyFill="1" applyBorder="1" applyAlignment="1" applyProtection="1">
      <alignment horizontal="center" vertical="center" wrapText="1"/>
    </xf>
    <xf numFmtId="0" fontId="16" fillId="13" borderId="78" xfId="0" applyFont="1" applyFill="1" applyBorder="1" applyAlignment="1" applyProtection="1">
      <alignment horizontal="center" vertical="center" wrapText="1"/>
    </xf>
    <xf numFmtId="0" fontId="16" fillId="13" borderId="79" xfId="0" applyFont="1" applyFill="1" applyBorder="1" applyAlignment="1" applyProtection="1">
      <alignment horizontal="center" vertical="center" wrapText="1"/>
    </xf>
    <xf numFmtId="0" fontId="12" fillId="22" borderId="65" xfId="6" applyFont="1" applyFill="1" applyBorder="1" applyAlignment="1" applyProtection="1">
      <alignment horizontal="center" vertical="center" wrapText="1"/>
    </xf>
    <xf numFmtId="0" fontId="16" fillId="13" borderId="50" xfId="6" applyFont="1" applyFill="1" applyBorder="1" applyAlignment="1" applyProtection="1">
      <alignment horizontal="center" vertical="center" wrapText="1"/>
    </xf>
    <xf numFmtId="0" fontId="16" fillId="13" borderId="70" xfId="6" applyFont="1" applyFill="1" applyBorder="1" applyAlignment="1" applyProtection="1">
      <alignment horizontal="center" vertical="center" wrapText="1"/>
    </xf>
    <xf numFmtId="0" fontId="16" fillId="13" borderId="71" xfId="6" applyFont="1" applyFill="1" applyBorder="1" applyAlignment="1" applyProtection="1">
      <alignment horizontal="center" vertical="center" wrapText="1"/>
    </xf>
    <xf numFmtId="0" fontId="12" fillId="0" borderId="14" xfId="6" applyFont="1" applyFill="1" applyBorder="1" applyAlignment="1" applyProtection="1">
      <alignment horizontal="center" vertical="center" wrapText="1"/>
    </xf>
    <xf numFmtId="0" fontId="12" fillId="0" borderId="41" xfId="6" applyFont="1" applyFill="1" applyBorder="1" applyAlignment="1" applyProtection="1">
      <alignment horizontal="center" vertical="center" wrapText="1"/>
    </xf>
    <xf numFmtId="0" fontId="12" fillId="12" borderId="72" xfId="6" applyFont="1" applyFill="1" applyBorder="1" applyAlignment="1" applyProtection="1">
      <alignment horizontal="center" vertical="center" wrapText="1"/>
    </xf>
    <xf numFmtId="0" fontId="12" fillId="12" borderId="41" xfId="6" applyFont="1" applyFill="1" applyBorder="1" applyAlignment="1" applyProtection="1">
      <alignment horizontal="center" vertical="center" wrapText="1"/>
    </xf>
    <xf numFmtId="0" fontId="12" fillId="3" borderId="46" xfId="6" applyFont="1" applyFill="1" applyBorder="1" applyAlignment="1" applyProtection="1">
      <alignment horizontal="center" vertical="center" wrapText="1"/>
    </xf>
    <xf numFmtId="0" fontId="11" fillId="3" borderId="10" xfId="6" applyFont="1" applyFill="1" applyBorder="1" applyAlignment="1" applyProtection="1">
      <alignment horizontal="center" vertical="center" wrapText="1"/>
    </xf>
    <xf numFmtId="0" fontId="11" fillId="3" borderId="65" xfId="6" applyFont="1" applyFill="1" applyBorder="1" applyAlignment="1" applyProtection="1">
      <alignment horizontal="center" vertical="center" wrapText="1"/>
    </xf>
    <xf numFmtId="0" fontId="92" fillId="22" borderId="73" xfId="6" applyFont="1" applyFill="1" applyBorder="1" applyAlignment="1" applyProtection="1">
      <alignment horizontal="center" vertical="center" wrapText="1"/>
    </xf>
    <xf numFmtId="0" fontId="92" fillId="22" borderId="74" xfId="6" applyFont="1" applyFill="1" applyBorder="1" applyAlignment="1" applyProtection="1">
      <alignment horizontal="center" vertical="center" wrapText="1"/>
    </xf>
    <xf numFmtId="0" fontId="92" fillId="0" borderId="72" xfId="6" applyFont="1" applyBorder="1" applyAlignment="1" applyProtection="1">
      <alignment horizontal="center" vertical="center" wrapText="1"/>
    </xf>
    <xf numFmtId="0" fontId="92" fillId="0" borderId="41" xfId="6" applyFont="1" applyBorder="1" applyAlignment="1" applyProtection="1">
      <alignment horizontal="center" vertical="center" wrapText="1"/>
    </xf>
    <xf numFmtId="0" fontId="95" fillId="22" borderId="46" xfId="6" applyFont="1" applyFill="1" applyBorder="1" applyAlignment="1" applyProtection="1">
      <alignment horizontal="center" vertical="center" wrapText="1"/>
    </xf>
    <xf numFmtId="0" fontId="95" fillId="22" borderId="65" xfId="6" applyFont="1" applyFill="1" applyBorder="1" applyAlignment="1" applyProtection="1">
      <alignment horizontal="center" vertical="center" wrapText="1"/>
    </xf>
    <xf numFmtId="0" fontId="14" fillId="25" borderId="148" xfId="0" applyFont="1" applyFill="1" applyBorder="1" applyAlignment="1" applyProtection="1">
      <alignment horizontal="center" vertical="center" wrapText="1"/>
    </xf>
    <xf numFmtId="0" fontId="14" fillId="25" borderId="138" xfId="0" applyFont="1" applyFill="1" applyBorder="1" applyAlignment="1" applyProtection="1">
      <alignment horizontal="center" vertical="center" wrapText="1"/>
    </xf>
    <xf numFmtId="0" fontId="14" fillId="25" borderId="149" xfId="0" applyFont="1" applyFill="1" applyBorder="1" applyAlignment="1" applyProtection="1">
      <alignment horizontal="center" vertical="center" wrapText="1"/>
    </xf>
    <xf numFmtId="0" fontId="14" fillId="25" borderId="130" xfId="0" applyFont="1" applyFill="1" applyBorder="1" applyAlignment="1" applyProtection="1">
      <alignment horizontal="center" vertical="center" wrapText="1"/>
    </xf>
    <xf numFmtId="0" fontId="14" fillId="25" borderId="126" xfId="0" applyFont="1" applyFill="1" applyBorder="1" applyAlignment="1" applyProtection="1">
      <alignment horizontal="center" vertical="center" wrapText="1"/>
    </xf>
    <xf numFmtId="0" fontId="14" fillId="25" borderId="158" xfId="0" applyFont="1" applyFill="1" applyBorder="1" applyAlignment="1" applyProtection="1">
      <alignment horizontal="center" vertical="center" wrapText="1"/>
    </xf>
    <xf numFmtId="0" fontId="14" fillId="25" borderId="27" xfId="0" applyFont="1" applyFill="1" applyBorder="1" applyAlignment="1" applyProtection="1">
      <alignment horizontal="center" vertical="center" wrapText="1"/>
    </xf>
    <xf numFmtId="0" fontId="14" fillId="25" borderId="0" xfId="0" applyFont="1" applyFill="1" applyBorder="1" applyAlignment="1" applyProtection="1">
      <alignment horizontal="center" vertical="center" wrapText="1"/>
    </xf>
    <xf numFmtId="0" fontId="14" fillId="25" borderId="23" xfId="0" applyFont="1" applyFill="1" applyBorder="1" applyAlignment="1" applyProtection="1">
      <alignment horizontal="center" vertical="center" wrapText="1"/>
    </xf>
    <xf numFmtId="0" fontId="16" fillId="0" borderId="39" xfId="0" applyFont="1" applyBorder="1" applyAlignment="1">
      <alignment horizontal="center" wrapText="1"/>
    </xf>
    <xf numFmtId="0" fontId="16" fillId="0" borderId="60" xfId="0" applyFont="1" applyBorder="1" applyAlignment="1">
      <alignment horizontal="center" wrapText="1"/>
    </xf>
    <xf numFmtId="0" fontId="16" fillId="0" borderId="61" xfId="0" applyFont="1" applyBorder="1" applyAlignment="1">
      <alignment horizontal="center" wrapText="1"/>
    </xf>
    <xf numFmtId="0" fontId="11" fillId="3" borderId="39" xfId="0" quotePrefix="1" applyFont="1" applyFill="1" applyBorder="1" applyAlignment="1">
      <alignment horizontal="left" vertical="center" wrapText="1"/>
    </xf>
    <xf numFmtId="0" fontId="11" fillId="3" borderId="60" xfId="0" quotePrefix="1" applyFont="1" applyFill="1" applyBorder="1" applyAlignment="1">
      <alignment horizontal="left" vertical="center" wrapText="1"/>
    </xf>
    <xf numFmtId="0" fontId="11" fillId="3" borderId="61" xfId="0" quotePrefix="1" applyFont="1" applyFill="1" applyBorder="1" applyAlignment="1">
      <alignment horizontal="left" vertical="center" wrapText="1"/>
    </xf>
    <xf numFmtId="0" fontId="11" fillId="3" borderId="39" xfId="0" applyFont="1" applyFill="1" applyBorder="1" applyAlignment="1">
      <alignment horizontal="left" vertical="center" wrapText="1"/>
    </xf>
    <xf numFmtId="0" fontId="11" fillId="3" borderId="60" xfId="0" applyFont="1" applyFill="1" applyBorder="1" applyAlignment="1">
      <alignment horizontal="left" vertical="center"/>
    </xf>
    <xf numFmtId="0" fontId="11" fillId="3" borderId="61" xfId="0" applyFont="1" applyFill="1" applyBorder="1" applyAlignment="1">
      <alignment horizontal="left" vertical="center"/>
    </xf>
    <xf numFmtId="0" fontId="11" fillId="0" borderId="39" xfId="0" applyFont="1" applyFill="1" applyBorder="1" applyAlignment="1">
      <alignment horizontal="left" vertical="center" wrapText="1"/>
    </xf>
    <xf numFmtId="0" fontId="11" fillId="0" borderId="60" xfId="0" applyFont="1" applyFill="1" applyBorder="1" applyAlignment="1">
      <alignment horizontal="left" vertical="center" wrapText="1"/>
    </xf>
    <xf numFmtId="0" fontId="11" fillId="0" borderId="61" xfId="0" applyFont="1" applyFill="1" applyBorder="1" applyAlignment="1">
      <alignment horizontal="left" vertical="center" wrapText="1"/>
    </xf>
    <xf numFmtId="0" fontId="11" fillId="3" borderId="60" xfId="0" applyFont="1" applyFill="1" applyBorder="1" applyAlignment="1">
      <alignment horizontal="left" vertical="center" wrapText="1"/>
    </xf>
    <xf numFmtId="0" fontId="11" fillId="3" borderId="61" xfId="0" applyFont="1" applyFill="1" applyBorder="1" applyAlignment="1">
      <alignment horizontal="left" vertical="center" wrapText="1"/>
    </xf>
    <xf numFmtId="0" fontId="11" fillId="0" borderId="39" xfId="0" quotePrefix="1" applyFont="1" applyBorder="1" applyAlignment="1">
      <alignment horizontal="left" vertical="center" wrapText="1"/>
    </xf>
    <xf numFmtId="0" fontId="11" fillId="0" borderId="60" xfId="0" quotePrefix="1" applyFont="1" applyBorder="1" applyAlignment="1">
      <alignment horizontal="left" vertical="center" wrapText="1"/>
    </xf>
    <xf numFmtId="0" fontId="11" fillId="0" borderId="61" xfId="0" quotePrefix="1" applyFont="1" applyBorder="1" applyAlignment="1">
      <alignment horizontal="left" vertical="center" wrapText="1"/>
    </xf>
    <xf numFmtId="0" fontId="11" fillId="0" borderId="39" xfId="0" quotePrefix="1" applyFont="1" applyFill="1" applyBorder="1" applyAlignment="1">
      <alignment horizontal="left" vertical="center" wrapText="1"/>
    </xf>
    <xf numFmtId="0" fontId="11" fillId="0" borderId="60" xfId="0" quotePrefix="1" applyFont="1" applyFill="1" applyBorder="1" applyAlignment="1">
      <alignment horizontal="left" vertical="center" wrapText="1"/>
    </xf>
    <xf numFmtId="0" fontId="11" fillId="0" borderId="61" xfId="0" quotePrefix="1" applyFont="1" applyFill="1" applyBorder="1" applyAlignment="1">
      <alignment horizontal="left" vertical="center" wrapText="1"/>
    </xf>
    <xf numFmtId="0" fontId="11" fillId="0" borderId="60" xfId="0" applyFont="1" applyBorder="1" applyAlignment="1">
      <alignment horizontal="left" vertical="center" wrapText="1"/>
    </xf>
    <xf numFmtId="0" fontId="11" fillId="0" borderId="61" xfId="0" applyFont="1" applyBorder="1" applyAlignment="1">
      <alignment horizontal="left" vertical="center" wrapText="1"/>
    </xf>
    <xf numFmtId="0" fontId="11" fillId="0" borderId="39" xfId="0" applyFont="1" applyBorder="1" applyAlignment="1">
      <alignment horizontal="left" vertical="center" wrapText="1"/>
    </xf>
    <xf numFmtId="0" fontId="11" fillId="3" borderId="0" xfId="0" applyFont="1" applyFill="1" applyBorder="1" applyAlignment="1">
      <alignment horizontal="center" vertical="center"/>
    </xf>
    <xf numFmtId="0" fontId="16" fillId="0" borderId="18" xfId="0" applyFont="1" applyBorder="1" applyAlignment="1" applyProtection="1">
      <alignment horizontal="center" vertical="center"/>
      <protection hidden="1"/>
    </xf>
    <xf numFmtId="0" fontId="16" fillId="13" borderId="14" xfId="0" applyFont="1" applyFill="1" applyBorder="1" applyAlignment="1">
      <alignment horizontal="center" vertical="center" wrapText="1"/>
    </xf>
    <xf numFmtId="0" fontId="16" fillId="13" borderId="47" xfId="0" applyFont="1" applyFill="1" applyBorder="1" applyAlignment="1">
      <alignment horizontal="center" vertical="center" wrapText="1"/>
    </xf>
    <xf numFmtId="0" fontId="11" fillId="0" borderId="30" xfId="0" applyFont="1" applyFill="1" applyBorder="1" applyAlignment="1">
      <alignment horizontal="left" vertical="center" wrapText="1"/>
    </xf>
    <xf numFmtId="0" fontId="11" fillId="0" borderId="34" xfId="0" applyFont="1" applyFill="1" applyBorder="1" applyAlignment="1">
      <alignment horizontal="left" vertical="center" wrapText="1"/>
    </xf>
    <xf numFmtId="0" fontId="11" fillId="0" borderId="36" xfId="0" applyFont="1" applyFill="1" applyBorder="1" applyAlignment="1">
      <alignment horizontal="left" vertical="center" wrapText="1"/>
    </xf>
    <xf numFmtId="0" fontId="11" fillId="0" borderId="33" xfId="0" applyFont="1" applyFill="1" applyBorder="1" applyAlignment="1">
      <alignment horizontal="left" vertical="center" wrapText="1"/>
    </xf>
    <xf numFmtId="0" fontId="11" fillId="0" borderId="35" xfId="0" applyFont="1" applyFill="1" applyBorder="1" applyAlignment="1">
      <alignment horizontal="left" vertical="center" wrapText="1"/>
    </xf>
    <xf numFmtId="0" fontId="11" fillId="0" borderId="38" xfId="0" applyFont="1" applyFill="1" applyBorder="1" applyAlignment="1">
      <alignment horizontal="left" vertical="center" wrapText="1"/>
    </xf>
    <xf numFmtId="0" fontId="11" fillId="3" borderId="30" xfId="0" applyFont="1" applyFill="1" applyBorder="1" applyAlignment="1">
      <alignment horizontal="left" vertical="center" wrapText="1"/>
    </xf>
    <xf numFmtId="0" fontId="11" fillId="3" borderId="34" xfId="0" applyFont="1" applyFill="1" applyBorder="1" applyAlignment="1">
      <alignment horizontal="left" vertical="center" wrapText="1"/>
    </xf>
    <xf numFmtId="0" fontId="11" fillId="3" borderId="36" xfId="0" applyFont="1" applyFill="1" applyBorder="1" applyAlignment="1">
      <alignment horizontal="left" vertical="center" wrapText="1"/>
    </xf>
    <xf numFmtId="0" fontId="11" fillId="0" borderId="0" xfId="0" applyFont="1" applyBorder="1" applyAlignment="1" applyProtection="1">
      <alignment horizontal="center" vertical="center"/>
      <protection hidden="1"/>
    </xf>
    <xf numFmtId="0" fontId="16" fillId="13" borderId="40" xfId="0" applyFont="1" applyFill="1" applyBorder="1" applyAlignment="1">
      <alignment horizontal="center" vertical="center" wrapText="1"/>
    </xf>
    <xf numFmtId="0" fontId="16" fillId="3" borderId="46" xfId="0" applyFont="1" applyFill="1" applyBorder="1" applyAlignment="1" applyProtection="1">
      <alignment horizontal="center" vertical="center"/>
      <protection locked="0" hidden="1"/>
    </xf>
    <xf numFmtId="0" fontId="16" fillId="3" borderId="5" xfId="0" applyFont="1" applyFill="1" applyBorder="1" applyAlignment="1" applyProtection="1">
      <alignment horizontal="center" vertical="center"/>
      <protection locked="0" hidden="1"/>
    </xf>
    <xf numFmtId="0" fontId="91" fillId="3" borderId="39" xfId="0" applyFont="1" applyFill="1" applyBorder="1" applyAlignment="1">
      <alignment horizontal="center" vertical="center"/>
    </xf>
    <xf numFmtId="0" fontId="91" fillId="3" borderId="60" xfId="0" applyFont="1" applyFill="1" applyBorder="1" applyAlignment="1">
      <alignment horizontal="center" vertical="center"/>
    </xf>
    <xf numFmtId="0" fontId="91" fillId="3" borderId="61" xfId="0" applyFont="1" applyFill="1" applyBorder="1" applyAlignment="1">
      <alignment horizontal="center" vertical="center"/>
    </xf>
    <xf numFmtId="0" fontId="63" fillId="13" borderId="116" xfId="0" applyFont="1" applyFill="1" applyBorder="1" applyAlignment="1" applyProtection="1">
      <alignment horizontal="left" vertical="center"/>
    </xf>
    <xf numFmtId="0" fontId="63" fillId="13" borderId="117" xfId="0" applyFont="1" applyFill="1" applyBorder="1" applyAlignment="1" applyProtection="1">
      <alignment horizontal="left" vertical="center"/>
    </xf>
    <xf numFmtId="0" fontId="63" fillId="13" borderId="118" xfId="0" applyFont="1" applyFill="1" applyBorder="1" applyAlignment="1" applyProtection="1">
      <alignment horizontal="left" vertical="center"/>
    </xf>
    <xf numFmtId="0" fontId="63" fillId="13" borderId="159" xfId="0" applyFont="1" applyFill="1" applyBorder="1" applyAlignment="1" applyProtection="1">
      <alignment horizontal="center" vertical="center"/>
      <protection hidden="1"/>
    </xf>
    <xf numFmtId="0" fontId="63" fillId="13" borderId="160" xfId="0" applyFont="1" applyFill="1" applyBorder="1" applyAlignment="1" applyProtection="1">
      <alignment horizontal="center" vertical="center"/>
      <protection hidden="1"/>
    </xf>
    <xf numFmtId="0" fontId="28" fillId="0" borderId="101" xfId="0" applyFont="1" applyBorder="1" applyAlignment="1">
      <alignment horizontal="center" vertical="center"/>
    </xf>
    <xf numFmtId="0" fontId="28" fillId="0" borderId="102" xfId="0" applyFont="1" applyBorder="1" applyAlignment="1">
      <alignment horizontal="center" vertical="center"/>
    </xf>
    <xf numFmtId="0" fontId="28" fillId="0" borderId="103" xfId="0" applyFont="1" applyBorder="1" applyAlignment="1">
      <alignment horizontal="center" vertical="center"/>
    </xf>
    <xf numFmtId="0" fontId="10" fillId="0" borderId="97" xfId="0" applyFont="1" applyBorder="1" applyAlignment="1">
      <alignment horizontal="center" vertical="center" wrapText="1"/>
    </xf>
    <xf numFmtId="0" fontId="10" fillId="0" borderId="98" xfId="0" applyFont="1" applyBorder="1" applyAlignment="1">
      <alignment horizontal="center" vertical="center" wrapText="1"/>
    </xf>
    <xf numFmtId="0" fontId="10" fillId="0" borderId="104" xfId="0" applyFont="1" applyBorder="1" applyAlignment="1">
      <alignment horizontal="center" vertical="center" wrapText="1"/>
    </xf>
    <xf numFmtId="0" fontId="16" fillId="0" borderId="93" xfId="0" applyFont="1" applyBorder="1" applyAlignment="1">
      <alignment horizontal="center" vertical="center"/>
    </xf>
    <xf numFmtId="0" fontId="16" fillId="0" borderId="94" xfId="0" applyFont="1" applyBorder="1" applyAlignment="1">
      <alignment horizontal="center" vertical="center"/>
    </xf>
    <xf numFmtId="0" fontId="16" fillId="0" borderId="95" xfId="0" applyFont="1" applyBorder="1" applyAlignment="1">
      <alignment horizontal="center" vertical="center"/>
    </xf>
    <xf numFmtId="0" fontId="29" fillId="13" borderId="100" xfId="0" applyFont="1" applyFill="1" applyBorder="1" applyAlignment="1">
      <alignment horizontal="center" vertical="center"/>
    </xf>
    <xf numFmtId="0" fontId="29" fillId="13" borderId="98" xfId="0" applyFont="1" applyFill="1" applyBorder="1" applyAlignment="1">
      <alignment horizontal="center" vertical="center"/>
    </xf>
    <xf numFmtId="0" fontId="29" fillId="13" borderId="104" xfId="0" applyFont="1" applyFill="1" applyBorder="1" applyAlignment="1">
      <alignment horizontal="center" vertical="center"/>
    </xf>
    <xf numFmtId="0" fontId="16" fillId="0" borderId="105" xfId="0" applyFont="1" applyBorder="1" applyAlignment="1">
      <alignment horizontal="center" vertical="center"/>
    </xf>
    <xf numFmtId="0" fontId="10" fillId="0" borderId="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65" xfId="0" applyFont="1" applyBorder="1" applyAlignment="1">
      <alignment horizontal="center" vertical="center" wrapText="1"/>
    </xf>
    <xf numFmtId="0" fontId="10" fillId="15" borderId="92" xfId="0" applyFont="1" applyFill="1" applyBorder="1" applyAlignment="1">
      <alignment horizontal="center" vertical="center" wrapText="1"/>
    </xf>
    <xf numFmtId="0" fontId="10" fillId="15" borderId="10" xfId="0" applyFont="1" applyFill="1" applyBorder="1" applyAlignment="1">
      <alignment horizontal="center" vertical="center" wrapText="1"/>
    </xf>
    <xf numFmtId="0" fontId="10" fillId="15"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15" borderId="4" xfId="0" applyFont="1" applyFill="1" applyBorder="1" applyAlignment="1">
      <alignment horizontal="center" vertical="center" wrapText="1"/>
    </xf>
    <xf numFmtId="0" fontId="10" fillId="0" borderId="92" xfId="0" applyFont="1" applyBorder="1" applyAlignment="1">
      <alignment horizontal="center" vertical="center" wrapText="1"/>
    </xf>
    <xf numFmtId="0" fontId="10" fillId="0" borderId="5" xfId="0" applyFont="1" applyBorder="1" applyAlignment="1">
      <alignment horizontal="center" vertical="center" wrapText="1"/>
    </xf>
    <xf numFmtId="0" fontId="16" fillId="0" borderId="96" xfId="0" applyFont="1" applyBorder="1" applyAlignment="1">
      <alignment horizontal="center" vertical="center"/>
    </xf>
    <xf numFmtId="0" fontId="10" fillId="0" borderId="99" xfId="0" applyFont="1" applyBorder="1" applyAlignment="1">
      <alignment horizontal="center" vertical="center" wrapText="1"/>
    </xf>
    <xf numFmtId="0" fontId="10" fillId="0" borderId="100" xfId="0" applyFont="1" applyBorder="1" applyAlignment="1">
      <alignment horizontal="center" vertical="center" wrapText="1"/>
    </xf>
    <xf numFmtId="0" fontId="10" fillId="15" borderId="86" xfId="0" applyFont="1" applyFill="1" applyBorder="1" applyAlignment="1">
      <alignment horizontal="center" vertical="center" wrapText="1"/>
    </xf>
    <xf numFmtId="0" fontId="10" fillId="15" borderId="87" xfId="0" applyFont="1" applyFill="1" applyBorder="1" applyAlignment="1">
      <alignment horizontal="center" vertical="center" wrapText="1"/>
    </xf>
    <xf numFmtId="0" fontId="10" fillId="15" borderId="88" xfId="0" applyFont="1" applyFill="1" applyBorder="1" applyAlignment="1">
      <alignment horizontal="center" vertical="center" wrapText="1"/>
    </xf>
    <xf numFmtId="0" fontId="10" fillId="15" borderId="89" xfId="0" applyFont="1" applyFill="1" applyBorder="1" applyAlignment="1">
      <alignment horizontal="center" vertical="center" wrapText="1"/>
    </xf>
    <xf numFmtId="0" fontId="10" fillId="0" borderId="89" xfId="0" applyFont="1" applyBorder="1" applyAlignment="1">
      <alignment horizontal="center" vertical="center" wrapText="1"/>
    </xf>
    <xf numFmtId="0" fontId="10" fillId="0" borderId="87" xfId="0" applyFont="1" applyBorder="1" applyAlignment="1">
      <alignment horizontal="center" vertical="center" wrapText="1"/>
    </xf>
    <xf numFmtId="0" fontId="10" fillId="0" borderId="90" xfId="0" applyFont="1" applyBorder="1" applyAlignment="1">
      <alignment horizontal="center" vertical="center" wrapText="1"/>
    </xf>
    <xf numFmtId="0" fontId="59" fillId="3" borderId="39" xfId="0" applyFont="1" applyFill="1" applyBorder="1" applyAlignment="1">
      <alignment horizontal="center" vertical="center" wrapText="1"/>
    </xf>
    <xf numFmtId="0" fontId="59" fillId="3" borderId="60" xfId="0" applyFont="1" applyFill="1" applyBorder="1" applyAlignment="1">
      <alignment horizontal="center" vertical="center" wrapText="1"/>
    </xf>
    <xf numFmtId="0" fontId="59" fillId="3" borderId="61" xfId="0" applyFont="1" applyFill="1" applyBorder="1" applyAlignment="1">
      <alignment horizontal="center" vertical="center" wrapText="1"/>
    </xf>
    <xf numFmtId="0" fontId="31" fillId="0" borderId="91" xfId="0" applyFont="1" applyBorder="1" applyAlignment="1">
      <alignment horizontal="center" vertical="center"/>
    </xf>
    <xf numFmtId="0" fontId="31" fillId="0" borderId="78" xfId="0" applyFont="1" applyBorder="1" applyAlignment="1">
      <alignment horizontal="center" vertical="center"/>
    </xf>
    <xf numFmtId="0" fontId="31" fillId="0" borderId="79" xfId="0" applyFont="1" applyBorder="1" applyAlignment="1">
      <alignment horizontal="center" vertical="center"/>
    </xf>
    <xf numFmtId="0" fontId="11" fillId="3" borderId="82" xfId="0" applyFont="1" applyFill="1" applyBorder="1" applyAlignment="1">
      <alignment horizontal="left" vertical="top" wrapText="1"/>
    </xf>
    <xf numFmtId="0" fontId="11" fillId="3" borderId="70" xfId="0" applyFont="1" applyFill="1" applyBorder="1" applyAlignment="1">
      <alignment horizontal="left" vertical="top" wrapText="1"/>
    </xf>
    <xf numFmtId="0" fontId="11" fillId="3" borderId="83" xfId="0" applyFont="1" applyFill="1" applyBorder="1" applyAlignment="1">
      <alignment horizontal="left" vertical="top" wrapText="1"/>
    </xf>
    <xf numFmtId="0" fontId="16" fillId="13" borderId="39" xfId="0" applyFont="1" applyFill="1" applyBorder="1" applyAlignment="1">
      <alignment horizontal="center" vertical="center"/>
    </xf>
    <xf numFmtId="0" fontId="16" fillId="13" borderId="60" xfId="0" applyFont="1" applyFill="1" applyBorder="1" applyAlignment="1">
      <alignment horizontal="center" vertical="center"/>
    </xf>
    <xf numFmtId="0" fontId="16" fillId="13" borderId="61" xfId="0" applyFont="1" applyFill="1" applyBorder="1" applyAlignment="1">
      <alignment horizontal="center" vertical="center"/>
    </xf>
    <xf numFmtId="0" fontId="11" fillId="3" borderId="71" xfId="0" applyFont="1" applyFill="1" applyBorder="1" applyAlignment="1">
      <alignment horizontal="left" vertical="top" wrapText="1"/>
    </xf>
    <xf numFmtId="0" fontId="14" fillId="25" borderId="84" xfId="0" applyFont="1" applyFill="1" applyBorder="1" applyAlignment="1" applyProtection="1">
      <alignment horizontal="center" vertical="center" wrapText="1"/>
    </xf>
    <xf numFmtId="0" fontId="14" fillId="25" borderId="85" xfId="0" applyFont="1" applyFill="1" applyBorder="1" applyAlignment="1" applyProtection="1">
      <alignment horizontal="center" vertical="center" wrapText="1"/>
    </xf>
    <xf numFmtId="0" fontId="14" fillId="25" borderId="49" xfId="0" applyFont="1" applyFill="1" applyBorder="1" applyAlignment="1" applyProtection="1">
      <alignment horizontal="center" vertical="center" wrapText="1"/>
    </xf>
    <xf numFmtId="0" fontId="14" fillId="25" borderId="75" xfId="0" applyFont="1" applyFill="1" applyBorder="1" applyAlignment="1" applyProtection="1">
      <alignment horizontal="center" vertical="center" wrapText="1"/>
    </xf>
    <xf numFmtId="0" fontId="14" fillId="25" borderId="48" xfId="0" applyFont="1" applyFill="1" applyBorder="1" applyAlignment="1" applyProtection="1">
      <alignment horizontal="center" vertical="center" wrapText="1"/>
    </xf>
    <xf numFmtId="0" fontId="11" fillId="3" borderId="4" xfId="0" applyFont="1" applyFill="1" applyBorder="1" applyAlignment="1">
      <alignment horizontal="left" vertical="top" wrapText="1"/>
    </xf>
    <xf numFmtId="0" fontId="11" fillId="3" borderId="10" xfId="0" applyFont="1" applyFill="1" applyBorder="1" applyAlignment="1">
      <alignment horizontal="left" vertical="top" wrapText="1"/>
    </xf>
    <xf numFmtId="0" fontId="11" fillId="3" borderId="65" xfId="0" applyFont="1" applyFill="1" applyBorder="1" applyAlignment="1">
      <alignment horizontal="left" vertical="top" wrapText="1"/>
    </xf>
    <xf numFmtId="0" fontId="11" fillId="3" borderId="80" xfId="0" applyFont="1" applyFill="1" applyBorder="1" applyAlignment="1">
      <alignment horizontal="left" vertical="top" wrapText="1"/>
    </xf>
    <xf numFmtId="0" fontId="11" fillId="3" borderId="81" xfId="0" applyFont="1" applyFill="1" applyBorder="1" applyAlignment="1">
      <alignment horizontal="left" vertical="top" wrapText="1"/>
    </xf>
    <xf numFmtId="0" fontId="11" fillId="3" borderId="74"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0" borderId="80" xfId="0" applyFont="1" applyBorder="1" applyAlignment="1">
      <alignment horizontal="left" vertical="top" wrapText="1"/>
    </xf>
    <xf numFmtId="0" fontId="11" fillId="0" borderId="81" xfId="0" applyFont="1" applyBorder="1" applyAlignment="1">
      <alignment horizontal="left" vertical="top" wrapText="1"/>
    </xf>
    <xf numFmtId="0" fontId="11" fillId="0" borderId="74" xfId="0" applyFont="1" applyBorder="1" applyAlignment="1">
      <alignment horizontal="left" vertical="top" wrapText="1"/>
    </xf>
    <xf numFmtId="0" fontId="68" fillId="21" borderId="106" xfId="0" quotePrefix="1" applyFont="1" applyFill="1" applyBorder="1" applyAlignment="1">
      <alignment horizontal="center" vertical="center" wrapText="1"/>
    </xf>
    <xf numFmtId="0" fontId="68" fillId="21" borderId="18" xfId="0" quotePrefix="1" applyFont="1" applyFill="1" applyBorder="1" applyAlignment="1">
      <alignment horizontal="center" vertical="center" wrapText="1"/>
    </xf>
    <xf numFmtId="0" fontId="68" fillId="21" borderId="107" xfId="0" quotePrefix="1" applyFont="1" applyFill="1" applyBorder="1" applyAlignment="1">
      <alignment horizontal="center" vertical="center" wrapText="1"/>
    </xf>
    <xf numFmtId="0" fontId="11" fillId="21" borderId="4" xfId="0" quotePrefix="1" applyFont="1" applyFill="1" applyBorder="1" applyAlignment="1">
      <alignment horizontal="left" vertical="top" wrapText="1"/>
    </xf>
    <xf numFmtId="0" fontId="11" fillId="21" borderId="10" xfId="0" quotePrefix="1" applyFont="1" applyFill="1" applyBorder="1" applyAlignment="1">
      <alignment horizontal="left" vertical="top" wrapText="1"/>
    </xf>
    <xf numFmtId="0" fontId="11" fillId="21" borderId="65" xfId="0" quotePrefix="1" applyFont="1" applyFill="1" applyBorder="1" applyAlignment="1">
      <alignment horizontal="left" vertical="top" wrapText="1"/>
    </xf>
    <xf numFmtId="0" fontId="85" fillId="21" borderId="34" xfId="0" quotePrefix="1" applyFont="1" applyFill="1" applyBorder="1" applyAlignment="1">
      <alignment horizontal="left" vertical="top" wrapText="1"/>
    </xf>
    <xf numFmtId="0" fontId="85" fillId="21" borderId="36" xfId="0" quotePrefix="1" applyFont="1" applyFill="1" applyBorder="1" applyAlignment="1">
      <alignment horizontal="left" vertical="top" wrapText="1"/>
    </xf>
    <xf numFmtId="0" fontId="85" fillId="21" borderId="35" xfId="0" quotePrefix="1" applyFont="1" applyFill="1" applyBorder="1" applyAlignment="1">
      <alignment horizontal="left" vertical="top" wrapText="1"/>
    </xf>
    <xf numFmtId="0" fontId="85" fillId="21" borderId="38" xfId="0" quotePrefix="1" applyFont="1" applyFill="1" applyBorder="1" applyAlignment="1">
      <alignment horizontal="left" vertical="top" wrapText="1"/>
    </xf>
    <xf numFmtId="0" fontId="33" fillId="21" borderId="39" xfId="0" applyFont="1" applyFill="1" applyBorder="1" applyAlignment="1">
      <alignment horizontal="center" vertical="center" wrapText="1"/>
    </xf>
    <xf numFmtId="0" fontId="33" fillId="21" borderId="60" xfId="0" applyFont="1" applyFill="1" applyBorder="1" applyAlignment="1">
      <alignment horizontal="center" vertical="center" wrapText="1"/>
    </xf>
    <xf numFmtId="0" fontId="33" fillId="21" borderId="61" xfId="0" applyFont="1" applyFill="1" applyBorder="1" applyAlignment="1">
      <alignment horizontal="center" vertical="center" wrapText="1"/>
    </xf>
    <xf numFmtId="0" fontId="86" fillId="21" borderId="39" xfId="0" applyFont="1" applyFill="1" applyBorder="1" applyAlignment="1">
      <alignment horizontal="center" vertical="center" wrapText="1"/>
    </xf>
    <xf numFmtId="0" fontId="86" fillId="21" borderId="60" xfId="0" applyFont="1" applyFill="1" applyBorder="1" applyAlignment="1">
      <alignment horizontal="center" vertical="center" wrapText="1"/>
    </xf>
    <xf numFmtId="0" fontId="86" fillId="21" borderId="61" xfId="0" applyFont="1" applyFill="1" applyBorder="1" applyAlignment="1">
      <alignment horizontal="center" vertical="center" wrapText="1"/>
    </xf>
  </cellXfs>
  <cellStyles count="7">
    <cellStyle name="Comma" xfId="1" builtinId="3"/>
    <cellStyle name="Comma 2" xfId="2" xr:uid="{E153AC34-AF69-4B08-BAE4-72ED0F72B587}"/>
    <cellStyle name="Currency" xfId="3" builtinId="4"/>
    <cellStyle name="Hyperlink" xfId="4" builtinId="8"/>
    <cellStyle name="Normal" xfId="0" builtinId="0"/>
    <cellStyle name="Normal 2" xfId="5" xr:uid="{10C268C2-BEFE-4CC1-B91A-F5B37FEED24A}"/>
    <cellStyle name="Normal 3" xfId="6" xr:uid="{9E150BEF-19CE-480C-821A-B6BC82A683EC}"/>
  </cellStyles>
  <dxfs count="96">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ont>
        <b/>
        <i val="0"/>
        <condense val="0"/>
        <extend val="0"/>
        <color indexed="10"/>
      </font>
    </dxf>
    <dxf>
      <font>
        <color theme="0" tint="-0.34998626667073579"/>
      </font>
    </dxf>
    <dxf>
      <font>
        <color theme="0" tint="-0.34998626667073579"/>
      </font>
    </dxf>
    <dxf>
      <font>
        <b/>
        <i val="0"/>
        <condense val="0"/>
        <extend val="0"/>
        <color indexed="10"/>
      </font>
    </dxf>
    <dxf>
      <font>
        <b/>
        <i val="0"/>
        <condense val="0"/>
        <extend val="0"/>
        <color indexed="10"/>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lor rgb="FFFF0000"/>
      </font>
    </dxf>
    <dxf>
      <font>
        <color rgb="FFFFFF66"/>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4" tint="0.79998168889431442"/>
      </font>
      <fill>
        <patternFill>
          <bgColor theme="4" tint="0.79998168889431442"/>
        </patternFill>
      </fill>
      <border>
        <left/>
        <right/>
        <top style="thin">
          <color theme="3" tint="0.39994506668294322"/>
        </top>
        <bottom/>
      </border>
    </dxf>
    <dxf>
      <font>
        <color theme="4" tint="0.79998168889431442"/>
      </font>
      <fill>
        <patternFill>
          <bgColor theme="4" tint="0.79998168889431442"/>
        </patternFill>
      </fill>
      <border>
        <left/>
        <right/>
        <top/>
        <bottom/>
      </border>
    </dxf>
    <dxf>
      <font>
        <strike val="0"/>
        <color theme="4" tint="0.79995117038483843"/>
      </font>
      <fill>
        <patternFill>
          <bgColor theme="4" tint="0.79998168889431442"/>
        </patternFill>
      </fill>
      <border>
        <left/>
        <right/>
        <top style="thin">
          <color theme="3" tint="0.39994506668294322"/>
        </top>
        <bottom/>
      </border>
    </dxf>
    <dxf>
      <font>
        <color theme="4" tint="0.79998168889431442"/>
      </font>
      <fill>
        <patternFill>
          <bgColor theme="4" tint="0.79998168889431442"/>
        </patternFill>
      </fill>
      <border>
        <left/>
        <right/>
        <bottom/>
      </border>
    </dxf>
    <dxf>
      <font>
        <color theme="4" tint="0.79998168889431442"/>
        <name val="Cambria"/>
        <scheme val="none"/>
      </font>
      <fill>
        <patternFill>
          <bgColor theme="4" tint="0.79998168889431442"/>
        </patternFill>
      </fill>
      <border>
        <left/>
        <right/>
        <top/>
        <bottom/>
      </border>
    </dxf>
    <dxf>
      <font>
        <color theme="0" tint="-0.499984740745262"/>
      </font>
    </dxf>
    <dxf>
      <font>
        <color theme="4" tint="0.79998168889431442"/>
      </font>
      <fill>
        <patternFill>
          <bgColor theme="4" tint="0.79998168889431442"/>
        </patternFill>
      </fill>
    </dxf>
    <dxf>
      <font>
        <color theme="4" tint="0.79998168889431442"/>
        <name val="Cambria"/>
        <scheme val="none"/>
      </font>
      <fill>
        <patternFill>
          <bgColor theme="4" tint="0.79998168889431442"/>
        </patternFill>
      </fill>
    </dxf>
    <dxf>
      <font>
        <color theme="4" tint="0.79998168889431442"/>
      </font>
      <fill>
        <patternFill patternType="solid">
          <bgColor theme="4" tint="0.79995117038483843"/>
        </patternFill>
      </fill>
    </dxf>
    <dxf>
      <font>
        <condense val="0"/>
        <extend val="0"/>
        <color indexed="9"/>
      </font>
    </dxf>
    <dxf>
      <font>
        <color theme="7" tint="0.59996337778862885"/>
        <name val="Cambria"/>
        <scheme val="none"/>
      </font>
    </dxf>
    <dxf>
      <font>
        <condense val="0"/>
        <extend val="0"/>
        <color indexed="10"/>
      </font>
    </dxf>
    <dxf>
      <font>
        <b/>
        <i val="0"/>
        <condense val="0"/>
        <extend val="0"/>
      </font>
    </dxf>
    <dxf>
      <font>
        <condense val="0"/>
        <extend val="0"/>
        <color auto="1"/>
      </font>
    </dxf>
    <dxf>
      <font>
        <color theme="0"/>
      </font>
    </dxf>
    <dxf>
      <font>
        <color theme="0"/>
      </font>
    </dxf>
    <dxf>
      <font>
        <strike val="0"/>
        <color theme="0"/>
      </font>
    </dxf>
    <dxf>
      <font>
        <strike val="0"/>
        <color theme="0"/>
      </font>
    </dxf>
    <dxf>
      <font>
        <color theme="0"/>
      </font>
    </dxf>
    <dxf>
      <font>
        <strike val="0"/>
        <color theme="0"/>
      </font>
    </dxf>
    <dxf>
      <font>
        <condense val="0"/>
        <extend val="0"/>
        <color indexed="10"/>
      </font>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condense val="0"/>
        <extend val="0"/>
        <color auto="1"/>
      </font>
      <fill>
        <patternFill>
          <bgColor indexed="10"/>
        </patternFill>
      </fill>
    </dxf>
    <dxf>
      <font>
        <condense val="0"/>
        <extend val="0"/>
        <color indexed="9"/>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b/>
        <i val="0"/>
        <strike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7" tint="0.59996337778862885"/>
        <name val="Cambria"/>
        <scheme val="none"/>
      </font>
    </dxf>
    <dxf>
      <font>
        <condense val="0"/>
        <extend val="0"/>
        <color indexed="9"/>
      </font>
    </dxf>
    <dxf>
      <font>
        <condense val="0"/>
        <extend val="0"/>
        <color indexed="10"/>
      </font>
    </dxf>
    <dxf>
      <font>
        <condense val="0"/>
        <extend val="0"/>
        <color indexed="10"/>
      </font>
    </dxf>
    <dxf>
      <font>
        <color theme="7" tint="0.59996337778862885"/>
        <name val="Cambria"/>
        <scheme val="none"/>
      </font>
    </dxf>
    <dxf>
      <font>
        <condense val="0"/>
        <extend val="0"/>
        <color indexed="9"/>
      </font>
    </dxf>
    <dxf>
      <font>
        <condense val="0"/>
        <extend val="0"/>
        <color indexed="9"/>
      </font>
    </dxf>
    <dxf>
      <font>
        <condense val="0"/>
        <extend val="0"/>
        <color indexed="10"/>
      </font>
    </dxf>
    <dxf>
      <font>
        <color theme="4" tint="0.79998168889431442"/>
      </font>
    </dxf>
    <dxf>
      <font>
        <color theme="4" tint="0.79998168889431442"/>
      </font>
      <fill>
        <patternFill>
          <bgColor theme="4" tint="0.79998168889431442"/>
        </patternFill>
      </fill>
      <border>
        <left/>
        <right/>
        <top/>
        <bottom/>
      </border>
    </dxf>
    <dxf>
      <font>
        <color theme="4" tint="0.79998168889431442"/>
      </font>
    </dxf>
    <dxf>
      <font>
        <color theme="4" tint="0.79998168889431442"/>
      </font>
    </dxf>
    <dxf>
      <font>
        <color theme="4" tint="0.79998168889431442"/>
      </font>
    </dxf>
    <dxf>
      <font>
        <color theme="4" tint="0.79998168889431442"/>
      </font>
      <fill>
        <patternFill>
          <bgColor theme="4" tint="0.79998168889431442"/>
        </patternFill>
      </fill>
      <border>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Volume of NRW = 983 MG/Yr</c:v>
            </c:pt>
          </c:strCache>
        </c:strRef>
      </c:tx>
      <c:overlay val="1"/>
      <c:txPr>
        <a:bodyPr/>
        <a:lstStyle/>
        <a:p>
          <a:pPr>
            <a:defRPr sz="1200" b="0"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29996331783828228"/>
          <c:y val="8.9751571751205517E-2"/>
          <c:w val="0.6598760395914367"/>
          <c:h val="0.61196270920680373"/>
        </c:manualLayout>
      </c:layout>
      <c:barChart>
        <c:barDir val="col"/>
        <c:grouping val="clustered"/>
        <c:varyColors val="0"/>
        <c:ser>
          <c:idx val="0"/>
          <c:order val="0"/>
          <c:tx>
            <c:strRef>
              <c:f>Sheet1!$A$90</c:f>
              <c:strCache>
                <c:ptCount val="1"/>
                <c:pt idx="0">
                  <c:v>Unbilled metered (valued at Cust.Ret.Unit Cost)</c:v>
                </c:pt>
              </c:strCache>
            </c:strRef>
          </c:tx>
          <c:spPr>
            <a:effectLst/>
            <a:scene3d>
              <a:camera prst="orthographicFront"/>
              <a:lightRig rig="threePt" dir="t"/>
            </a:scene3d>
          </c:spPr>
          <c:invertIfNegative val="0"/>
          <c:val>
            <c:numRef>
              <c:f>Sheet1!$E$90</c:f>
              <c:numCache>
                <c:formatCode>0.0</c:formatCode>
                <c:ptCount val="1"/>
                <c:pt idx="0">
                  <c:v>53.983330000000002</c:v>
                </c:pt>
              </c:numCache>
            </c:numRef>
          </c:val>
          <c:extLst>
            <c:ext xmlns:c16="http://schemas.microsoft.com/office/drawing/2014/chart" uri="{C3380CC4-5D6E-409C-BE32-E72D297353CC}">
              <c16:uniqueId val="{00000000-2CB4-44D6-95EC-9C93F6D02022}"/>
            </c:ext>
          </c:extLst>
        </c:ser>
        <c:ser>
          <c:idx val="1"/>
          <c:order val="1"/>
          <c:tx>
            <c:strRef>
              <c:f>Sheet1!$A$91</c:f>
              <c:strCache>
                <c:ptCount val="1"/>
                <c:pt idx="0">
                  <c:v>Unbilled unmetered (valued at Cust.Ret.Unit Cost)</c:v>
                </c:pt>
              </c:strCache>
            </c:strRef>
          </c:tx>
          <c:spPr>
            <a:effectLst/>
          </c:spPr>
          <c:invertIfNegative val="0"/>
          <c:val>
            <c:numRef>
              <c:f>Sheet1!$E$91</c:f>
              <c:numCache>
                <c:formatCode>0.0</c:formatCode>
                <c:ptCount val="1"/>
                <c:pt idx="0">
                  <c:v>67.788391250000004</c:v>
                </c:pt>
              </c:numCache>
            </c:numRef>
          </c:val>
          <c:extLst>
            <c:ext xmlns:c16="http://schemas.microsoft.com/office/drawing/2014/chart" uri="{C3380CC4-5D6E-409C-BE32-E72D297353CC}">
              <c16:uniqueId val="{00000001-2CB4-44D6-95EC-9C93F6D02022}"/>
            </c:ext>
          </c:extLst>
        </c:ser>
        <c:ser>
          <c:idx val="2"/>
          <c:order val="2"/>
          <c:tx>
            <c:strRef>
              <c:f>Sheet1!$A$94</c:f>
              <c:strCache>
                <c:ptCount val="1"/>
                <c:pt idx="0">
                  <c:v>Unauth. consumption</c:v>
                </c:pt>
              </c:strCache>
            </c:strRef>
          </c:tx>
          <c:spPr>
            <a:effectLst/>
          </c:spPr>
          <c:invertIfNegative val="0"/>
          <c:val>
            <c:numRef>
              <c:f>Sheet1!$E$94</c:f>
              <c:numCache>
                <c:formatCode>0.0</c:formatCode>
                <c:ptCount val="1"/>
                <c:pt idx="0">
                  <c:v>13.557678249999999</c:v>
                </c:pt>
              </c:numCache>
            </c:numRef>
          </c:val>
          <c:extLst>
            <c:ext xmlns:c16="http://schemas.microsoft.com/office/drawing/2014/chart" uri="{C3380CC4-5D6E-409C-BE32-E72D297353CC}">
              <c16:uniqueId val="{00000002-2CB4-44D6-95EC-9C93F6D02022}"/>
            </c:ext>
          </c:extLst>
        </c:ser>
        <c:ser>
          <c:idx val="3"/>
          <c:order val="3"/>
          <c:tx>
            <c:strRef>
              <c:f>Sheet1!$A$95</c:f>
              <c:strCache>
                <c:ptCount val="1"/>
                <c:pt idx="0">
                  <c:v>Cust. metering inaccuracies</c:v>
                </c:pt>
              </c:strCache>
            </c:strRef>
          </c:tx>
          <c:spPr>
            <a:effectLst/>
          </c:spPr>
          <c:invertIfNegative val="0"/>
          <c:val>
            <c:numRef>
              <c:f>Sheet1!$E$95</c:f>
              <c:numCache>
                <c:formatCode>0.0</c:formatCode>
                <c:ptCount val="1"/>
                <c:pt idx="0">
                  <c:v>0</c:v>
                </c:pt>
              </c:numCache>
            </c:numRef>
          </c:val>
          <c:extLst>
            <c:ext xmlns:c16="http://schemas.microsoft.com/office/drawing/2014/chart" uri="{C3380CC4-5D6E-409C-BE32-E72D297353CC}">
              <c16:uniqueId val="{00000003-2CB4-44D6-95EC-9C93F6D02022}"/>
            </c:ext>
          </c:extLst>
        </c:ser>
        <c:ser>
          <c:idx val="4"/>
          <c:order val="4"/>
          <c:tx>
            <c:strRef>
              <c:f>Sheet1!$A$96</c:f>
              <c:strCache>
                <c:ptCount val="1"/>
                <c:pt idx="0">
                  <c:v>Syst. data handling errors</c:v>
                </c:pt>
              </c:strCache>
            </c:strRef>
          </c:tx>
          <c:spPr>
            <a:effectLst/>
          </c:spPr>
          <c:invertIfNegative val="0"/>
          <c:val>
            <c:numRef>
              <c:f>Sheet1!$E$96</c:f>
              <c:numCache>
                <c:formatCode>0.0</c:formatCode>
                <c:ptCount val="1"/>
                <c:pt idx="0">
                  <c:v>11.101367499999999</c:v>
                </c:pt>
              </c:numCache>
            </c:numRef>
          </c:val>
          <c:extLst>
            <c:ext xmlns:c16="http://schemas.microsoft.com/office/drawing/2014/chart" uri="{C3380CC4-5D6E-409C-BE32-E72D297353CC}">
              <c16:uniqueId val="{00000004-2CB4-44D6-95EC-9C93F6D02022}"/>
            </c:ext>
          </c:extLst>
        </c:ser>
        <c:ser>
          <c:idx val="5"/>
          <c:order val="5"/>
          <c:tx>
            <c:strRef>
              <c:f>Sheet1!$A$98</c:f>
              <c:strCache>
                <c:ptCount val="1"/>
                <c:pt idx="0">
                  <c:v>Real Losses (valued at Cust.Ret.Unit Cost)</c:v>
                </c:pt>
              </c:strCache>
            </c:strRef>
          </c:tx>
          <c:spPr>
            <a:solidFill>
              <a:srgbClr val="FF6600"/>
            </a:solidFill>
            <a:effectLst/>
          </c:spPr>
          <c:invertIfNegative val="0"/>
          <c:val>
            <c:numRef>
              <c:f>Sheet1!$E$98</c:f>
              <c:numCache>
                <c:formatCode>0.0</c:formatCode>
                <c:ptCount val="1"/>
                <c:pt idx="0">
                  <c:v>836.09353299999987</c:v>
                </c:pt>
              </c:numCache>
            </c:numRef>
          </c:val>
          <c:extLst>
            <c:ext xmlns:c16="http://schemas.microsoft.com/office/drawing/2014/chart" uri="{C3380CC4-5D6E-409C-BE32-E72D297353CC}">
              <c16:uniqueId val="{00000005-2CB4-44D6-95EC-9C93F6D02022}"/>
            </c:ext>
          </c:extLst>
        </c:ser>
        <c:dLbls>
          <c:showLegendKey val="0"/>
          <c:showVal val="0"/>
          <c:showCatName val="0"/>
          <c:showSerName val="0"/>
          <c:showPercent val="0"/>
          <c:showBubbleSize val="0"/>
        </c:dLbls>
        <c:gapWidth val="48"/>
        <c:axId val="162913135"/>
        <c:axId val="1"/>
      </c:barChart>
      <c:catAx>
        <c:axId val="162913135"/>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strRef>
              <c:f>Sheet1!$E$80</c:f>
              <c:strCache>
                <c:ptCount val="1"/>
                <c:pt idx="0">
                  <c:v>Volume (MG/Yr)</c:v>
                </c:pt>
              </c:strCache>
            </c:strRef>
          </c:tx>
          <c:layout>
            <c:manualLayout>
              <c:xMode val="edge"/>
              <c:yMode val="edge"/>
              <c:x val="4.0298335142124825E-3"/>
              <c:y val="0.26987937879606205"/>
            </c:manualLayout>
          </c:layout>
          <c:overlay val="0"/>
          <c:txPr>
            <a:bodyPr/>
            <a:lstStyle/>
            <a:p>
              <a:pPr>
                <a:defRPr sz="1200" b="0" i="0" u="none" strike="noStrike" baseline="0">
                  <a:solidFill>
                    <a:srgbClr val="000000"/>
                  </a:solidFill>
                  <a:latin typeface="Calibri"/>
                  <a:ea typeface="Calibri"/>
                  <a:cs typeface="Calibri"/>
                </a:defRPr>
              </a:pPr>
              <a:endParaRPr lang="en-US"/>
            </a:p>
          </c:txPr>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62913135"/>
        <c:crosses val="autoZero"/>
        <c:crossBetween val="between"/>
      </c:valAx>
      <c:spPr>
        <a:noFill/>
        <a:ln w="25400">
          <a:noFill/>
        </a:ln>
      </c:spPr>
    </c:plotArea>
    <c:legend>
      <c:legendPos val="r"/>
      <c:layout>
        <c:manualLayout>
          <c:xMode val="edge"/>
          <c:yMode val="edge"/>
          <c:wMode val="edge"/>
          <c:hMode val="edge"/>
          <c:x val="4.2735200621916401E-2"/>
          <c:y val="0.72897865203672652"/>
          <c:w val="0.94017102700872057"/>
          <c:h val="0.98520386215261002"/>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0.11982174103237095"/>
          <c:y val="2.7713207547169813E-2"/>
          <c:w val="0.74162346894138231"/>
          <c:h val="0.66726792452830186"/>
        </c:manualLayout>
      </c:layout>
      <c:barChart>
        <c:barDir val="col"/>
        <c:grouping val="percentStacked"/>
        <c:varyColors val="0"/>
        <c:ser>
          <c:idx val="1"/>
          <c:order val="0"/>
          <c:tx>
            <c:strRef>
              <c:f>'Water Balance'!$K$18</c:f>
              <c:strCache>
                <c:ptCount val="1"/>
                <c:pt idx="0">
                  <c:v>Water Losses</c:v>
                </c:pt>
              </c:strCache>
            </c:strRef>
          </c:tx>
          <c:spPr>
            <a:solidFill>
              <a:srgbClr val="FFC000"/>
            </a:solidFill>
          </c:spPr>
          <c:invertIfNegative val="0"/>
          <c:val>
            <c:numRef>
              <c:f>'Water Balance'!$N$18</c:f>
              <c:numCache>
                <c:formatCode>0</c:formatCode>
                <c:ptCount val="1"/>
                <c:pt idx="0">
                  <c:v>860.75257874999988</c:v>
                </c:pt>
              </c:numCache>
            </c:numRef>
          </c:val>
          <c:extLst>
            <c:ext xmlns:c16="http://schemas.microsoft.com/office/drawing/2014/chart" uri="{C3380CC4-5D6E-409C-BE32-E72D297353CC}">
              <c16:uniqueId val="{00000000-52F1-4344-9996-A6C59C5928F9}"/>
            </c:ext>
          </c:extLst>
        </c:ser>
        <c:ser>
          <c:idx val="0"/>
          <c:order val="1"/>
          <c:tx>
            <c:strRef>
              <c:f>'Water Balance'!$K$17</c:f>
              <c:strCache>
                <c:ptCount val="1"/>
                <c:pt idx="0">
                  <c:v>Authorized Consumption</c:v>
                </c:pt>
              </c:strCache>
            </c:strRef>
          </c:tx>
          <c:spPr>
            <a:solidFill>
              <a:schemeClr val="accent3">
                <a:lumMod val="60000"/>
                <a:lumOff val="40000"/>
              </a:schemeClr>
            </a:solidFill>
          </c:spPr>
          <c:invertIfNegative val="0"/>
          <c:val>
            <c:numRef>
              <c:f>'Water Balance'!$N$17</c:f>
              <c:numCache>
                <c:formatCode>0</c:formatCode>
                <c:ptCount val="1"/>
                <c:pt idx="0">
                  <c:v>4562.3187212499997</c:v>
                </c:pt>
              </c:numCache>
            </c:numRef>
          </c:val>
          <c:extLst>
            <c:ext xmlns:c16="http://schemas.microsoft.com/office/drawing/2014/chart" uri="{C3380CC4-5D6E-409C-BE32-E72D297353CC}">
              <c16:uniqueId val="{00000001-52F1-4344-9996-A6C59C5928F9}"/>
            </c:ext>
          </c:extLst>
        </c:ser>
        <c:ser>
          <c:idx val="2"/>
          <c:order val="2"/>
          <c:tx>
            <c:strRef>
              <c:f>'Water Balance'!$K$15</c:f>
              <c:strCache>
                <c:ptCount val="1"/>
                <c:pt idx="0">
                  <c:v>Water Exported</c:v>
                </c:pt>
              </c:strCache>
            </c:strRef>
          </c:tx>
          <c:spPr>
            <a:pattFill prst="dkDnDiag">
              <a:fgClr>
                <a:schemeClr val="bg1">
                  <a:lumMod val="85000"/>
                </a:schemeClr>
              </a:fgClr>
              <a:bgClr>
                <a:schemeClr val="bg1"/>
              </a:bgClr>
            </a:pattFill>
          </c:spPr>
          <c:invertIfNegative val="0"/>
          <c:val>
            <c:numRef>
              <c:f>'Water Balance'!$N$15</c:f>
              <c:numCache>
                <c:formatCode>0</c:formatCode>
                <c:ptCount val="1"/>
                <c:pt idx="0">
                  <c:v>54.335000000000001</c:v>
                </c:pt>
              </c:numCache>
            </c:numRef>
          </c:val>
          <c:extLst>
            <c:ext xmlns:c16="http://schemas.microsoft.com/office/drawing/2014/chart" uri="{C3380CC4-5D6E-409C-BE32-E72D297353CC}">
              <c16:uniqueId val="{00000002-52F1-4344-9996-A6C59C5928F9}"/>
            </c:ext>
          </c:extLst>
        </c:ser>
        <c:dLbls>
          <c:showLegendKey val="0"/>
          <c:showVal val="0"/>
          <c:showCatName val="0"/>
          <c:showSerName val="0"/>
          <c:showPercent val="0"/>
          <c:showBubbleSize val="0"/>
        </c:dLbls>
        <c:gapWidth val="10"/>
        <c:overlap val="100"/>
        <c:axId val="52032991"/>
        <c:axId val="1"/>
      </c:barChart>
      <c:catAx>
        <c:axId val="52032991"/>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52032991"/>
        <c:crosses val="autoZero"/>
        <c:crossBetween val="between"/>
      </c:valAx>
      <c:spPr>
        <a:noFill/>
        <a:ln w="25400">
          <a:noFill/>
        </a:ln>
      </c:spPr>
    </c:plotArea>
    <c:legend>
      <c:legendPos val="r"/>
      <c:layout>
        <c:manualLayout>
          <c:xMode val="edge"/>
          <c:yMode val="edge"/>
          <c:wMode val="edge"/>
          <c:hMode val="edge"/>
          <c:x val="5.7351519584642081E-2"/>
          <c:y val="0.70473437655736082"/>
          <c:w val="0.89676749422715607"/>
          <c:h val="0.90350566938626353"/>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010990813648294"/>
          <c:y val="2.7971079086812255E-2"/>
          <c:w val="0.76989009186351709"/>
          <c:h val="0.66675204278710432"/>
        </c:manualLayout>
      </c:layout>
      <c:barChart>
        <c:barDir val="col"/>
        <c:grouping val="percentStacked"/>
        <c:varyColors val="0"/>
        <c:ser>
          <c:idx val="0"/>
          <c:order val="0"/>
          <c:tx>
            <c:strRef>
              <c:f>'Water Balance'!$K$13</c:f>
              <c:strCache>
                <c:ptCount val="1"/>
                <c:pt idx="0">
                  <c:v>Volume From Own Sources</c:v>
                </c:pt>
              </c:strCache>
            </c:strRef>
          </c:tx>
          <c:invertIfNegative val="0"/>
          <c:dPt>
            <c:idx val="0"/>
            <c:invertIfNegative val="0"/>
            <c:bubble3D val="0"/>
            <c:spPr>
              <a:solidFill>
                <a:schemeClr val="tx2">
                  <a:lumMod val="60000"/>
                  <a:lumOff val="40000"/>
                </a:schemeClr>
              </a:solidFill>
            </c:spPr>
            <c:extLst>
              <c:ext xmlns:c16="http://schemas.microsoft.com/office/drawing/2014/chart" uri="{C3380CC4-5D6E-409C-BE32-E72D297353CC}">
                <c16:uniqueId val="{00000000-4870-48FC-808C-06E505CCF87E}"/>
              </c:ext>
            </c:extLst>
          </c:dPt>
          <c:val>
            <c:numRef>
              <c:f>'Water Balance'!$L$13</c:f>
              <c:numCache>
                <c:formatCode>0</c:formatCode>
                <c:ptCount val="1"/>
                <c:pt idx="0">
                  <c:v>5243.759</c:v>
                </c:pt>
              </c:numCache>
            </c:numRef>
          </c:val>
          <c:extLst>
            <c:ext xmlns:c16="http://schemas.microsoft.com/office/drawing/2014/chart" uri="{C3380CC4-5D6E-409C-BE32-E72D297353CC}">
              <c16:uniqueId val="{00000001-4870-48FC-808C-06E505CCF87E}"/>
            </c:ext>
          </c:extLst>
        </c:ser>
        <c:ser>
          <c:idx val="1"/>
          <c:order val="1"/>
          <c:tx>
            <c:strRef>
              <c:f>'Water Balance'!$K$14</c:f>
              <c:strCache>
                <c:ptCount val="1"/>
                <c:pt idx="0">
                  <c:v>Water Imported</c:v>
                </c:pt>
              </c:strCache>
            </c:strRef>
          </c:tx>
          <c:spPr>
            <a:solidFill>
              <a:schemeClr val="tx2">
                <a:lumMod val="20000"/>
                <a:lumOff val="80000"/>
              </a:schemeClr>
            </a:solidFill>
          </c:spPr>
          <c:invertIfNegative val="0"/>
          <c:val>
            <c:numRef>
              <c:f>'Water Balance'!$L$14</c:f>
              <c:numCache>
                <c:formatCode>0</c:formatCode>
                <c:ptCount val="1"/>
                <c:pt idx="0">
                  <c:v>233.6473</c:v>
                </c:pt>
              </c:numCache>
            </c:numRef>
          </c:val>
          <c:extLst>
            <c:ext xmlns:c16="http://schemas.microsoft.com/office/drawing/2014/chart" uri="{C3380CC4-5D6E-409C-BE32-E72D297353CC}">
              <c16:uniqueId val="{00000002-4870-48FC-808C-06E505CCF87E}"/>
            </c:ext>
          </c:extLst>
        </c:ser>
        <c:ser>
          <c:idx val="2"/>
          <c:order val="2"/>
          <c:tx>
            <c:strRef>
              <c:f>'Water Balance'!$K$15</c:f>
              <c:strCache>
                <c:ptCount val="1"/>
                <c:pt idx="0">
                  <c:v>Water Exported</c:v>
                </c:pt>
              </c:strCache>
            </c:strRef>
          </c:tx>
          <c:spPr>
            <a:pattFill prst="dkDnDiag">
              <a:fgClr>
                <a:schemeClr val="bg1">
                  <a:lumMod val="85000"/>
                </a:schemeClr>
              </a:fgClr>
              <a:bgClr>
                <a:schemeClr val="bg1"/>
              </a:bgClr>
            </a:pattFill>
          </c:spPr>
          <c:invertIfNegative val="0"/>
          <c:val>
            <c:numRef>
              <c:f>'Water Balance'!$L$15</c:f>
              <c:numCache>
                <c:formatCode>0</c:formatCode>
                <c:ptCount val="1"/>
                <c:pt idx="0">
                  <c:v>54.335000000000001</c:v>
                </c:pt>
              </c:numCache>
            </c:numRef>
          </c:val>
          <c:extLst>
            <c:ext xmlns:c16="http://schemas.microsoft.com/office/drawing/2014/chart" uri="{C3380CC4-5D6E-409C-BE32-E72D297353CC}">
              <c16:uniqueId val="{00000003-4870-48FC-808C-06E505CCF87E}"/>
            </c:ext>
          </c:extLst>
        </c:ser>
        <c:dLbls>
          <c:showLegendKey val="0"/>
          <c:showVal val="0"/>
          <c:showCatName val="0"/>
          <c:showSerName val="0"/>
          <c:showPercent val="0"/>
          <c:showBubbleSize val="0"/>
        </c:dLbls>
        <c:gapWidth val="10"/>
        <c:overlap val="100"/>
        <c:axId val="240571919"/>
        <c:axId val="1"/>
      </c:barChart>
      <c:catAx>
        <c:axId val="240571919"/>
        <c:scaling>
          <c:orientation val="minMax"/>
        </c:scaling>
        <c:delete val="1"/>
        <c:axPos val="t"/>
        <c:majorTickMark val="out"/>
        <c:minorTickMark val="none"/>
        <c:tickLblPos val="nextTo"/>
        <c:crossAx val="1"/>
        <c:crosses val="max"/>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40571919"/>
        <c:crosses val="autoZero"/>
        <c:crossBetween val="between"/>
      </c:valAx>
      <c:spPr>
        <a:noFill/>
        <a:ln w="25400">
          <a:noFill/>
        </a:ln>
      </c:spPr>
    </c:plotArea>
    <c:legend>
      <c:legendPos val="r"/>
      <c:layout>
        <c:manualLayout>
          <c:xMode val="edge"/>
          <c:yMode val="edge"/>
          <c:wMode val="edge"/>
          <c:hMode val="edge"/>
          <c:x val="0.18769563998674921"/>
          <c:y val="0.72099747025292726"/>
          <c:w val="0.90198099024029765"/>
          <c:h val="0.93964564556012786"/>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8204286964129477E-2"/>
          <c:y val="2.7713207547169813E-2"/>
          <c:w val="0.80068460192475943"/>
          <c:h val="0.66726792452830186"/>
        </c:manualLayout>
      </c:layout>
      <c:barChart>
        <c:barDir val="col"/>
        <c:grouping val="percentStacked"/>
        <c:varyColors val="0"/>
        <c:ser>
          <c:idx val="3"/>
          <c:order val="0"/>
          <c:tx>
            <c:strRef>
              <c:f>'Water Balance'!$K$22</c:f>
              <c:strCache>
                <c:ptCount val="1"/>
                <c:pt idx="0">
                  <c:v>Real Losses</c:v>
                </c:pt>
              </c:strCache>
            </c:strRef>
          </c:tx>
          <c:spPr>
            <a:solidFill>
              <a:srgbClr val="FF6600"/>
            </a:solidFill>
          </c:spPr>
          <c:invertIfNegative val="0"/>
          <c:val>
            <c:numRef>
              <c:f>'Water Balance'!$O$22</c:f>
              <c:numCache>
                <c:formatCode>0</c:formatCode>
                <c:ptCount val="1"/>
                <c:pt idx="0">
                  <c:v>836.09353299999987</c:v>
                </c:pt>
              </c:numCache>
            </c:numRef>
          </c:val>
          <c:extLst>
            <c:ext xmlns:c16="http://schemas.microsoft.com/office/drawing/2014/chart" uri="{C3380CC4-5D6E-409C-BE32-E72D297353CC}">
              <c16:uniqueId val="{00000000-17AA-4F34-A1E0-4154810A90E3}"/>
            </c:ext>
          </c:extLst>
        </c:ser>
        <c:ser>
          <c:idx val="2"/>
          <c:order val="1"/>
          <c:tx>
            <c:strRef>
              <c:f>'Water Balance'!$K$21</c:f>
              <c:strCache>
                <c:ptCount val="1"/>
                <c:pt idx="0">
                  <c:v>Apparent Losses</c:v>
                </c:pt>
              </c:strCache>
            </c:strRef>
          </c:tx>
          <c:spPr>
            <a:solidFill>
              <a:schemeClr val="accent2">
                <a:lumMod val="60000"/>
                <a:lumOff val="40000"/>
              </a:schemeClr>
            </a:solidFill>
          </c:spPr>
          <c:invertIfNegative val="0"/>
          <c:val>
            <c:numRef>
              <c:f>'Water Balance'!$O$21</c:f>
              <c:numCache>
                <c:formatCode>0</c:formatCode>
                <c:ptCount val="1"/>
                <c:pt idx="0">
                  <c:v>24.659045749999997</c:v>
                </c:pt>
              </c:numCache>
            </c:numRef>
          </c:val>
          <c:extLst>
            <c:ext xmlns:c16="http://schemas.microsoft.com/office/drawing/2014/chart" uri="{C3380CC4-5D6E-409C-BE32-E72D297353CC}">
              <c16:uniqueId val="{00000001-17AA-4F34-A1E0-4154810A90E3}"/>
            </c:ext>
          </c:extLst>
        </c:ser>
        <c:ser>
          <c:idx val="1"/>
          <c:order val="2"/>
          <c:tx>
            <c:strRef>
              <c:f>'Water Balance'!$K$20</c:f>
              <c:strCache>
                <c:ptCount val="1"/>
                <c:pt idx="0">
                  <c:v>Unbilled Auth. Cons.</c:v>
                </c:pt>
              </c:strCache>
            </c:strRef>
          </c:tx>
          <c:spPr>
            <a:solidFill>
              <a:schemeClr val="accent6">
                <a:lumMod val="60000"/>
                <a:lumOff val="40000"/>
              </a:schemeClr>
            </a:solidFill>
          </c:spPr>
          <c:invertIfNegative val="0"/>
          <c:val>
            <c:numRef>
              <c:f>'Water Balance'!$O$20</c:f>
              <c:numCache>
                <c:formatCode>0</c:formatCode>
                <c:ptCount val="1"/>
                <c:pt idx="0">
                  <c:v>121.77172125000001</c:v>
                </c:pt>
              </c:numCache>
            </c:numRef>
          </c:val>
          <c:extLst>
            <c:ext xmlns:c16="http://schemas.microsoft.com/office/drawing/2014/chart" uri="{C3380CC4-5D6E-409C-BE32-E72D297353CC}">
              <c16:uniqueId val="{00000002-17AA-4F34-A1E0-4154810A90E3}"/>
            </c:ext>
          </c:extLst>
        </c:ser>
        <c:ser>
          <c:idx val="0"/>
          <c:order val="3"/>
          <c:tx>
            <c:strRef>
              <c:f>'Water Balance'!$K$19</c:f>
              <c:strCache>
                <c:ptCount val="1"/>
                <c:pt idx="0">
                  <c:v>Billed Auth. Cons.</c:v>
                </c:pt>
              </c:strCache>
            </c:strRef>
          </c:tx>
          <c:spPr>
            <a:solidFill>
              <a:srgbClr val="92D050"/>
            </a:solidFill>
          </c:spPr>
          <c:invertIfNegative val="0"/>
          <c:val>
            <c:numRef>
              <c:f>'Water Balance'!$O$19</c:f>
              <c:numCache>
                <c:formatCode>0</c:formatCode>
                <c:ptCount val="1"/>
                <c:pt idx="0">
                  <c:v>4440.5469999999996</c:v>
                </c:pt>
              </c:numCache>
            </c:numRef>
          </c:val>
          <c:extLst>
            <c:ext xmlns:c16="http://schemas.microsoft.com/office/drawing/2014/chart" uri="{C3380CC4-5D6E-409C-BE32-E72D297353CC}">
              <c16:uniqueId val="{00000003-17AA-4F34-A1E0-4154810A90E3}"/>
            </c:ext>
          </c:extLst>
        </c:ser>
        <c:ser>
          <c:idx val="4"/>
          <c:order val="4"/>
          <c:tx>
            <c:strRef>
              <c:f>'Water Balance'!$K$15</c:f>
              <c:strCache>
                <c:ptCount val="1"/>
                <c:pt idx="0">
                  <c:v>Water Exported</c:v>
                </c:pt>
              </c:strCache>
            </c:strRef>
          </c:tx>
          <c:spPr>
            <a:pattFill prst="dkDnDiag">
              <a:fgClr>
                <a:schemeClr val="bg1">
                  <a:lumMod val="85000"/>
                </a:schemeClr>
              </a:fgClr>
              <a:bgClr>
                <a:schemeClr val="bg1"/>
              </a:bgClr>
            </a:pattFill>
          </c:spPr>
          <c:invertIfNegative val="0"/>
          <c:val>
            <c:numRef>
              <c:f>'Water Balance'!$O$15</c:f>
              <c:numCache>
                <c:formatCode>0</c:formatCode>
                <c:ptCount val="1"/>
                <c:pt idx="0">
                  <c:v>54.335000000000001</c:v>
                </c:pt>
              </c:numCache>
            </c:numRef>
          </c:val>
          <c:extLst>
            <c:ext xmlns:c16="http://schemas.microsoft.com/office/drawing/2014/chart" uri="{C3380CC4-5D6E-409C-BE32-E72D297353CC}">
              <c16:uniqueId val="{00000004-17AA-4F34-A1E0-4154810A90E3}"/>
            </c:ext>
          </c:extLst>
        </c:ser>
        <c:dLbls>
          <c:showLegendKey val="0"/>
          <c:showVal val="0"/>
          <c:showCatName val="0"/>
          <c:showSerName val="0"/>
          <c:showPercent val="0"/>
          <c:showBubbleSize val="0"/>
        </c:dLbls>
        <c:gapWidth val="10"/>
        <c:overlap val="100"/>
        <c:axId val="267379295"/>
        <c:axId val="1"/>
      </c:barChart>
      <c:catAx>
        <c:axId val="267379295"/>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267379295"/>
        <c:crosses val="autoZero"/>
        <c:crossBetween val="between"/>
      </c:valAx>
      <c:spPr>
        <a:noFill/>
        <a:ln w="25400">
          <a:noFill/>
        </a:ln>
      </c:spPr>
    </c:plotArea>
    <c:legend>
      <c:legendPos val="r"/>
      <c:layout>
        <c:manualLayout>
          <c:xMode val="edge"/>
          <c:yMode val="edge"/>
          <c:wMode val="edge"/>
          <c:hMode val="edge"/>
          <c:x val="4.6923765211166792E-2"/>
          <c:y val="0.6975064192925251"/>
          <c:w val="0.9280499880696732"/>
          <c:h val="0.99385627429482704"/>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1259842519685044E-2"/>
          <c:y val="2.7713207547169813E-2"/>
          <c:w val="0.80485892388451441"/>
          <c:h val="0.66726792452830186"/>
        </c:manualLayout>
      </c:layout>
      <c:barChart>
        <c:barDir val="col"/>
        <c:grouping val="percentStacked"/>
        <c:varyColors val="0"/>
        <c:ser>
          <c:idx val="1"/>
          <c:order val="0"/>
          <c:tx>
            <c:strRef>
              <c:f>'Water Balance'!$K$24</c:f>
              <c:strCache>
                <c:ptCount val="1"/>
                <c:pt idx="0">
                  <c:v>Non Revenue Water</c:v>
                </c:pt>
              </c:strCache>
            </c:strRef>
          </c:tx>
          <c:spPr>
            <a:solidFill>
              <a:srgbClr val="FF0000"/>
            </a:solidFill>
          </c:spPr>
          <c:invertIfNegative val="0"/>
          <c:val>
            <c:numRef>
              <c:f>'Water Balance'!$P$24</c:f>
              <c:numCache>
                <c:formatCode>0</c:formatCode>
                <c:ptCount val="1"/>
                <c:pt idx="0">
                  <c:v>982.52429999999981</c:v>
                </c:pt>
              </c:numCache>
            </c:numRef>
          </c:val>
          <c:extLst>
            <c:ext xmlns:c16="http://schemas.microsoft.com/office/drawing/2014/chart" uri="{C3380CC4-5D6E-409C-BE32-E72D297353CC}">
              <c16:uniqueId val="{00000000-1C00-44A6-A7D1-2C45C51138F9}"/>
            </c:ext>
          </c:extLst>
        </c:ser>
        <c:ser>
          <c:idx val="0"/>
          <c:order val="1"/>
          <c:tx>
            <c:strRef>
              <c:f>'Water Balance'!$K$23</c:f>
              <c:strCache>
                <c:ptCount val="1"/>
                <c:pt idx="0">
                  <c:v>Revenue Water</c:v>
                </c:pt>
              </c:strCache>
            </c:strRef>
          </c:tx>
          <c:spPr>
            <a:solidFill>
              <a:srgbClr val="00B050"/>
            </a:solidFill>
          </c:spPr>
          <c:invertIfNegative val="0"/>
          <c:val>
            <c:numRef>
              <c:f>'Water Balance'!$P$23</c:f>
              <c:numCache>
                <c:formatCode>0</c:formatCode>
                <c:ptCount val="1"/>
                <c:pt idx="0">
                  <c:v>4440.5469999999996</c:v>
                </c:pt>
              </c:numCache>
            </c:numRef>
          </c:val>
          <c:extLst>
            <c:ext xmlns:c16="http://schemas.microsoft.com/office/drawing/2014/chart" uri="{C3380CC4-5D6E-409C-BE32-E72D297353CC}">
              <c16:uniqueId val="{00000001-1C00-44A6-A7D1-2C45C51138F9}"/>
            </c:ext>
          </c:extLst>
        </c:ser>
        <c:ser>
          <c:idx val="2"/>
          <c:order val="2"/>
          <c:tx>
            <c:strRef>
              <c:f>'Water Balance'!$K$15</c:f>
              <c:strCache>
                <c:ptCount val="1"/>
                <c:pt idx="0">
                  <c:v>Water Exported</c:v>
                </c:pt>
              </c:strCache>
            </c:strRef>
          </c:tx>
          <c:spPr>
            <a:pattFill prst="dkDnDiag">
              <a:fgClr>
                <a:schemeClr val="bg1">
                  <a:lumMod val="85000"/>
                </a:schemeClr>
              </a:fgClr>
              <a:bgClr>
                <a:schemeClr val="bg1"/>
              </a:bgClr>
            </a:pattFill>
          </c:spPr>
          <c:invertIfNegative val="0"/>
          <c:val>
            <c:numRef>
              <c:f>'Water Balance'!$P$15</c:f>
              <c:numCache>
                <c:formatCode>0</c:formatCode>
                <c:ptCount val="1"/>
                <c:pt idx="0">
                  <c:v>54.335000000000001</c:v>
                </c:pt>
              </c:numCache>
            </c:numRef>
          </c:val>
          <c:extLst>
            <c:ext xmlns:c16="http://schemas.microsoft.com/office/drawing/2014/chart" uri="{C3380CC4-5D6E-409C-BE32-E72D297353CC}">
              <c16:uniqueId val="{00000002-1C00-44A6-A7D1-2C45C51138F9}"/>
            </c:ext>
          </c:extLst>
        </c:ser>
        <c:dLbls>
          <c:showLegendKey val="0"/>
          <c:showVal val="0"/>
          <c:showCatName val="0"/>
          <c:showSerName val="0"/>
          <c:showPercent val="0"/>
          <c:showBubbleSize val="0"/>
        </c:dLbls>
        <c:gapWidth val="10"/>
        <c:overlap val="100"/>
        <c:axId val="267380255"/>
        <c:axId val="1"/>
      </c:barChart>
      <c:catAx>
        <c:axId val="267380255"/>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267380255"/>
        <c:crosses val="autoZero"/>
        <c:crossBetween val="between"/>
      </c:valAx>
      <c:spPr>
        <a:noFill/>
        <a:ln w="25400">
          <a:noFill/>
        </a:ln>
      </c:spPr>
    </c:plotArea>
    <c:legend>
      <c:legendPos val="r"/>
      <c:layout>
        <c:manualLayout>
          <c:xMode val="edge"/>
          <c:yMode val="edge"/>
          <c:wMode val="edge"/>
          <c:hMode val="edge"/>
          <c:x val="0.11991624642425315"/>
          <c:y val="0.70112039792494285"/>
          <c:w val="0.8863393199445575"/>
          <c:h val="0.89989169075384556"/>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7.7017373988344268E-2"/>
          <c:y val="2.7713207547169813E-2"/>
          <c:w val="0.84975184366455359"/>
          <c:h val="0.66726792452830186"/>
        </c:manualLayout>
      </c:layout>
      <c:barChart>
        <c:barDir val="col"/>
        <c:grouping val="percentStacked"/>
        <c:varyColors val="0"/>
        <c:ser>
          <c:idx val="0"/>
          <c:order val="0"/>
          <c:tx>
            <c:strRef>
              <c:f>'Water Balance'!$K$16</c:f>
              <c:strCache>
                <c:ptCount val="1"/>
                <c:pt idx="0">
                  <c:v>Water Supplied</c:v>
                </c:pt>
              </c:strCache>
            </c:strRef>
          </c:tx>
          <c:spPr>
            <a:solidFill>
              <a:schemeClr val="accent3">
                <a:lumMod val="40000"/>
                <a:lumOff val="60000"/>
              </a:schemeClr>
            </a:solidFill>
          </c:spPr>
          <c:invertIfNegative val="0"/>
          <c:val>
            <c:numRef>
              <c:f>'Water Balance'!$M$16</c:f>
              <c:numCache>
                <c:formatCode>0</c:formatCode>
                <c:ptCount val="1"/>
                <c:pt idx="0">
                  <c:v>5423.0712999999996</c:v>
                </c:pt>
              </c:numCache>
            </c:numRef>
          </c:val>
          <c:extLst>
            <c:ext xmlns:c16="http://schemas.microsoft.com/office/drawing/2014/chart" uri="{C3380CC4-5D6E-409C-BE32-E72D297353CC}">
              <c16:uniqueId val="{00000000-D758-40A3-BBC2-E82A59128A43}"/>
            </c:ext>
          </c:extLst>
        </c:ser>
        <c:ser>
          <c:idx val="1"/>
          <c:order val="1"/>
          <c:tx>
            <c:strRef>
              <c:f>'Water Balance'!$K$15</c:f>
              <c:strCache>
                <c:ptCount val="1"/>
                <c:pt idx="0">
                  <c:v>Water Exported</c:v>
                </c:pt>
              </c:strCache>
            </c:strRef>
          </c:tx>
          <c:spPr>
            <a:pattFill prst="dkDnDiag">
              <a:fgClr>
                <a:schemeClr val="bg1">
                  <a:lumMod val="85000"/>
                </a:schemeClr>
              </a:fgClr>
              <a:bgClr>
                <a:schemeClr val="bg1"/>
              </a:bgClr>
            </a:pattFill>
          </c:spPr>
          <c:invertIfNegative val="0"/>
          <c:val>
            <c:numRef>
              <c:f>'Water Balance'!$M$15</c:f>
              <c:numCache>
                <c:formatCode>0</c:formatCode>
                <c:ptCount val="1"/>
                <c:pt idx="0">
                  <c:v>54.335000000000001</c:v>
                </c:pt>
              </c:numCache>
            </c:numRef>
          </c:val>
          <c:extLst>
            <c:ext xmlns:c16="http://schemas.microsoft.com/office/drawing/2014/chart" uri="{C3380CC4-5D6E-409C-BE32-E72D297353CC}">
              <c16:uniqueId val="{00000001-D758-40A3-BBC2-E82A59128A43}"/>
            </c:ext>
          </c:extLst>
        </c:ser>
        <c:dLbls>
          <c:showLegendKey val="0"/>
          <c:showVal val="0"/>
          <c:showCatName val="0"/>
          <c:showSerName val="0"/>
          <c:showPercent val="0"/>
          <c:showBubbleSize val="0"/>
        </c:dLbls>
        <c:gapWidth val="10"/>
        <c:overlap val="100"/>
        <c:axId val="239134319"/>
        <c:axId val="1"/>
      </c:barChart>
      <c:catAx>
        <c:axId val="239134319"/>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min val="0"/>
        </c:scaling>
        <c:delete val="1"/>
        <c:axPos val="l"/>
        <c:majorGridlines/>
        <c:numFmt formatCode="0%" sourceLinked="1"/>
        <c:majorTickMark val="out"/>
        <c:minorTickMark val="none"/>
        <c:tickLblPos val="nextTo"/>
        <c:crossAx val="239134319"/>
        <c:crosses val="autoZero"/>
        <c:crossBetween val="between"/>
      </c:valAx>
    </c:plotArea>
    <c:legend>
      <c:legendPos val="r"/>
      <c:layout>
        <c:manualLayout>
          <c:xMode val="edge"/>
          <c:yMode val="edge"/>
          <c:wMode val="edge"/>
          <c:hMode val="edge"/>
          <c:x val="9.8493694385762748E-2"/>
          <c:y val="0.70473437655736082"/>
          <c:w val="0.77056782536329294"/>
          <c:h val="0.83483912612189304"/>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checked="Checked" firstButton="1" fmlaLink="$R$15"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checked="Checked" firstButton="1" fmlaLink="$R$16"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checked="Checked" firstButton="1" fmlaLink="$R$17"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CheckBox" checked="Checked" fmlaLink="'Performance Indicators'!$R$21" lockText="1" noThreeD="1"/>
</file>

<file path=xl/ctrlProps/ctrlProp13.xml><?xml version="1.0" encoding="utf-8"?>
<formControlPr xmlns="http://schemas.microsoft.com/office/spreadsheetml/2009/9/main" objectType="Radio" checked="Checked" firstButton="1" fmlaLink="$R$43"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Radio" checked="Checked" firstButton="1" fmlaLink="$R$26"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Radio" checked="Checked" firstButton="1" fmlaLink="$R$42"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checked="Checked" firstButton="1" fmlaLink="$R$38"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checked="Checked" firstButton="1" fmlaLink="$S$6" lockText="1" noThreeD="1"/>
</file>

<file path=xl/ctrlProps/ctrlProp25.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hyperlink" Target="#Acknowledgements!A1"/><Relationship Id="rId3" Type="http://schemas.openxmlformats.org/officeDocument/2006/relationships/hyperlink" Target="#Comments!A1"/><Relationship Id="rId7" Type="http://schemas.openxmlformats.org/officeDocument/2006/relationships/hyperlink" Target="#'Service Connection Diagram'!A1"/><Relationship Id="rId12" Type="http://schemas.openxmlformats.org/officeDocument/2006/relationships/hyperlink" Target="#'Reporting Worksheet'!A1"/><Relationship Id="rId2" Type="http://schemas.openxmlformats.org/officeDocument/2006/relationships/hyperlink" Target="#'Performance Indicators'!A1"/><Relationship Id="rId1" Type="http://schemas.openxmlformats.org/officeDocument/2006/relationships/hyperlink" Target="#Instructions!A1"/><Relationship Id="rId6" Type="http://schemas.openxmlformats.org/officeDocument/2006/relationships/hyperlink" Target="#'Grading Matrix'!A1"/><Relationship Id="rId11" Type="http://schemas.openxmlformats.org/officeDocument/2006/relationships/hyperlink" Target="#'Example Audits'!A1"/><Relationship Id="rId5" Type="http://schemas.openxmlformats.org/officeDocument/2006/relationships/hyperlink" Target="#Dashboard!A1"/><Relationship Id="rId10" Type="http://schemas.openxmlformats.org/officeDocument/2006/relationships/hyperlink" Target="#Definitions!A1"/><Relationship Id="rId4" Type="http://schemas.openxmlformats.org/officeDocument/2006/relationships/hyperlink" Target="#'Water Balance'!A1"/><Relationship Id="rId9" Type="http://schemas.openxmlformats.org/officeDocument/2006/relationships/hyperlink" Target="#'Loss Control Planning'!A1"/></Relationships>
</file>

<file path=xl/drawings/_rels/drawing2.xml.rels><?xml version="1.0" encoding="UTF-8" standalone="yes"?>
<Relationships xmlns="http://schemas.openxmlformats.org/package/2006/relationships"><Relationship Id="rId13" Type="http://schemas.openxmlformats.org/officeDocument/2006/relationships/hyperlink" Target="#Definitions!C71:J71"/><Relationship Id="rId18" Type="http://schemas.openxmlformats.org/officeDocument/2006/relationships/hyperlink" Target="#Definitions!C59:J59"/><Relationship Id="rId26" Type="http://schemas.openxmlformats.org/officeDocument/2006/relationships/hyperlink" Target="#Comments!C12"/><Relationship Id="rId39" Type="http://schemas.openxmlformats.org/officeDocument/2006/relationships/hyperlink" Target="#Comments!C19"/><Relationship Id="rId21" Type="http://schemas.openxmlformats.org/officeDocument/2006/relationships/hyperlink" Target="#Definitions!C28:J28"/><Relationship Id="rId34" Type="http://schemas.openxmlformats.org/officeDocument/2006/relationships/hyperlink" Target="#Definitions!C69:J69"/><Relationship Id="rId42" Type="http://schemas.openxmlformats.org/officeDocument/2006/relationships/hyperlink" Target="#Comments!C22"/><Relationship Id="rId47" Type="http://schemas.openxmlformats.org/officeDocument/2006/relationships/hyperlink" Target="#Comments!C27"/><Relationship Id="rId7" Type="http://schemas.openxmlformats.org/officeDocument/2006/relationships/hyperlink" Target="#Definitions!C26:J26"/><Relationship Id="rId2" Type="http://schemas.openxmlformats.org/officeDocument/2006/relationships/hyperlink" Target="#Definitions!C18:J18"/><Relationship Id="rId16" Type="http://schemas.openxmlformats.org/officeDocument/2006/relationships/hyperlink" Target="#Definitions!C22:J22"/><Relationship Id="rId29" Type="http://schemas.openxmlformats.org/officeDocument/2006/relationships/hyperlink" Target="#Comments!C15"/><Relationship Id="rId1" Type="http://schemas.openxmlformats.org/officeDocument/2006/relationships/hyperlink" Target="#Definitions!C16:J16"/><Relationship Id="rId6" Type="http://schemas.openxmlformats.org/officeDocument/2006/relationships/hyperlink" Target="#Definitions!C30:J30"/><Relationship Id="rId11" Type="http://schemas.openxmlformats.org/officeDocument/2006/relationships/hyperlink" Target="#Definitions!C12:J12"/><Relationship Id="rId24" Type="http://schemas.openxmlformats.org/officeDocument/2006/relationships/hyperlink" Target="#Instructions!A1"/><Relationship Id="rId32" Type="http://schemas.openxmlformats.org/officeDocument/2006/relationships/hyperlink" Target="#Definitions!C65:J65"/><Relationship Id="rId37" Type="http://schemas.openxmlformats.org/officeDocument/2006/relationships/hyperlink" Target="#Comments!C11"/><Relationship Id="rId40" Type="http://schemas.openxmlformats.org/officeDocument/2006/relationships/hyperlink" Target="#Comments!C20"/><Relationship Id="rId45" Type="http://schemas.openxmlformats.org/officeDocument/2006/relationships/hyperlink" Target="#Comments!C25"/><Relationship Id="rId5" Type="http://schemas.openxmlformats.org/officeDocument/2006/relationships/hyperlink" Target="#Definitions!C49:J49"/><Relationship Id="rId15" Type="http://schemas.openxmlformats.org/officeDocument/2006/relationships/hyperlink" Target="#Definitions!C42:J42"/><Relationship Id="rId23" Type="http://schemas.openxmlformats.org/officeDocument/2006/relationships/hyperlink" Target="#Comments!C8"/><Relationship Id="rId28" Type="http://schemas.openxmlformats.org/officeDocument/2006/relationships/hyperlink" Target="#Comments!C14"/><Relationship Id="rId36" Type="http://schemas.openxmlformats.org/officeDocument/2006/relationships/hyperlink" Target="#Comments!C13"/><Relationship Id="rId10" Type="http://schemas.openxmlformats.org/officeDocument/2006/relationships/hyperlink" Target="#'Service Connection Diagram'!B2"/><Relationship Id="rId19" Type="http://schemas.openxmlformats.org/officeDocument/2006/relationships/hyperlink" Target="#Definitions!C32:J32"/><Relationship Id="rId31" Type="http://schemas.openxmlformats.org/officeDocument/2006/relationships/hyperlink" Target="#Comments!C16"/><Relationship Id="rId44" Type="http://schemas.openxmlformats.org/officeDocument/2006/relationships/hyperlink" Target="#Comments!C24"/><Relationship Id="rId4" Type="http://schemas.openxmlformats.org/officeDocument/2006/relationships/hyperlink" Target="#Definitions!C63:J63"/><Relationship Id="rId9" Type="http://schemas.openxmlformats.org/officeDocument/2006/relationships/hyperlink" Target="#Definitions!C20:J20"/><Relationship Id="rId14" Type="http://schemas.openxmlformats.org/officeDocument/2006/relationships/hyperlink" Target="#Definitions!C67:J67"/><Relationship Id="rId22" Type="http://schemas.openxmlformats.org/officeDocument/2006/relationships/hyperlink" Target="#Definitions!C6:J6"/><Relationship Id="rId27" Type="http://schemas.openxmlformats.org/officeDocument/2006/relationships/hyperlink" Target="#Comments!C10"/><Relationship Id="rId30" Type="http://schemas.openxmlformats.org/officeDocument/2006/relationships/hyperlink" Target="#Comments!C17"/><Relationship Id="rId35" Type="http://schemas.openxmlformats.org/officeDocument/2006/relationships/hyperlink" Target="#Comments!C9"/><Relationship Id="rId43" Type="http://schemas.openxmlformats.org/officeDocument/2006/relationships/hyperlink" Target="#Comments!C23"/><Relationship Id="rId48" Type="http://schemas.openxmlformats.org/officeDocument/2006/relationships/hyperlink" Target="#Definitions!C36:J36"/><Relationship Id="rId8" Type="http://schemas.openxmlformats.org/officeDocument/2006/relationships/hyperlink" Target="#Definitions!C38:J38"/><Relationship Id="rId3" Type="http://schemas.openxmlformats.org/officeDocument/2006/relationships/hyperlink" Target="#Definitions!C51:J51"/><Relationship Id="rId12" Type="http://schemas.openxmlformats.org/officeDocument/2006/relationships/hyperlink" Target="#Definitions!C61:J61"/><Relationship Id="rId17" Type="http://schemas.openxmlformats.org/officeDocument/2006/relationships/hyperlink" Target="#Definitions!C40:J40"/><Relationship Id="rId25" Type="http://schemas.openxmlformats.org/officeDocument/2006/relationships/image" Target="../media/image1.png"/><Relationship Id="rId33" Type="http://schemas.openxmlformats.org/officeDocument/2006/relationships/hyperlink" Target="#Definitions!C73:J73"/><Relationship Id="rId38" Type="http://schemas.openxmlformats.org/officeDocument/2006/relationships/hyperlink" Target="#Comments!C18"/><Relationship Id="rId46" Type="http://schemas.openxmlformats.org/officeDocument/2006/relationships/hyperlink" Target="#Comments!C26"/><Relationship Id="rId20" Type="http://schemas.openxmlformats.org/officeDocument/2006/relationships/hyperlink" Target="#Definitions!C8:J8"/><Relationship Id="rId41" Type="http://schemas.openxmlformats.org/officeDocument/2006/relationships/hyperlink" Target="#Comments!C21"/></Relationships>
</file>

<file path=xl/drawings/_rels/drawing3.xml.rels><?xml version="1.0" encoding="UTF-8" standalone="yes"?>
<Relationships xmlns="http://schemas.openxmlformats.org/package/2006/relationships"><Relationship Id="rId3" Type="http://schemas.openxmlformats.org/officeDocument/2006/relationships/hyperlink" Target="#'Grading Matrix'!A1"/><Relationship Id="rId2" Type="http://schemas.openxmlformats.org/officeDocument/2006/relationships/hyperlink" Target="#Definitions!C24:J24"/><Relationship Id="rId1" Type="http://schemas.openxmlformats.org/officeDocument/2006/relationships/hyperlink" Target="#Definitions!C45:E45"/><Relationship Id="rId5" Type="http://schemas.openxmlformats.org/officeDocument/2006/relationships/image" Target="../media/image2.png"/><Relationship Id="rId4" Type="http://schemas.openxmlformats.org/officeDocument/2006/relationships/hyperlink" Target="#Instructions!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Instructions!A1"/></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5.png"/><Relationship Id="rId7" Type="http://schemas.openxmlformats.org/officeDocument/2006/relationships/chart" Target="../charts/chart5.xml"/><Relationship Id="rId2" Type="http://schemas.openxmlformats.org/officeDocument/2006/relationships/hyperlink" Target="#Instructions!A1"/><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hyperlink" Target="#Definitions!C10:L10"/><Relationship Id="rId5" Type="http://schemas.openxmlformats.org/officeDocument/2006/relationships/image" Target="../media/image5.png"/><Relationship Id="rId4" Type="http://schemas.openxmlformats.org/officeDocument/2006/relationships/hyperlink" Target="#Instructions!A1"/></Relationships>
</file>

<file path=xl/drawings/_rels/drawing10.xml.rels><?xml version="1.0" encoding="UTF-8" standalone="yes"?>
<Relationships xmlns="http://schemas.openxmlformats.org/package/2006/relationships"><Relationship Id="rId8" Type="http://schemas.openxmlformats.org/officeDocument/2006/relationships/hyperlink" Target="#'Reporting Worksheet'!C23:G23"/><Relationship Id="rId13" Type="http://schemas.openxmlformats.org/officeDocument/2006/relationships/hyperlink" Target="#'Reporting Worksheet'!C62:G62"/><Relationship Id="rId18" Type="http://schemas.openxmlformats.org/officeDocument/2006/relationships/hyperlink" Target="#'Reporting Worksheet'!C43:G43"/><Relationship Id="rId26" Type="http://schemas.openxmlformats.org/officeDocument/2006/relationships/hyperlink" Target="#'Reporting Worksheet'!J15:O15"/><Relationship Id="rId3" Type="http://schemas.openxmlformats.org/officeDocument/2006/relationships/image" Target="../media/image11.png"/><Relationship Id="rId21" Type="http://schemas.openxmlformats.org/officeDocument/2006/relationships/hyperlink" Target="#'Performance Indicators'!C17:I17"/><Relationship Id="rId7" Type="http://schemas.openxmlformats.org/officeDocument/2006/relationships/hyperlink" Target="#'Reporting Worksheet'!C69:G69"/><Relationship Id="rId12" Type="http://schemas.openxmlformats.org/officeDocument/2006/relationships/hyperlink" Target="#'Performance Indicators'!C45:I45"/><Relationship Id="rId17" Type="http://schemas.openxmlformats.org/officeDocument/2006/relationships/hyperlink" Target="#'Reporting Worksheet'!C64:G64"/><Relationship Id="rId25" Type="http://schemas.openxmlformats.org/officeDocument/2006/relationships/hyperlink" Target="#'Reporting Worksheet'!C15:G15"/><Relationship Id="rId2" Type="http://schemas.openxmlformats.org/officeDocument/2006/relationships/image" Target="../media/image10.png"/><Relationship Id="rId16" Type="http://schemas.openxmlformats.org/officeDocument/2006/relationships/hyperlink" Target="#'Reporting Worksheet'!C51:G52"/><Relationship Id="rId20" Type="http://schemas.openxmlformats.org/officeDocument/2006/relationships/hyperlink" Target="#'Reporting Worksheet'!C38:G38"/><Relationship Id="rId29" Type="http://schemas.openxmlformats.org/officeDocument/2006/relationships/hyperlink" Target="#'Reporting Worksheet'!C16:G16"/><Relationship Id="rId1" Type="http://schemas.openxmlformats.org/officeDocument/2006/relationships/hyperlink" Target="#Instructions!A1"/><Relationship Id="rId6" Type="http://schemas.openxmlformats.org/officeDocument/2006/relationships/hyperlink" Target="#'Reporting Worksheet'!C67:G67"/><Relationship Id="rId11" Type="http://schemas.openxmlformats.org/officeDocument/2006/relationships/hyperlink" Target="#'Reporting Worksheet'!C77:G77"/><Relationship Id="rId24" Type="http://schemas.openxmlformats.org/officeDocument/2006/relationships/hyperlink" Target="#'Reporting Worksheet'!C78:G78"/><Relationship Id="rId5" Type="http://schemas.openxmlformats.org/officeDocument/2006/relationships/hyperlink" Target="#'Reporting Worksheet'!C22:O31"/><Relationship Id="rId15" Type="http://schemas.openxmlformats.org/officeDocument/2006/relationships/hyperlink" Target="#'Reporting Worksheet'!C63:G63"/><Relationship Id="rId23" Type="http://schemas.openxmlformats.org/officeDocument/2006/relationships/hyperlink" Target="#'Reporting Worksheet'!C26:G26"/><Relationship Id="rId28" Type="http://schemas.openxmlformats.org/officeDocument/2006/relationships/hyperlink" Target="#'Reporting Worksheet'!J17:O17"/><Relationship Id="rId10" Type="http://schemas.openxmlformats.org/officeDocument/2006/relationships/hyperlink" Target="#'Reporting Worksheet'!C42:G42"/><Relationship Id="rId19" Type="http://schemas.openxmlformats.org/officeDocument/2006/relationships/hyperlink" Target="#'Reporting Worksheet'!C76:G76"/><Relationship Id="rId31" Type="http://schemas.openxmlformats.org/officeDocument/2006/relationships/hyperlink" Target="#'Reporting Worksheet'!C35:G35"/><Relationship Id="rId4" Type="http://schemas.openxmlformats.org/officeDocument/2006/relationships/hyperlink" Target="#'Reporting Worksheet'!C37:O49"/><Relationship Id="rId9" Type="http://schemas.openxmlformats.org/officeDocument/2006/relationships/hyperlink" Target="#'Reporting Worksheet'!C24:G24"/><Relationship Id="rId14" Type="http://schemas.openxmlformats.org/officeDocument/2006/relationships/hyperlink" Target="#'Reporting Worksheet'!C58:G58"/><Relationship Id="rId22" Type="http://schemas.openxmlformats.org/officeDocument/2006/relationships/hyperlink" Target="#'Reporting Worksheet'!C25:G25"/><Relationship Id="rId27" Type="http://schemas.openxmlformats.org/officeDocument/2006/relationships/hyperlink" Target="#'Reporting Worksheet'!C17:G17"/><Relationship Id="rId30" Type="http://schemas.openxmlformats.org/officeDocument/2006/relationships/hyperlink" Target="#'Reporting Worksheet'!J16:O16"/></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hyperlink" Target="#Instructions!A1"/></Relationships>
</file>

<file path=xl/drawings/_rels/drawing12.xml.rels><?xml version="1.0" encoding="UTF-8" standalone="yes"?>
<Relationships xmlns="http://schemas.openxmlformats.org/package/2006/relationships"><Relationship Id="rId8" Type="http://schemas.openxmlformats.org/officeDocument/2006/relationships/hyperlink" Target="#'Example Audits'!A119"/><Relationship Id="rId3" Type="http://schemas.openxmlformats.org/officeDocument/2006/relationships/hyperlink" Target="#Instructions!A1"/><Relationship Id="rId7" Type="http://schemas.openxmlformats.org/officeDocument/2006/relationships/hyperlink" Target="#'Example Audits'!A3"/><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7.emf"/><Relationship Id="rId5" Type="http://schemas.openxmlformats.org/officeDocument/2006/relationships/image" Target="../media/image16.emf"/><Relationship Id="rId10" Type="http://schemas.openxmlformats.org/officeDocument/2006/relationships/hyperlink" Target="#'Example Audits'!A272"/><Relationship Id="rId4" Type="http://schemas.openxmlformats.org/officeDocument/2006/relationships/image" Target="../media/image15.png"/><Relationship Id="rId9" Type="http://schemas.openxmlformats.org/officeDocument/2006/relationships/hyperlink" Target="#'Example Audits'!A188"/></Relationships>
</file>

<file path=xl/drawings/_rels/drawing13.xml.rels><?xml version="1.0" encoding="UTF-8" standalone="yes"?>
<Relationships xmlns="http://schemas.openxmlformats.org/package/2006/relationships"><Relationship Id="rId3" Type="http://schemas.openxmlformats.org/officeDocument/2006/relationships/hyperlink" Target="http://www.awwa.org/" TargetMode="External"/><Relationship Id="rId2" Type="http://schemas.openxmlformats.org/officeDocument/2006/relationships/image" Target="../media/image18.png"/><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11</xdr:col>
      <xdr:colOff>647700</xdr:colOff>
      <xdr:row>24</xdr:row>
      <xdr:rowOff>9525</xdr:rowOff>
    </xdr:from>
    <xdr:to>
      <xdr:col>12</xdr:col>
      <xdr:colOff>152400</xdr:colOff>
      <xdr:row>27</xdr:row>
      <xdr:rowOff>57150</xdr:rowOff>
    </xdr:to>
    <xdr:cxnSp macro="">
      <xdr:nvCxnSpPr>
        <xdr:cNvPr id="5971406" name="Straight Arrow Connector 6">
          <a:extLst>
            <a:ext uri="{FF2B5EF4-FFF2-40B4-BE49-F238E27FC236}">
              <a16:creationId xmlns:a16="http://schemas.microsoft.com/office/drawing/2014/main" id="{822C7615-0BFF-F3C0-E801-087FDCB04440}"/>
            </a:ext>
          </a:extLst>
        </xdr:cNvPr>
        <xdr:cNvCxnSpPr>
          <a:cxnSpLocks noChangeShapeType="1"/>
        </xdr:cNvCxnSpPr>
      </xdr:nvCxnSpPr>
      <xdr:spPr bwMode="auto">
        <a:xfrm flipV="1">
          <a:off x="7496175" y="3800475"/>
          <a:ext cx="228600" cy="3048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438150</xdr:colOff>
      <xdr:row>24</xdr:row>
      <xdr:rowOff>19050</xdr:rowOff>
    </xdr:from>
    <xdr:to>
      <xdr:col>12</xdr:col>
      <xdr:colOff>561975</xdr:colOff>
      <xdr:row>27</xdr:row>
      <xdr:rowOff>66675</xdr:rowOff>
    </xdr:to>
    <xdr:cxnSp macro="">
      <xdr:nvCxnSpPr>
        <xdr:cNvPr id="5971407" name="Straight Arrow Connector 33">
          <a:extLst>
            <a:ext uri="{FF2B5EF4-FFF2-40B4-BE49-F238E27FC236}">
              <a16:creationId xmlns:a16="http://schemas.microsoft.com/office/drawing/2014/main" id="{CB64980B-4B7C-EE41-8581-93FAFA8FD84F}"/>
            </a:ext>
          </a:extLst>
        </xdr:cNvPr>
        <xdr:cNvCxnSpPr>
          <a:cxnSpLocks noChangeShapeType="1"/>
        </xdr:cNvCxnSpPr>
      </xdr:nvCxnSpPr>
      <xdr:spPr bwMode="auto">
        <a:xfrm flipH="1" flipV="1">
          <a:off x="8010525" y="3810000"/>
          <a:ext cx="123825" cy="3048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editAs="oneCell">
    <xdr:from>
      <xdr:col>16</xdr:col>
      <xdr:colOff>0</xdr:colOff>
      <xdr:row>1</xdr:row>
      <xdr:rowOff>47625</xdr:rowOff>
    </xdr:from>
    <xdr:to>
      <xdr:col>17</xdr:col>
      <xdr:colOff>0</xdr:colOff>
      <xdr:row>1</xdr:row>
      <xdr:rowOff>278054</xdr:rowOff>
    </xdr:to>
    <xdr:sp macro="" textlink="">
      <xdr:nvSpPr>
        <xdr:cNvPr id="13" name="Text Box 706">
          <a:extLst>
            <a:ext uri="{FF2B5EF4-FFF2-40B4-BE49-F238E27FC236}">
              <a16:creationId xmlns:a16="http://schemas.microsoft.com/office/drawing/2014/main" id="{798F2EB1-EB00-BAA4-16F1-0D11975EF6C8}"/>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4</xdr:col>
      <xdr:colOff>699135</xdr:colOff>
      <xdr:row>1</xdr:row>
      <xdr:rowOff>321945</xdr:rowOff>
    </xdr:from>
    <xdr:to>
      <xdr:col>11</xdr:col>
      <xdr:colOff>319756</xdr:colOff>
      <xdr:row>2</xdr:row>
      <xdr:rowOff>4382</xdr:rowOff>
    </xdr:to>
    <xdr:sp macro="" textlink="">
      <xdr:nvSpPr>
        <xdr:cNvPr id="16" name="Text Box 474">
          <a:extLst>
            <a:ext uri="{FF2B5EF4-FFF2-40B4-BE49-F238E27FC236}">
              <a16:creationId xmlns:a16="http://schemas.microsoft.com/office/drawing/2014/main" id="{A407AD68-189B-155B-E671-72131F384475}"/>
            </a:ext>
          </a:extLst>
        </xdr:cNvPr>
        <xdr:cNvSpPr txBox="1">
          <a:spLocks noChangeArrowheads="1"/>
        </xdr:cNvSpPr>
      </xdr:nvSpPr>
      <xdr:spPr bwMode="auto">
        <a:xfrm>
          <a:off x="3093720" y="426720"/>
          <a:ext cx="3825240" cy="198120"/>
        </a:xfrm>
        <a:prstGeom prst="rect">
          <a:avLst/>
        </a:prstGeom>
        <a:noFill/>
        <a:ln>
          <a:noFill/>
        </a:ln>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104775</xdr:colOff>
      <xdr:row>7</xdr:row>
      <xdr:rowOff>123825</xdr:rowOff>
    </xdr:from>
    <xdr:to>
      <xdr:col>8</xdr:col>
      <xdr:colOff>104775</xdr:colOff>
      <xdr:row>35</xdr:row>
      <xdr:rowOff>171450</xdr:rowOff>
    </xdr:to>
    <xdr:cxnSp macro="">
      <xdr:nvCxnSpPr>
        <xdr:cNvPr id="5971410" name="Straight Connector 2">
          <a:extLst>
            <a:ext uri="{FF2B5EF4-FFF2-40B4-BE49-F238E27FC236}">
              <a16:creationId xmlns:a16="http://schemas.microsoft.com/office/drawing/2014/main" id="{78DA5973-61EE-C187-4460-652736ACA590}"/>
            </a:ext>
          </a:extLst>
        </xdr:cNvPr>
        <xdr:cNvCxnSpPr>
          <a:cxnSpLocks noChangeShapeType="1"/>
        </xdr:cNvCxnSpPr>
      </xdr:nvCxnSpPr>
      <xdr:spPr bwMode="auto">
        <a:xfrm>
          <a:off x="5619750" y="1809750"/>
          <a:ext cx="0" cy="3324225"/>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12</xdr:col>
          <xdr:colOff>352425</xdr:colOff>
          <xdr:row>22</xdr:row>
          <xdr:rowOff>28575</xdr:rowOff>
        </xdr:from>
        <xdr:to>
          <xdr:col>13</xdr:col>
          <xdr:colOff>9525</xdr:colOff>
          <xdr:row>24</xdr:row>
          <xdr:rowOff>9525</xdr:rowOff>
        </xdr:to>
        <xdr:sp macro="" textlink="">
          <xdr:nvSpPr>
            <xdr:cNvPr id="806510" name="Option Button 4718" hidden="1">
              <a:extLst>
                <a:ext uri="{63B3BB69-23CF-44E3-9099-C40C66FF867C}">
                  <a14:compatExt spid="_x0000_s806510"/>
                </a:ext>
                <a:ext uri="{FF2B5EF4-FFF2-40B4-BE49-F238E27FC236}">
                  <a16:creationId xmlns:a16="http://schemas.microsoft.com/office/drawing/2014/main" id="{C5BD6E30-CE41-3F3B-52BC-3D0520FC7151}"/>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23</xdr:row>
          <xdr:rowOff>0</xdr:rowOff>
        </xdr:from>
        <xdr:to>
          <xdr:col>12</xdr:col>
          <xdr:colOff>276225</xdr:colOff>
          <xdr:row>23</xdr:row>
          <xdr:rowOff>190500</xdr:rowOff>
        </xdr:to>
        <xdr:sp macro="" textlink="">
          <xdr:nvSpPr>
            <xdr:cNvPr id="806511" name="Option Button 4719" hidden="1">
              <a:extLst>
                <a:ext uri="{63B3BB69-23CF-44E3-9099-C40C66FF867C}">
                  <a14:compatExt spid="_x0000_s806511"/>
                </a:ext>
                <a:ext uri="{FF2B5EF4-FFF2-40B4-BE49-F238E27FC236}">
                  <a16:creationId xmlns:a16="http://schemas.microsoft.com/office/drawing/2014/main" id="{75BAB284-D2FB-1BFE-039A-9636CE5B5A7E}"/>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9</xdr:col>
      <xdr:colOff>123825</xdr:colOff>
      <xdr:row>27</xdr:row>
      <xdr:rowOff>57150</xdr:rowOff>
    </xdr:from>
    <xdr:to>
      <xdr:col>12</xdr:col>
      <xdr:colOff>93325</xdr:colOff>
      <xdr:row>32</xdr:row>
      <xdr:rowOff>0</xdr:rowOff>
    </xdr:to>
    <xdr:sp macro="" textlink="">
      <xdr:nvSpPr>
        <xdr:cNvPr id="2" name="TextBox 1">
          <a:extLst>
            <a:ext uri="{FF2B5EF4-FFF2-40B4-BE49-F238E27FC236}">
              <a16:creationId xmlns:a16="http://schemas.microsoft.com/office/drawing/2014/main" id="{5BCCF122-0C4C-4569-BB2B-69FDA365B26B}"/>
            </a:ext>
          </a:extLst>
        </xdr:cNvPr>
        <xdr:cNvSpPr txBox="1"/>
      </xdr:nvSpPr>
      <xdr:spPr>
        <a:xfrm>
          <a:off x="5600700" y="3764280"/>
          <a:ext cx="181356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Arial" panose="020B0604020202020204" pitchFamily="34" charset="0"/>
              <a:cs typeface="Arial" panose="020B0604020202020204" pitchFamily="34" charset="0"/>
            </a:rPr>
            <a:t>Select</a:t>
          </a:r>
          <a:r>
            <a:rPr lang="en-US" sz="1000" baseline="0">
              <a:latin typeface="Arial" panose="020B0604020202020204" pitchFamily="34" charset="0"/>
              <a:cs typeface="Arial" panose="020B0604020202020204" pitchFamily="34" charset="0"/>
            </a:rPr>
            <a:t> the default percentage by choosing the option button on the left</a:t>
          </a:r>
          <a:endParaRPr lang="en-US" sz="1000">
            <a:latin typeface="Arial" panose="020B0604020202020204" pitchFamily="34" charset="0"/>
            <a:cs typeface="Arial" panose="020B0604020202020204" pitchFamily="34" charset="0"/>
          </a:endParaRPr>
        </a:p>
      </xdr:txBody>
    </xdr:sp>
    <xdr:clientData/>
  </xdr:twoCellAnchor>
  <xdr:twoCellAnchor>
    <xdr:from>
      <xdr:col>12</xdr:col>
      <xdr:colOff>384810</xdr:colOff>
      <xdr:row>27</xdr:row>
      <xdr:rowOff>64770</xdr:rowOff>
    </xdr:from>
    <xdr:to>
      <xdr:col>15</xdr:col>
      <xdr:colOff>1348</xdr:colOff>
      <xdr:row>31</xdr:row>
      <xdr:rowOff>152081</xdr:rowOff>
    </xdr:to>
    <xdr:sp macro="" textlink="">
      <xdr:nvSpPr>
        <xdr:cNvPr id="15" name="TextBox 14">
          <a:extLst>
            <a:ext uri="{FF2B5EF4-FFF2-40B4-BE49-F238E27FC236}">
              <a16:creationId xmlns:a16="http://schemas.microsoft.com/office/drawing/2014/main" id="{4A0960EF-6DF4-ABEB-D082-89DAB56989E0}"/>
            </a:ext>
          </a:extLst>
        </xdr:cNvPr>
        <xdr:cNvSpPr txBox="1"/>
      </xdr:nvSpPr>
      <xdr:spPr>
        <a:xfrm>
          <a:off x="7711440" y="3771900"/>
          <a:ext cx="18973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1000">
              <a:latin typeface="Arial" panose="020B0604020202020204" pitchFamily="34" charset="0"/>
              <a:cs typeface="Arial" panose="020B0604020202020204" pitchFamily="34" charset="0"/>
            </a:rPr>
            <a:t>To enter a value,</a:t>
          </a:r>
          <a:r>
            <a:rPr lang="en-US" sz="1000" baseline="0">
              <a:latin typeface="Arial" panose="020B0604020202020204" pitchFamily="34" charset="0"/>
              <a:cs typeface="Arial" panose="020B0604020202020204" pitchFamily="34" charset="0"/>
            </a:rPr>
            <a:t> choose this button and enter a value in the cell to the right</a:t>
          </a:r>
          <a:endParaRPr lang="en-US" sz="1000">
            <a:latin typeface="Arial" panose="020B0604020202020204" pitchFamily="34" charset="0"/>
            <a:cs typeface="Arial" panose="020B0604020202020204" pitchFamily="34" charset="0"/>
          </a:endParaRPr>
        </a:p>
      </xdr:txBody>
    </xdr:sp>
    <xdr:clientData/>
  </xdr:twoCellAnchor>
  <xdr:twoCellAnchor>
    <xdr:from>
      <xdr:col>2</xdr:col>
      <xdr:colOff>19050</xdr:colOff>
      <xdr:row>38</xdr:row>
      <xdr:rowOff>111580</xdr:rowOff>
    </xdr:from>
    <xdr:to>
      <xdr:col>3</xdr:col>
      <xdr:colOff>80873</xdr:colOff>
      <xdr:row>45</xdr:row>
      <xdr:rowOff>57453</xdr:rowOff>
    </xdr:to>
    <xdr:sp macro="" textlink="">
      <xdr:nvSpPr>
        <xdr:cNvPr id="22" name="Rounded Rectangle 21">
          <a:hlinkClick xmlns:r="http://schemas.openxmlformats.org/officeDocument/2006/relationships" r:id="rId1"/>
          <a:extLst>
            <a:ext uri="{FF2B5EF4-FFF2-40B4-BE49-F238E27FC236}">
              <a16:creationId xmlns:a16="http://schemas.microsoft.com/office/drawing/2014/main" id="{CACB2186-E407-FE92-35A9-643812467864}"/>
            </a:ext>
          </a:extLst>
        </xdr:cNvPr>
        <xdr:cNvSpPr/>
      </xdr:nvSpPr>
      <xdr:spPr>
        <a:xfrm>
          <a:off x="236220" y="5716090"/>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Instructions</a:t>
          </a:r>
        </a:p>
        <a:p>
          <a:pPr algn="ctr"/>
          <a:endParaRPr lang="en-US" sz="500">
            <a:effectLst/>
          </a:endParaRPr>
        </a:p>
        <a:p>
          <a:pPr algn="ctr">
            <a:lnSpc>
              <a:spcPts val="1100"/>
            </a:lnSpc>
          </a:pPr>
          <a:r>
            <a:rPr lang="en-US" sz="1000" b="0" i="0">
              <a:solidFill>
                <a:schemeClr val="dk1"/>
              </a:solidFill>
              <a:effectLst/>
              <a:latin typeface="+mn-lt"/>
              <a:ea typeface="+mn-ea"/>
              <a:cs typeface="+mn-cs"/>
            </a:rPr>
            <a:t>The current sheet.</a:t>
          </a:r>
          <a:r>
            <a:rPr lang="en-US" sz="1000" b="0" i="0" baseline="0">
              <a:solidFill>
                <a:schemeClr val="dk1"/>
              </a:solidFill>
              <a:effectLst/>
              <a:latin typeface="+mn-lt"/>
              <a:ea typeface="+mn-ea"/>
              <a:cs typeface="+mn-cs"/>
            </a:rPr>
            <a:t> Enter contact information and basic audit details (year,  units etc)</a:t>
          </a:r>
          <a:endParaRPr lang="en-US" sz="1000"/>
        </a:p>
      </xdr:txBody>
    </xdr:sp>
    <xdr:clientData/>
  </xdr:twoCellAnchor>
  <xdr:twoCellAnchor>
    <xdr:from>
      <xdr:col>6</xdr:col>
      <xdr:colOff>992505</xdr:colOff>
      <xdr:row>38</xdr:row>
      <xdr:rowOff>93344</xdr:rowOff>
    </xdr:from>
    <xdr:to>
      <xdr:col>10</xdr:col>
      <xdr:colOff>193</xdr:colOff>
      <xdr:row>45</xdr:row>
      <xdr:rowOff>56636</xdr:rowOff>
    </xdr:to>
    <xdr:sp macro="" textlink="">
      <xdr:nvSpPr>
        <xdr:cNvPr id="24" name="Rounded Rectangle 23">
          <a:hlinkClick xmlns:r="http://schemas.openxmlformats.org/officeDocument/2006/relationships" r:id="rId2"/>
          <a:extLst>
            <a:ext uri="{FF2B5EF4-FFF2-40B4-BE49-F238E27FC236}">
              <a16:creationId xmlns:a16="http://schemas.microsoft.com/office/drawing/2014/main" id="{8905B5B0-28F8-8203-01C5-CCF94D203028}"/>
            </a:ext>
          </a:extLst>
        </xdr:cNvPr>
        <xdr:cNvSpPr/>
      </xdr:nvSpPr>
      <xdr:spPr>
        <a:xfrm>
          <a:off x="5135880" y="5714999"/>
          <a:ext cx="1490472" cy="1435827"/>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100"/>
            </a:lnSpc>
          </a:pPr>
          <a:r>
            <a:rPr lang="en-US" sz="1100" b="1" i="1" u="sng">
              <a:solidFill>
                <a:schemeClr val="dk1"/>
              </a:solidFill>
              <a:effectLst/>
              <a:latin typeface="+mn-lt"/>
              <a:ea typeface="+mn-ea"/>
              <a:cs typeface="+mn-cs"/>
            </a:rPr>
            <a:t>Performance Indicators</a:t>
          </a:r>
        </a:p>
        <a:p>
          <a:pPr>
            <a:lnSpc>
              <a:spcPts val="500"/>
            </a:lnSpc>
          </a:pPr>
          <a:endParaRPr lang="en-US" sz="500">
            <a:effectLst/>
          </a:endParaRPr>
        </a:p>
        <a:p>
          <a:pPr algn="ctr">
            <a:lnSpc>
              <a:spcPts val="1000"/>
            </a:lnSpc>
          </a:pPr>
          <a:r>
            <a:rPr lang="en-US" sz="1000" b="0" i="0">
              <a:solidFill>
                <a:schemeClr val="dk1"/>
              </a:solidFill>
              <a:effectLst/>
              <a:latin typeface="+mn-lt"/>
              <a:ea typeface="+mn-ea"/>
              <a:cs typeface="+mn-cs"/>
            </a:rPr>
            <a:t>Review the</a:t>
          </a:r>
          <a:r>
            <a:rPr lang="en-US" sz="1000" b="0" i="0" baseline="0">
              <a:solidFill>
                <a:schemeClr val="dk1"/>
              </a:solidFill>
              <a:effectLst/>
              <a:latin typeface="+mn-lt"/>
              <a:ea typeface="+mn-ea"/>
              <a:cs typeface="+mn-cs"/>
            </a:rPr>
            <a:t> performance indicators to evaluate the results of the audit </a:t>
          </a:r>
          <a:endParaRPr lang="en-US" sz="1000"/>
        </a:p>
      </xdr:txBody>
    </xdr:sp>
    <xdr:clientData/>
  </xdr:twoCellAnchor>
  <xdr:twoCellAnchor>
    <xdr:from>
      <xdr:col>5</xdr:col>
      <xdr:colOff>175260</xdr:colOff>
      <xdr:row>38</xdr:row>
      <xdr:rowOff>92258</xdr:rowOff>
    </xdr:from>
    <xdr:to>
      <xdr:col>6</xdr:col>
      <xdr:colOff>842265</xdr:colOff>
      <xdr:row>45</xdr:row>
      <xdr:rowOff>55329</xdr:rowOff>
    </xdr:to>
    <xdr:sp macro="" textlink="">
      <xdr:nvSpPr>
        <xdr:cNvPr id="25" name="Rounded Rectangle 24">
          <a:hlinkClick xmlns:r="http://schemas.openxmlformats.org/officeDocument/2006/relationships" r:id="rId3"/>
          <a:extLst>
            <a:ext uri="{FF2B5EF4-FFF2-40B4-BE49-F238E27FC236}">
              <a16:creationId xmlns:a16="http://schemas.microsoft.com/office/drawing/2014/main" id="{2BF44CE1-763E-BBB0-4589-667934D8B3FE}"/>
            </a:ext>
          </a:extLst>
        </xdr:cNvPr>
        <xdr:cNvSpPr/>
      </xdr:nvSpPr>
      <xdr:spPr>
        <a:xfrm>
          <a:off x="3497580" y="5713913"/>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Comments</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Enter comments to explain how values were calculated</a:t>
          </a:r>
          <a:r>
            <a:rPr lang="en-US" sz="1000" b="0" i="0" baseline="0">
              <a:solidFill>
                <a:schemeClr val="dk1"/>
              </a:solidFill>
              <a:effectLst/>
              <a:latin typeface="+mn-lt"/>
              <a:ea typeface="+mn-ea"/>
              <a:cs typeface="+mn-cs"/>
            </a:rPr>
            <a:t> or to </a:t>
          </a:r>
          <a:r>
            <a:rPr lang="en-US" sz="1000" b="0" i="0">
              <a:solidFill>
                <a:schemeClr val="dk1"/>
              </a:solidFill>
              <a:effectLst/>
              <a:latin typeface="+mn-lt"/>
              <a:ea typeface="+mn-ea"/>
              <a:cs typeface="+mn-cs"/>
            </a:rPr>
            <a:t>document data sources</a:t>
          </a:r>
          <a:endParaRPr lang="en-US" sz="1000">
            <a:effectLst/>
          </a:endParaRPr>
        </a:p>
      </xdr:txBody>
    </xdr:sp>
    <xdr:clientData/>
  </xdr:twoCellAnchor>
  <xdr:twoCellAnchor>
    <xdr:from>
      <xdr:col>9</xdr:col>
      <xdr:colOff>760095</xdr:colOff>
      <xdr:row>38</xdr:row>
      <xdr:rowOff>91169</xdr:rowOff>
    </xdr:from>
    <xdr:to>
      <xdr:col>13</xdr:col>
      <xdr:colOff>10601</xdr:colOff>
      <xdr:row>45</xdr:row>
      <xdr:rowOff>54240</xdr:rowOff>
    </xdr:to>
    <xdr:sp macro="" textlink="">
      <xdr:nvSpPr>
        <xdr:cNvPr id="26" name="Rounded Rectangle 25">
          <a:hlinkClick xmlns:r="http://schemas.openxmlformats.org/officeDocument/2006/relationships" r:id="rId4"/>
          <a:extLst>
            <a:ext uri="{FF2B5EF4-FFF2-40B4-BE49-F238E27FC236}">
              <a16:creationId xmlns:a16="http://schemas.microsoft.com/office/drawing/2014/main" id="{0859018F-C8C4-0816-CEF8-01F9C994FC84}"/>
            </a:ext>
          </a:extLst>
        </xdr:cNvPr>
        <xdr:cNvSpPr/>
      </xdr:nvSpPr>
      <xdr:spPr>
        <a:xfrm>
          <a:off x="6758940" y="5712824"/>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Water Balance</a:t>
          </a:r>
        </a:p>
        <a:p>
          <a:pPr algn="ctr"/>
          <a:endParaRPr lang="en-US" sz="500">
            <a:effectLst/>
          </a:endParaRPr>
        </a:p>
        <a:p>
          <a:pPr algn="ctr">
            <a:lnSpc>
              <a:spcPts val="1100"/>
            </a:lnSpc>
          </a:pPr>
          <a:r>
            <a:rPr lang="en-US" sz="1000" b="0" i="0">
              <a:solidFill>
                <a:schemeClr val="dk1"/>
              </a:solidFill>
              <a:effectLst/>
              <a:latin typeface="+mn-lt"/>
              <a:ea typeface="+mn-ea"/>
              <a:cs typeface="+mn-cs"/>
            </a:rPr>
            <a:t>The values entered</a:t>
          </a:r>
          <a:r>
            <a:rPr lang="en-US" sz="1000" b="0" i="0" baseline="0">
              <a:solidFill>
                <a:schemeClr val="dk1"/>
              </a:solidFill>
              <a:effectLst/>
              <a:latin typeface="+mn-lt"/>
              <a:ea typeface="+mn-ea"/>
              <a:cs typeface="+mn-cs"/>
            </a:rPr>
            <a:t> in the Reporting Worksheet are used to populate the Water Balance</a:t>
          </a:r>
          <a:endParaRPr lang="en-US" sz="1000">
            <a:effectLst/>
          </a:endParaRPr>
        </a:p>
      </xdr:txBody>
    </xdr:sp>
    <xdr:clientData/>
  </xdr:twoCellAnchor>
  <xdr:twoCellAnchor>
    <xdr:from>
      <xdr:col>13</xdr:col>
      <xdr:colOff>142113</xdr:colOff>
      <xdr:row>38</xdr:row>
      <xdr:rowOff>112669</xdr:rowOff>
    </xdr:from>
    <xdr:to>
      <xdr:col>16</xdr:col>
      <xdr:colOff>65863</xdr:colOff>
      <xdr:row>45</xdr:row>
      <xdr:rowOff>58542</xdr:rowOff>
    </xdr:to>
    <xdr:sp macro="" textlink="">
      <xdr:nvSpPr>
        <xdr:cNvPr id="31" name="Rounded Rectangle 30">
          <a:hlinkClick xmlns:r="http://schemas.openxmlformats.org/officeDocument/2006/relationships" r:id="rId5"/>
          <a:extLst>
            <a:ext uri="{FF2B5EF4-FFF2-40B4-BE49-F238E27FC236}">
              <a16:creationId xmlns:a16="http://schemas.microsoft.com/office/drawing/2014/main" id="{68C535A6-E508-C5EE-74D4-A2C7B175A405}"/>
            </a:ext>
          </a:extLst>
        </xdr:cNvPr>
        <xdr:cNvSpPr/>
      </xdr:nvSpPr>
      <xdr:spPr>
        <a:xfrm>
          <a:off x="8407908" y="5717179"/>
          <a:ext cx="1508760"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Dashboard</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A graphical</a:t>
          </a:r>
          <a:r>
            <a:rPr lang="en-US" sz="1000" b="0" i="0" baseline="0">
              <a:solidFill>
                <a:schemeClr val="dk1"/>
              </a:solidFill>
              <a:effectLst/>
              <a:latin typeface="+mn-lt"/>
              <a:ea typeface="+mn-ea"/>
              <a:cs typeface="+mn-cs"/>
            </a:rPr>
            <a:t> summary of the water balance and Non-Revenue Water components</a:t>
          </a:r>
          <a:endParaRPr lang="en-US" sz="1000">
            <a:effectLst/>
          </a:endParaRPr>
        </a:p>
      </xdr:txBody>
    </xdr:sp>
    <xdr:clientData/>
  </xdr:twoCellAnchor>
  <xdr:twoCellAnchor>
    <xdr:from>
      <xdr:col>2</xdr:col>
      <xdr:colOff>19050</xdr:colOff>
      <xdr:row>45</xdr:row>
      <xdr:rowOff>185597</xdr:rowOff>
    </xdr:from>
    <xdr:to>
      <xdr:col>3</xdr:col>
      <xdr:colOff>80873</xdr:colOff>
      <xdr:row>50</xdr:row>
      <xdr:rowOff>34178</xdr:rowOff>
    </xdr:to>
    <xdr:sp macro="" textlink="">
      <xdr:nvSpPr>
        <xdr:cNvPr id="32" name="Rounded Rectangle 31">
          <a:hlinkClick xmlns:r="http://schemas.openxmlformats.org/officeDocument/2006/relationships" r:id="rId6"/>
          <a:extLst>
            <a:ext uri="{FF2B5EF4-FFF2-40B4-BE49-F238E27FC236}">
              <a16:creationId xmlns:a16="http://schemas.microsoft.com/office/drawing/2014/main" id="{743283A1-1CC4-85A3-3CF3-103C09B922F6}"/>
            </a:ext>
          </a:extLst>
        </xdr:cNvPr>
        <xdr:cNvSpPr/>
      </xdr:nvSpPr>
      <xdr:spPr>
        <a:xfrm>
          <a:off x="236220" y="7336967"/>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Grading</a:t>
          </a:r>
          <a:r>
            <a:rPr lang="en-US" sz="1100" b="1" i="1" u="sng" baseline="0">
              <a:solidFill>
                <a:schemeClr val="dk1"/>
              </a:solidFill>
              <a:effectLst/>
              <a:latin typeface="+mn-lt"/>
              <a:ea typeface="+mn-ea"/>
              <a:cs typeface="+mn-cs"/>
            </a:rPr>
            <a:t> Matrix</a:t>
          </a:r>
        </a:p>
        <a:p>
          <a:pPr algn="ctr">
            <a:lnSpc>
              <a:spcPts val="500"/>
            </a:lnSpc>
          </a:pPr>
          <a:endParaRPr lang="en-US" sz="500">
            <a:effectLst/>
          </a:endParaRPr>
        </a:p>
        <a:p>
          <a:pPr algn="ctr">
            <a:lnSpc>
              <a:spcPts val="1100"/>
            </a:lnSpc>
          </a:pPr>
          <a:r>
            <a:rPr lang="en-US" sz="1000" b="0" i="0">
              <a:solidFill>
                <a:schemeClr val="dk1"/>
              </a:solidFill>
              <a:effectLst/>
              <a:latin typeface="+mn-lt"/>
              <a:ea typeface="+mn-ea"/>
              <a:cs typeface="+mn-cs"/>
            </a:rPr>
            <a:t>Presents</a:t>
          </a:r>
          <a:r>
            <a:rPr lang="en-US" sz="1000" b="0" i="0" baseline="0">
              <a:solidFill>
                <a:schemeClr val="dk1"/>
              </a:solidFill>
              <a:effectLst/>
              <a:latin typeface="+mn-lt"/>
              <a:ea typeface="+mn-ea"/>
              <a:cs typeface="+mn-cs"/>
            </a:rPr>
            <a:t> the possible grading options for each input component of the audit</a:t>
          </a:r>
          <a:endParaRPr lang="en-US" sz="1000">
            <a:effectLst/>
          </a:endParaRPr>
        </a:p>
      </xdr:txBody>
    </xdr:sp>
    <xdr:clientData/>
  </xdr:twoCellAnchor>
  <xdr:twoCellAnchor>
    <xdr:from>
      <xdr:col>3</xdr:col>
      <xdr:colOff>226695</xdr:colOff>
      <xdr:row>45</xdr:row>
      <xdr:rowOff>185598</xdr:rowOff>
    </xdr:from>
    <xdr:to>
      <xdr:col>5</xdr:col>
      <xdr:colOff>61917</xdr:colOff>
      <xdr:row>50</xdr:row>
      <xdr:rowOff>34179</xdr:rowOff>
    </xdr:to>
    <xdr:sp macro="" textlink="">
      <xdr:nvSpPr>
        <xdr:cNvPr id="33" name="Rounded Rectangle 32">
          <a:hlinkClick xmlns:r="http://schemas.openxmlformats.org/officeDocument/2006/relationships" r:id="rId7"/>
          <a:extLst>
            <a:ext uri="{FF2B5EF4-FFF2-40B4-BE49-F238E27FC236}">
              <a16:creationId xmlns:a16="http://schemas.microsoft.com/office/drawing/2014/main" id="{18FC3499-DF68-0B82-8240-868159DFB344}"/>
            </a:ext>
          </a:extLst>
        </xdr:cNvPr>
        <xdr:cNvSpPr/>
      </xdr:nvSpPr>
      <xdr:spPr>
        <a:xfrm>
          <a:off x="1882140" y="733696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Service Connection Diagram</a:t>
          </a:r>
        </a:p>
        <a:p>
          <a:pPr algn="ctr"/>
          <a:endParaRPr lang="en-US" sz="500">
            <a:effectLst/>
          </a:endParaRPr>
        </a:p>
        <a:p>
          <a:pPr algn="ctr"/>
          <a:r>
            <a:rPr lang="en-US" sz="1000" b="0" i="0">
              <a:solidFill>
                <a:schemeClr val="dk1"/>
              </a:solidFill>
              <a:effectLst/>
              <a:latin typeface="+mn-lt"/>
              <a:ea typeface="+mn-ea"/>
              <a:cs typeface="+mn-cs"/>
            </a:rPr>
            <a:t>Diagrams depicting possible customer service</a:t>
          </a:r>
          <a:r>
            <a:rPr lang="en-US" sz="1000" b="0" i="0" baseline="0">
              <a:solidFill>
                <a:schemeClr val="dk1"/>
              </a:solidFill>
              <a:effectLst/>
              <a:latin typeface="+mn-lt"/>
              <a:ea typeface="+mn-ea"/>
              <a:cs typeface="+mn-cs"/>
            </a:rPr>
            <a:t> connection line configurations</a:t>
          </a:r>
          <a:endParaRPr lang="en-US" sz="1000">
            <a:effectLst/>
          </a:endParaRPr>
        </a:p>
      </xdr:txBody>
    </xdr:sp>
    <xdr:clientData/>
  </xdr:twoCellAnchor>
  <xdr:twoCellAnchor>
    <xdr:from>
      <xdr:col>13</xdr:col>
      <xdr:colOff>142113</xdr:colOff>
      <xdr:row>45</xdr:row>
      <xdr:rowOff>184508</xdr:rowOff>
    </xdr:from>
    <xdr:to>
      <xdr:col>16</xdr:col>
      <xdr:colOff>65863</xdr:colOff>
      <xdr:row>50</xdr:row>
      <xdr:rowOff>33343</xdr:rowOff>
    </xdr:to>
    <xdr:sp macro="" textlink="">
      <xdr:nvSpPr>
        <xdr:cNvPr id="34" name="Rounded Rectangle 33">
          <a:hlinkClick xmlns:r="http://schemas.openxmlformats.org/officeDocument/2006/relationships" r:id="rId8"/>
          <a:extLst>
            <a:ext uri="{FF2B5EF4-FFF2-40B4-BE49-F238E27FC236}">
              <a16:creationId xmlns:a16="http://schemas.microsoft.com/office/drawing/2014/main" id="{B3E8C9E8-2BD7-5971-8444-A6418F434346}"/>
            </a:ext>
          </a:extLst>
        </xdr:cNvPr>
        <xdr:cNvSpPr/>
      </xdr:nvSpPr>
      <xdr:spPr>
        <a:xfrm>
          <a:off x="8407908" y="7335878"/>
          <a:ext cx="1508760"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000"/>
            </a:lnSpc>
          </a:pPr>
          <a:r>
            <a:rPr lang="en-US" sz="1100" b="1" i="1" u="sng">
              <a:solidFill>
                <a:schemeClr val="dk1"/>
              </a:solidFill>
              <a:effectLst/>
              <a:latin typeface="+mn-lt"/>
              <a:ea typeface="+mn-ea"/>
              <a:cs typeface="+mn-cs"/>
            </a:rPr>
            <a:t>Acknowledgements</a:t>
          </a:r>
        </a:p>
        <a:p>
          <a:pPr algn="ctr">
            <a:lnSpc>
              <a:spcPts val="500"/>
            </a:lnSpc>
          </a:pPr>
          <a:endParaRPr lang="en-US" sz="500">
            <a:effectLst/>
          </a:endParaRPr>
        </a:p>
        <a:p>
          <a:pPr algn="ctr">
            <a:lnSpc>
              <a:spcPts val="900"/>
            </a:lnSpc>
          </a:pPr>
          <a:r>
            <a:rPr lang="en-US" sz="1000" b="0" i="0">
              <a:solidFill>
                <a:schemeClr val="dk1"/>
              </a:solidFill>
              <a:effectLst/>
              <a:latin typeface="+mn-lt"/>
              <a:ea typeface="+mn-ea"/>
              <a:cs typeface="+mn-cs"/>
            </a:rPr>
            <a:t>Acknowledgements</a:t>
          </a:r>
          <a:r>
            <a:rPr lang="en-US" sz="1000" b="0" i="0" baseline="0">
              <a:solidFill>
                <a:schemeClr val="dk1"/>
              </a:solidFill>
              <a:effectLst/>
              <a:latin typeface="+mn-lt"/>
              <a:ea typeface="+mn-ea"/>
              <a:cs typeface="+mn-cs"/>
            </a:rPr>
            <a:t> for the AWWA Free Water Audit Software v5.0</a:t>
          </a:r>
          <a:endParaRPr lang="en-US" sz="1000">
            <a:effectLst/>
          </a:endParaRPr>
        </a:p>
      </xdr:txBody>
    </xdr:sp>
    <xdr:clientData/>
  </xdr:twoCellAnchor>
  <xdr:twoCellAnchor>
    <xdr:from>
      <xdr:col>6</xdr:col>
      <xdr:colOff>1020537</xdr:colOff>
      <xdr:row>45</xdr:row>
      <xdr:rowOff>184510</xdr:rowOff>
    </xdr:from>
    <xdr:to>
      <xdr:col>10</xdr:col>
      <xdr:colOff>3847</xdr:colOff>
      <xdr:row>50</xdr:row>
      <xdr:rowOff>33345</xdr:rowOff>
    </xdr:to>
    <xdr:sp macro="" textlink="">
      <xdr:nvSpPr>
        <xdr:cNvPr id="35" name="Rounded Rectangle 34">
          <a:hlinkClick xmlns:r="http://schemas.openxmlformats.org/officeDocument/2006/relationships" r:id="rId9"/>
          <a:extLst>
            <a:ext uri="{FF2B5EF4-FFF2-40B4-BE49-F238E27FC236}">
              <a16:creationId xmlns:a16="http://schemas.microsoft.com/office/drawing/2014/main" id="{21440148-E813-4B17-50AA-DBC090871A88}"/>
            </a:ext>
          </a:extLst>
        </xdr:cNvPr>
        <xdr:cNvSpPr/>
      </xdr:nvSpPr>
      <xdr:spPr>
        <a:xfrm>
          <a:off x="5162007" y="7335880"/>
          <a:ext cx="146761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100"/>
            </a:lnSpc>
          </a:pPr>
          <a:r>
            <a:rPr lang="en-US" sz="1100" b="1" i="1" u="sng">
              <a:solidFill>
                <a:schemeClr val="dk1"/>
              </a:solidFill>
              <a:effectLst/>
              <a:latin typeface="+mn-lt"/>
              <a:ea typeface="+mn-ea"/>
              <a:cs typeface="+mn-cs"/>
            </a:rPr>
            <a:t>Loss Control Planning</a:t>
          </a:r>
        </a:p>
        <a:p>
          <a:pPr algn="ctr">
            <a:lnSpc>
              <a:spcPts val="500"/>
            </a:lnSpc>
          </a:pPr>
          <a:endParaRPr lang="en-US" sz="500">
            <a:effectLst/>
          </a:endParaRPr>
        </a:p>
        <a:p>
          <a:pPr algn="ctr">
            <a:lnSpc>
              <a:spcPts val="1000"/>
            </a:lnSpc>
          </a:pPr>
          <a:r>
            <a:rPr lang="en-US" sz="1000" b="0" i="0">
              <a:solidFill>
                <a:schemeClr val="dk1"/>
              </a:solidFill>
              <a:effectLst/>
              <a:latin typeface="+mn-lt"/>
              <a:ea typeface="+mn-ea"/>
              <a:cs typeface="+mn-cs"/>
            </a:rPr>
            <a:t>Use this sheet to interpret the</a:t>
          </a:r>
          <a:r>
            <a:rPr lang="en-US" sz="1000" b="0" i="0" baseline="0">
              <a:solidFill>
                <a:schemeClr val="dk1"/>
              </a:solidFill>
              <a:effectLst/>
              <a:latin typeface="+mn-lt"/>
              <a:ea typeface="+mn-ea"/>
              <a:cs typeface="+mn-cs"/>
            </a:rPr>
            <a:t> results of the audit validity score and performance indicators</a:t>
          </a:r>
          <a:endParaRPr lang="en-US" sz="1000">
            <a:effectLst/>
          </a:endParaRPr>
        </a:p>
      </xdr:txBody>
    </xdr:sp>
    <xdr:clientData/>
  </xdr:twoCellAnchor>
  <xdr:twoCellAnchor>
    <xdr:from>
      <xdr:col>5</xdr:col>
      <xdr:colOff>203835</xdr:colOff>
      <xdr:row>46</xdr:row>
      <xdr:rowOff>3533</xdr:rowOff>
    </xdr:from>
    <xdr:to>
      <xdr:col>6</xdr:col>
      <xdr:colOff>877428</xdr:colOff>
      <xdr:row>50</xdr:row>
      <xdr:rowOff>38966</xdr:rowOff>
    </xdr:to>
    <xdr:sp macro="" textlink="">
      <xdr:nvSpPr>
        <xdr:cNvPr id="36" name="Rounded Rectangle 35">
          <a:hlinkClick xmlns:r="http://schemas.openxmlformats.org/officeDocument/2006/relationships" r:id="rId10"/>
          <a:extLst>
            <a:ext uri="{FF2B5EF4-FFF2-40B4-BE49-F238E27FC236}">
              <a16:creationId xmlns:a16="http://schemas.microsoft.com/office/drawing/2014/main" id="{6589F6FC-592E-907D-6C08-66239EAF63AB}"/>
            </a:ext>
          </a:extLst>
        </xdr:cNvPr>
        <xdr:cNvSpPr/>
      </xdr:nvSpPr>
      <xdr:spPr>
        <a:xfrm>
          <a:off x="3520440" y="734349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Definitions</a:t>
          </a:r>
        </a:p>
        <a:p>
          <a:pPr algn="ctr"/>
          <a:endParaRPr lang="en-US" sz="500">
            <a:effectLst/>
          </a:endParaRPr>
        </a:p>
        <a:p>
          <a:pPr algn="ctr">
            <a:lnSpc>
              <a:spcPts val="1100"/>
            </a:lnSpc>
          </a:pPr>
          <a:r>
            <a:rPr lang="en-US" sz="1000" b="0" i="0">
              <a:solidFill>
                <a:schemeClr val="dk1"/>
              </a:solidFill>
              <a:effectLst/>
              <a:latin typeface="+mn-lt"/>
              <a:ea typeface="+mn-ea"/>
              <a:cs typeface="+mn-cs"/>
            </a:rPr>
            <a:t>Use this</a:t>
          </a:r>
          <a:r>
            <a:rPr lang="en-US" sz="1000" b="0" i="0" baseline="0">
              <a:solidFill>
                <a:schemeClr val="dk1"/>
              </a:solidFill>
              <a:effectLst/>
              <a:latin typeface="+mn-lt"/>
              <a:ea typeface="+mn-ea"/>
              <a:cs typeface="+mn-cs"/>
            </a:rPr>
            <a:t> sheet to understand the terms used in the audit process</a:t>
          </a:r>
          <a:endParaRPr lang="en-US" sz="1000">
            <a:effectLst/>
          </a:endParaRPr>
        </a:p>
      </xdr:txBody>
    </xdr:sp>
    <xdr:clientData/>
  </xdr:twoCellAnchor>
  <xdr:twoCellAnchor>
    <xdr:from>
      <xdr:col>9</xdr:col>
      <xdr:colOff>760095</xdr:colOff>
      <xdr:row>45</xdr:row>
      <xdr:rowOff>184509</xdr:rowOff>
    </xdr:from>
    <xdr:to>
      <xdr:col>13</xdr:col>
      <xdr:colOff>10601</xdr:colOff>
      <xdr:row>50</xdr:row>
      <xdr:rowOff>33344</xdr:rowOff>
    </xdr:to>
    <xdr:sp macro="" textlink="">
      <xdr:nvSpPr>
        <xdr:cNvPr id="47" name="Rounded Rectangle 46">
          <a:hlinkClick xmlns:r="http://schemas.openxmlformats.org/officeDocument/2006/relationships" r:id="rId11"/>
          <a:extLst>
            <a:ext uri="{FF2B5EF4-FFF2-40B4-BE49-F238E27FC236}">
              <a16:creationId xmlns:a16="http://schemas.microsoft.com/office/drawing/2014/main" id="{51F60D2C-B9F0-C0B5-22D5-4B0D0F1A2E0B}"/>
            </a:ext>
          </a:extLst>
        </xdr:cNvPr>
        <xdr:cNvSpPr/>
      </xdr:nvSpPr>
      <xdr:spPr>
        <a:xfrm>
          <a:off x="6758940" y="7335879"/>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Example Audits</a:t>
          </a:r>
        </a:p>
        <a:p>
          <a:pPr algn="ctr"/>
          <a:endParaRPr lang="en-US" sz="500">
            <a:effectLst/>
          </a:endParaRPr>
        </a:p>
        <a:p>
          <a:pPr algn="ctr">
            <a:lnSpc>
              <a:spcPts val="1100"/>
            </a:lnSpc>
          </a:pPr>
          <a:r>
            <a:rPr lang="en-US" sz="1000" b="0" i="0" baseline="0">
              <a:solidFill>
                <a:schemeClr val="dk1"/>
              </a:solidFill>
              <a:effectLst/>
              <a:latin typeface="+mn-lt"/>
              <a:ea typeface="+mn-ea"/>
              <a:cs typeface="+mn-cs"/>
            </a:rPr>
            <a:t>Reporting Worksheet and Performance Indicators examples are shown for two validated audits</a:t>
          </a:r>
          <a:endParaRPr lang="en-US" sz="1000">
            <a:effectLst/>
          </a:endParaRPr>
        </a:p>
      </xdr:txBody>
    </xdr:sp>
    <xdr:clientData/>
  </xdr:twoCellAnchor>
  <xdr:twoCellAnchor>
    <xdr:from>
      <xdr:col>3</xdr:col>
      <xdr:colOff>213904</xdr:colOff>
      <xdr:row>38</xdr:row>
      <xdr:rowOff>112668</xdr:rowOff>
    </xdr:from>
    <xdr:to>
      <xdr:col>5</xdr:col>
      <xdr:colOff>37980</xdr:colOff>
      <xdr:row>45</xdr:row>
      <xdr:rowOff>58541</xdr:rowOff>
    </xdr:to>
    <xdr:sp macro="" textlink="">
      <xdr:nvSpPr>
        <xdr:cNvPr id="48" name="Rounded Rectangle 47">
          <a:hlinkClick xmlns:r="http://schemas.openxmlformats.org/officeDocument/2006/relationships" r:id="rId12"/>
          <a:extLst>
            <a:ext uri="{FF2B5EF4-FFF2-40B4-BE49-F238E27FC236}">
              <a16:creationId xmlns:a16="http://schemas.microsoft.com/office/drawing/2014/main" id="{47848096-5B40-AA83-E12F-E6AC15D32A8B}"/>
            </a:ext>
          </a:extLst>
        </xdr:cNvPr>
        <xdr:cNvSpPr/>
      </xdr:nvSpPr>
      <xdr:spPr>
        <a:xfrm>
          <a:off x="1856014" y="5717178"/>
          <a:ext cx="1534885"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lnSpc>
              <a:spcPts val="800"/>
            </a:lnSpc>
          </a:pPr>
          <a:r>
            <a:rPr lang="en-US" sz="1100" b="1" i="1" u="sng">
              <a:solidFill>
                <a:schemeClr val="dk1"/>
              </a:solidFill>
              <a:effectLst/>
              <a:latin typeface="+mn-lt"/>
              <a:ea typeface="+mn-ea"/>
              <a:cs typeface="+mn-cs"/>
            </a:rPr>
            <a:t>Reporting Worksheet</a:t>
          </a:r>
        </a:p>
        <a:p>
          <a:pPr algn="ctr">
            <a:lnSpc>
              <a:spcPts val="400"/>
            </a:lnSpc>
          </a:pPr>
          <a:endParaRPr lang="en-US" sz="500">
            <a:effectLst/>
          </a:endParaRPr>
        </a:p>
        <a:p>
          <a:pPr algn="ctr">
            <a:lnSpc>
              <a:spcPts val="1000"/>
            </a:lnSpc>
          </a:pPr>
          <a:r>
            <a:rPr lang="en-US" sz="1000" b="0" i="0">
              <a:solidFill>
                <a:schemeClr val="dk1"/>
              </a:solidFill>
              <a:effectLst/>
              <a:latin typeface="+mn-lt"/>
              <a:ea typeface="+mn-ea"/>
              <a:cs typeface="+mn-cs"/>
            </a:rPr>
            <a:t>Enter the required data on this worksheet to calculate the water balance</a:t>
          </a:r>
          <a:r>
            <a:rPr lang="en-US" sz="1000" b="0" i="0" baseline="0">
              <a:solidFill>
                <a:schemeClr val="dk1"/>
              </a:solidFill>
              <a:effectLst/>
              <a:latin typeface="+mn-lt"/>
              <a:ea typeface="+mn-ea"/>
              <a:cs typeface="+mn-cs"/>
            </a:rPr>
            <a:t> and data grading</a:t>
          </a:r>
          <a:endParaRPr lang="en-US" sz="1000">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22</xdr:row>
      <xdr:rowOff>1905</xdr:rowOff>
    </xdr:from>
    <xdr:to>
      <xdr:col>3</xdr:col>
      <xdr:colOff>401442</xdr:colOff>
      <xdr:row>22</xdr:row>
      <xdr:rowOff>129921</xdr:rowOff>
    </xdr:to>
    <xdr:sp macro="" textlink="">
      <xdr:nvSpPr>
        <xdr:cNvPr id="9218" name="Text Box 2">
          <a:hlinkClick xmlns:r="http://schemas.openxmlformats.org/officeDocument/2006/relationships" r:id="rId1"/>
          <a:extLst>
            <a:ext uri="{FF2B5EF4-FFF2-40B4-BE49-F238E27FC236}">
              <a16:creationId xmlns:a16="http://schemas.microsoft.com/office/drawing/2014/main" id="{0159F138-8478-85DB-4017-8399AF46C030}"/>
            </a:ext>
          </a:extLst>
        </xdr:cNvPr>
        <xdr:cNvSpPr txBox="1">
          <a:spLocks noChangeArrowheads="1"/>
        </xdr:cNvSpPr>
      </xdr:nvSpPr>
      <xdr:spPr bwMode="auto">
        <a:xfrm>
          <a:off x="4451985" y="330136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23</xdr:row>
      <xdr:rowOff>0</xdr:rowOff>
    </xdr:from>
    <xdr:to>
      <xdr:col>3</xdr:col>
      <xdr:colOff>401442</xdr:colOff>
      <xdr:row>23</xdr:row>
      <xdr:rowOff>130192</xdr:rowOff>
    </xdr:to>
    <xdr:sp macro="" textlink="">
      <xdr:nvSpPr>
        <xdr:cNvPr id="9219" name="Text Box 3">
          <a:hlinkClick xmlns:r="http://schemas.openxmlformats.org/officeDocument/2006/relationships" r:id="rId2"/>
          <a:extLst>
            <a:ext uri="{FF2B5EF4-FFF2-40B4-BE49-F238E27FC236}">
              <a16:creationId xmlns:a16="http://schemas.microsoft.com/office/drawing/2014/main" id="{569F6661-7EA9-EED0-FD3C-A1E0E40BB8E2}"/>
            </a:ext>
          </a:extLst>
        </xdr:cNvPr>
        <xdr:cNvSpPr txBox="1">
          <a:spLocks noChangeArrowheads="1"/>
        </xdr:cNvSpPr>
      </xdr:nvSpPr>
      <xdr:spPr bwMode="auto">
        <a:xfrm>
          <a:off x="4422401" y="350520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25</xdr:row>
      <xdr:rowOff>9525</xdr:rowOff>
    </xdr:from>
    <xdr:to>
      <xdr:col>3</xdr:col>
      <xdr:colOff>401442</xdr:colOff>
      <xdr:row>25</xdr:row>
      <xdr:rowOff>144653</xdr:rowOff>
    </xdr:to>
    <xdr:sp macro="" textlink="">
      <xdr:nvSpPr>
        <xdr:cNvPr id="9220" name="Text Box 4">
          <a:hlinkClick xmlns:r="http://schemas.openxmlformats.org/officeDocument/2006/relationships" r:id="rId3"/>
          <a:extLst>
            <a:ext uri="{FF2B5EF4-FFF2-40B4-BE49-F238E27FC236}">
              <a16:creationId xmlns:a16="http://schemas.microsoft.com/office/drawing/2014/main" id="{9F716B38-BBE3-28C3-98BD-084E6D36A1D8}"/>
            </a:ext>
          </a:extLst>
        </xdr:cNvPr>
        <xdr:cNvSpPr txBox="1">
          <a:spLocks noChangeArrowheads="1"/>
        </xdr:cNvSpPr>
      </xdr:nvSpPr>
      <xdr:spPr bwMode="auto">
        <a:xfrm>
          <a:off x="4451985" y="399669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14</xdr:row>
      <xdr:rowOff>9525</xdr:rowOff>
    </xdr:from>
    <xdr:to>
      <xdr:col>3</xdr:col>
      <xdr:colOff>401442</xdr:colOff>
      <xdr:row>14</xdr:row>
      <xdr:rowOff>126568</xdr:rowOff>
    </xdr:to>
    <xdr:sp macro="" textlink="">
      <xdr:nvSpPr>
        <xdr:cNvPr id="9221" name="Text Box 5">
          <a:hlinkClick xmlns:r="http://schemas.openxmlformats.org/officeDocument/2006/relationships" r:id="rId4"/>
          <a:extLst>
            <a:ext uri="{FF2B5EF4-FFF2-40B4-BE49-F238E27FC236}">
              <a16:creationId xmlns:a16="http://schemas.microsoft.com/office/drawing/2014/main" id="{A9FF8DDE-9CFF-8AFC-F976-F33BDC262494}"/>
            </a:ext>
          </a:extLst>
        </xdr:cNvPr>
        <xdr:cNvSpPr txBox="1">
          <a:spLocks noChangeArrowheads="1"/>
        </xdr:cNvSpPr>
      </xdr:nvSpPr>
      <xdr:spPr bwMode="auto">
        <a:xfrm>
          <a:off x="442240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24</xdr:row>
      <xdr:rowOff>7620</xdr:rowOff>
    </xdr:from>
    <xdr:to>
      <xdr:col>3</xdr:col>
      <xdr:colOff>401442</xdr:colOff>
      <xdr:row>25</xdr:row>
      <xdr:rowOff>5690</xdr:rowOff>
    </xdr:to>
    <xdr:sp macro="" textlink="">
      <xdr:nvSpPr>
        <xdr:cNvPr id="9222" name="Text Box 6">
          <a:hlinkClick xmlns:r="http://schemas.openxmlformats.org/officeDocument/2006/relationships" r:id="rId5"/>
          <a:extLst>
            <a:ext uri="{FF2B5EF4-FFF2-40B4-BE49-F238E27FC236}">
              <a16:creationId xmlns:a16="http://schemas.microsoft.com/office/drawing/2014/main" id="{2F563A21-B1FF-CA16-C330-FFC9BEE0C81D}"/>
            </a:ext>
          </a:extLst>
        </xdr:cNvPr>
        <xdr:cNvSpPr txBox="1">
          <a:spLocks noChangeArrowheads="1"/>
        </xdr:cNvSpPr>
      </xdr:nvSpPr>
      <xdr:spPr bwMode="auto">
        <a:xfrm>
          <a:off x="4422401" y="368057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102870</xdr:colOff>
      <xdr:row>2</xdr:row>
      <xdr:rowOff>83820</xdr:rowOff>
    </xdr:from>
    <xdr:to>
      <xdr:col>2</xdr:col>
      <xdr:colOff>307205</xdr:colOff>
      <xdr:row>3</xdr:row>
      <xdr:rowOff>111953</xdr:rowOff>
    </xdr:to>
    <xdr:sp macro="" textlink="">
      <xdr:nvSpPr>
        <xdr:cNvPr id="9223" name="Text Box 7">
          <a:extLst>
            <a:ext uri="{FF2B5EF4-FFF2-40B4-BE49-F238E27FC236}">
              <a16:creationId xmlns:a16="http://schemas.microsoft.com/office/drawing/2014/main" id="{38B2F363-A29E-C2D8-7BB7-4147C42AF8AE}"/>
            </a:ext>
          </a:extLst>
        </xdr:cNvPr>
        <xdr:cNvSpPr txBox="1">
          <a:spLocks noChangeArrowheads="1"/>
        </xdr:cNvSpPr>
      </xdr:nvSpPr>
      <xdr:spPr bwMode="auto">
        <a:xfrm>
          <a:off x="276225" y="702945"/>
          <a:ext cx="219075" cy="131731"/>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363855</xdr:colOff>
      <xdr:row>2</xdr:row>
      <xdr:rowOff>76200</xdr:rowOff>
    </xdr:from>
    <xdr:to>
      <xdr:col>2</xdr:col>
      <xdr:colOff>1735455</xdr:colOff>
      <xdr:row>4</xdr:row>
      <xdr:rowOff>5314</xdr:rowOff>
    </xdr:to>
    <xdr:sp macro="" textlink="">
      <xdr:nvSpPr>
        <xdr:cNvPr id="9224" name="Text Box 8">
          <a:extLst>
            <a:ext uri="{FF2B5EF4-FFF2-40B4-BE49-F238E27FC236}">
              <a16:creationId xmlns:a16="http://schemas.microsoft.com/office/drawing/2014/main" id="{A5E6333E-0EF0-0A47-E375-67A5F0ED28A6}"/>
            </a:ext>
          </a:extLst>
        </xdr:cNvPr>
        <xdr:cNvSpPr txBox="1">
          <a:spLocks noChangeArrowheads="1"/>
        </xdr:cNvSpPr>
      </xdr:nvSpPr>
      <xdr:spPr bwMode="auto">
        <a:xfrm>
          <a:off x="544830" y="6324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264783</xdr:colOff>
      <xdr:row>62</xdr:row>
      <xdr:rowOff>30480</xdr:rowOff>
    </xdr:from>
    <xdr:to>
      <xdr:col>3</xdr:col>
      <xdr:colOff>399525</xdr:colOff>
      <xdr:row>63</xdr:row>
      <xdr:rowOff>7262</xdr:rowOff>
    </xdr:to>
    <xdr:sp macro="" textlink="">
      <xdr:nvSpPr>
        <xdr:cNvPr id="9229" name="Text Box 13">
          <a:hlinkClick xmlns:r="http://schemas.openxmlformats.org/officeDocument/2006/relationships" r:id="rId6"/>
          <a:extLst>
            <a:ext uri="{FF2B5EF4-FFF2-40B4-BE49-F238E27FC236}">
              <a16:creationId xmlns:a16="http://schemas.microsoft.com/office/drawing/2014/main" id="{20048A5E-0600-E12E-BF2B-BA409CE2C4CC}"/>
            </a:ext>
          </a:extLst>
        </xdr:cNvPr>
        <xdr:cNvSpPr txBox="1">
          <a:spLocks noChangeArrowheads="1"/>
        </xdr:cNvSpPr>
      </xdr:nvSpPr>
      <xdr:spPr bwMode="auto">
        <a:xfrm>
          <a:off x="4420484" y="82895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264783</xdr:colOff>
      <xdr:row>61</xdr:row>
      <xdr:rowOff>22860</xdr:rowOff>
    </xdr:from>
    <xdr:to>
      <xdr:col>3</xdr:col>
      <xdr:colOff>399525</xdr:colOff>
      <xdr:row>62</xdr:row>
      <xdr:rowOff>3429</xdr:rowOff>
    </xdr:to>
    <xdr:sp macro="" textlink="">
      <xdr:nvSpPr>
        <xdr:cNvPr id="9230" name="Text Box 14">
          <a:hlinkClick xmlns:r="http://schemas.openxmlformats.org/officeDocument/2006/relationships" r:id="rId7"/>
          <a:extLst>
            <a:ext uri="{FF2B5EF4-FFF2-40B4-BE49-F238E27FC236}">
              <a16:creationId xmlns:a16="http://schemas.microsoft.com/office/drawing/2014/main" id="{CE5CD33D-602B-5F11-5780-56996C5ABC74}"/>
            </a:ext>
          </a:extLst>
        </xdr:cNvPr>
        <xdr:cNvSpPr txBox="1">
          <a:spLocks noChangeArrowheads="1"/>
        </xdr:cNvSpPr>
      </xdr:nvSpPr>
      <xdr:spPr bwMode="auto">
        <a:xfrm>
          <a:off x="4420484" y="811417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265344</xdr:colOff>
      <xdr:row>42</xdr:row>
      <xdr:rowOff>16696</xdr:rowOff>
    </xdr:from>
    <xdr:to>
      <xdr:col>3</xdr:col>
      <xdr:colOff>400086</xdr:colOff>
      <xdr:row>43</xdr:row>
      <xdr:rowOff>3241</xdr:rowOff>
    </xdr:to>
    <xdr:sp macro="" textlink="">
      <xdr:nvSpPr>
        <xdr:cNvPr id="9231" name="Text Box 15">
          <a:hlinkClick xmlns:r="http://schemas.openxmlformats.org/officeDocument/2006/relationships" r:id="rId8"/>
          <a:extLst>
            <a:ext uri="{FF2B5EF4-FFF2-40B4-BE49-F238E27FC236}">
              <a16:creationId xmlns:a16="http://schemas.microsoft.com/office/drawing/2014/main" id="{7167C1F3-3296-2481-427E-4CEC44F9E670}"/>
            </a:ext>
          </a:extLst>
        </xdr:cNvPr>
        <xdr:cNvSpPr txBox="1">
          <a:spLocks noChangeArrowheads="1"/>
        </xdr:cNvSpPr>
      </xdr:nvSpPr>
      <xdr:spPr bwMode="auto">
        <a:xfrm>
          <a:off x="4421045" y="585843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265344</xdr:colOff>
      <xdr:row>41</xdr:row>
      <xdr:rowOff>17817</xdr:rowOff>
    </xdr:from>
    <xdr:to>
      <xdr:col>3</xdr:col>
      <xdr:colOff>400086</xdr:colOff>
      <xdr:row>41</xdr:row>
      <xdr:rowOff>149262</xdr:rowOff>
    </xdr:to>
    <xdr:sp macro="" textlink="">
      <xdr:nvSpPr>
        <xdr:cNvPr id="9232" name="Text Box 16">
          <a:hlinkClick xmlns:r="http://schemas.openxmlformats.org/officeDocument/2006/relationships" r:id="rId9"/>
          <a:extLst>
            <a:ext uri="{FF2B5EF4-FFF2-40B4-BE49-F238E27FC236}">
              <a16:creationId xmlns:a16="http://schemas.microsoft.com/office/drawing/2014/main" id="{133AD17F-DA91-F6F0-9922-EDC3B2416DE9}"/>
            </a:ext>
          </a:extLst>
        </xdr:cNvPr>
        <xdr:cNvSpPr txBox="1">
          <a:spLocks noChangeArrowheads="1"/>
        </xdr:cNvSpPr>
      </xdr:nvSpPr>
      <xdr:spPr bwMode="auto">
        <a:xfrm>
          <a:off x="4421045" y="56668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264783</xdr:colOff>
      <xdr:row>66</xdr:row>
      <xdr:rowOff>3810</xdr:rowOff>
    </xdr:from>
    <xdr:to>
      <xdr:col>3</xdr:col>
      <xdr:colOff>399525</xdr:colOff>
      <xdr:row>67</xdr:row>
      <xdr:rowOff>8552</xdr:rowOff>
    </xdr:to>
    <xdr:sp macro="" textlink="">
      <xdr:nvSpPr>
        <xdr:cNvPr id="9237" name="Text Box 21">
          <a:hlinkClick xmlns:r="http://schemas.openxmlformats.org/officeDocument/2006/relationships" r:id="rId10"/>
          <a:extLst>
            <a:ext uri="{FF2B5EF4-FFF2-40B4-BE49-F238E27FC236}">
              <a16:creationId xmlns:a16="http://schemas.microsoft.com/office/drawing/2014/main" id="{2D7BAA1A-B3B0-0756-C220-D87A1A156473}"/>
            </a:ext>
          </a:extLst>
        </xdr:cNvPr>
        <xdr:cNvSpPr txBox="1">
          <a:spLocks noChangeArrowheads="1"/>
        </xdr:cNvSpPr>
      </xdr:nvSpPr>
      <xdr:spPr bwMode="auto">
        <a:xfrm>
          <a:off x="4419588" y="8913495"/>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264783</xdr:colOff>
      <xdr:row>68</xdr:row>
      <xdr:rowOff>30480</xdr:rowOff>
    </xdr:from>
    <xdr:to>
      <xdr:col>3</xdr:col>
      <xdr:colOff>399525</xdr:colOff>
      <xdr:row>69</xdr:row>
      <xdr:rowOff>7263</xdr:rowOff>
    </xdr:to>
    <xdr:sp macro="" textlink="">
      <xdr:nvSpPr>
        <xdr:cNvPr id="9238" name="Text Box 22">
          <a:hlinkClick xmlns:r="http://schemas.openxmlformats.org/officeDocument/2006/relationships" r:id="rId11"/>
          <a:extLst>
            <a:ext uri="{FF2B5EF4-FFF2-40B4-BE49-F238E27FC236}">
              <a16:creationId xmlns:a16="http://schemas.microsoft.com/office/drawing/2014/main" id="{DECB2311-7261-1F48-9E6D-A81E05218677}"/>
            </a:ext>
          </a:extLst>
        </xdr:cNvPr>
        <xdr:cNvSpPr txBox="1">
          <a:spLocks noChangeArrowheads="1"/>
        </xdr:cNvSpPr>
      </xdr:nvSpPr>
      <xdr:spPr bwMode="auto">
        <a:xfrm>
          <a:off x="4420484" y="928463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20955</xdr:colOff>
      <xdr:row>6</xdr:row>
      <xdr:rowOff>85725</xdr:rowOff>
    </xdr:from>
    <xdr:to>
      <xdr:col>15</xdr:col>
      <xdr:colOff>1</xdr:colOff>
      <xdr:row>8</xdr:row>
      <xdr:rowOff>5477</xdr:rowOff>
    </xdr:to>
    <xdr:sp macro="" textlink="">
      <xdr:nvSpPr>
        <xdr:cNvPr id="9241" name="Text Box 25">
          <a:extLst>
            <a:ext uri="{FF2B5EF4-FFF2-40B4-BE49-F238E27FC236}">
              <a16:creationId xmlns:a16="http://schemas.microsoft.com/office/drawing/2014/main" id="{FDE0771B-67B0-AA3C-7189-5BD0E11827DA}"/>
            </a:ext>
          </a:extLst>
        </xdr:cNvPr>
        <xdr:cNvSpPr txBox="1">
          <a:spLocks noChangeArrowheads="1"/>
        </xdr:cNvSpPr>
      </xdr:nvSpPr>
      <xdr:spPr bwMode="auto">
        <a:xfrm>
          <a:off x="180975" y="1133475"/>
          <a:ext cx="9496425" cy="3048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(n/a or 1-10) using the drop-down list to the left of the input cell. Hover the mouse over the cell to obtain a description of the grades</a:t>
          </a:r>
        </a:p>
      </xdr:txBody>
    </xdr:sp>
    <xdr:clientData/>
  </xdr:twoCellAnchor>
  <xdr:twoCellAnchor>
    <xdr:from>
      <xdr:col>3</xdr:col>
      <xdr:colOff>269826</xdr:colOff>
      <xdr:row>77</xdr:row>
      <xdr:rowOff>19722</xdr:rowOff>
    </xdr:from>
    <xdr:to>
      <xdr:col>3</xdr:col>
      <xdr:colOff>397082</xdr:colOff>
      <xdr:row>77</xdr:row>
      <xdr:rowOff>141566</xdr:rowOff>
    </xdr:to>
    <xdr:sp macro="" textlink="">
      <xdr:nvSpPr>
        <xdr:cNvPr id="9253" name="Text Box 37">
          <a:hlinkClick xmlns:r="http://schemas.openxmlformats.org/officeDocument/2006/relationships" r:id="rId12"/>
          <a:extLst>
            <a:ext uri="{FF2B5EF4-FFF2-40B4-BE49-F238E27FC236}">
              <a16:creationId xmlns:a16="http://schemas.microsoft.com/office/drawing/2014/main" id="{2720124D-7083-0BFB-C2E8-E2BD10840CCD}"/>
            </a:ext>
          </a:extLst>
        </xdr:cNvPr>
        <xdr:cNvSpPr txBox="1">
          <a:spLocks noChangeArrowheads="1"/>
        </xdr:cNvSpPr>
      </xdr:nvSpPr>
      <xdr:spPr bwMode="auto">
        <a:xfrm>
          <a:off x="4425527" y="1032084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15</xdr:row>
      <xdr:rowOff>12347</xdr:rowOff>
    </xdr:from>
    <xdr:to>
      <xdr:col>3</xdr:col>
      <xdr:colOff>401442</xdr:colOff>
      <xdr:row>15</xdr:row>
      <xdr:rowOff>131219</xdr:rowOff>
    </xdr:to>
    <xdr:sp macro="" textlink="">
      <xdr:nvSpPr>
        <xdr:cNvPr id="9311" name="Text Box 95">
          <a:hlinkClick xmlns:r="http://schemas.openxmlformats.org/officeDocument/2006/relationships" r:id="rId13"/>
          <a:extLst>
            <a:ext uri="{FF2B5EF4-FFF2-40B4-BE49-F238E27FC236}">
              <a16:creationId xmlns:a16="http://schemas.microsoft.com/office/drawing/2014/main" id="{5383599F-FEF7-A3A8-AC45-8B4698815FCC}"/>
            </a:ext>
          </a:extLst>
        </xdr:cNvPr>
        <xdr:cNvSpPr txBox="1">
          <a:spLocks noChangeArrowheads="1"/>
        </xdr:cNvSpPr>
      </xdr:nvSpPr>
      <xdr:spPr bwMode="auto">
        <a:xfrm>
          <a:off x="4422401" y="2349558"/>
          <a:ext cx="219456" cy="146304"/>
        </a:xfrm>
        <a:prstGeom prst="rect">
          <a:avLst/>
        </a:prstGeom>
        <a:solidFill>
          <a:schemeClr val="accent1"/>
        </a:solidFill>
        <a:ln w="9525">
          <a:solidFill>
            <a:schemeClr val="bg1"/>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16</xdr:row>
      <xdr:rowOff>22860</xdr:rowOff>
    </xdr:from>
    <xdr:to>
      <xdr:col>3</xdr:col>
      <xdr:colOff>401442</xdr:colOff>
      <xdr:row>17</xdr:row>
      <xdr:rowOff>3429</xdr:rowOff>
    </xdr:to>
    <xdr:sp macro="" textlink="">
      <xdr:nvSpPr>
        <xdr:cNvPr id="9312" name="Text Box 96">
          <a:hlinkClick xmlns:r="http://schemas.openxmlformats.org/officeDocument/2006/relationships" r:id="rId14"/>
          <a:extLst>
            <a:ext uri="{FF2B5EF4-FFF2-40B4-BE49-F238E27FC236}">
              <a16:creationId xmlns:a16="http://schemas.microsoft.com/office/drawing/2014/main" id="{B9D9D28E-21CC-9C74-1531-9E7DE0245180}"/>
            </a:ext>
          </a:extLst>
        </xdr:cNvPr>
        <xdr:cNvSpPr txBox="1">
          <a:spLocks noChangeArrowheads="1"/>
        </xdr:cNvSpPr>
      </xdr:nvSpPr>
      <xdr:spPr bwMode="auto">
        <a:xfrm>
          <a:off x="4422401" y="252020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265344</xdr:colOff>
      <xdr:row>37</xdr:row>
      <xdr:rowOff>27342</xdr:rowOff>
    </xdr:from>
    <xdr:to>
      <xdr:col>3</xdr:col>
      <xdr:colOff>400086</xdr:colOff>
      <xdr:row>37</xdr:row>
      <xdr:rowOff>148381</xdr:rowOff>
    </xdr:to>
    <xdr:sp macro="" textlink="">
      <xdr:nvSpPr>
        <xdr:cNvPr id="9313" name="Text Box 97">
          <a:hlinkClick xmlns:r="http://schemas.openxmlformats.org/officeDocument/2006/relationships" r:id="rId15"/>
          <a:extLst>
            <a:ext uri="{FF2B5EF4-FFF2-40B4-BE49-F238E27FC236}">
              <a16:creationId xmlns:a16="http://schemas.microsoft.com/office/drawing/2014/main" id="{313F994C-4EAD-0A8F-0481-5B7CB943A132}"/>
            </a:ext>
          </a:extLst>
        </xdr:cNvPr>
        <xdr:cNvSpPr txBox="1">
          <a:spLocks noChangeArrowheads="1"/>
        </xdr:cNvSpPr>
      </xdr:nvSpPr>
      <xdr:spPr bwMode="auto">
        <a:xfrm>
          <a:off x="4421045" y="523650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269826</xdr:colOff>
      <xdr:row>76</xdr:row>
      <xdr:rowOff>27342</xdr:rowOff>
    </xdr:from>
    <xdr:to>
      <xdr:col>3</xdr:col>
      <xdr:colOff>406172</xdr:colOff>
      <xdr:row>77</xdr:row>
      <xdr:rowOff>4573</xdr:rowOff>
    </xdr:to>
    <xdr:sp macro="" textlink="">
      <xdr:nvSpPr>
        <xdr:cNvPr id="9315" name="Text Box 99">
          <a:hlinkClick xmlns:r="http://schemas.openxmlformats.org/officeDocument/2006/relationships" r:id="rId16"/>
          <a:extLst>
            <a:ext uri="{FF2B5EF4-FFF2-40B4-BE49-F238E27FC236}">
              <a16:creationId xmlns:a16="http://schemas.microsoft.com/office/drawing/2014/main" id="{6C29A615-0304-92D6-7EF8-BA478F2218CB}"/>
            </a:ext>
          </a:extLst>
        </xdr:cNvPr>
        <xdr:cNvSpPr txBox="1">
          <a:spLocks noChangeArrowheads="1"/>
        </xdr:cNvSpPr>
      </xdr:nvSpPr>
      <xdr:spPr bwMode="auto">
        <a:xfrm>
          <a:off x="4425527" y="1015365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269826</xdr:colOff>
      <xdr:row>75</xdr:row>
      <xdr:rowOff>27342</xdr:rowOff>
    </xdr:from>
    <xdr:to>
      <xdr:col>3</xdr:col>
      <xdr:colOff>406172</xdr:colOff>
      <xdr:row>76</xdr:row>
      <xdr:rowOff>4573</xdr:rowOff>
    </xdr:to>
    <xdr:sp macro="" textlink="">
      <xdr:nvSpPr>
        <xdr:cNvPr id="9316" name="Text Box 100">
          <a:hlinkClick xmlns:r="http://schemas.openxmlformats.org/officeDocument/2006/relationships" r:id="rId17"/>
          <a:extLst>
            <a:ext uri="{FF2B5EF4-FFF2-40B4-BE49-F238E27FC236}">
              <a16:creationId xmlns:a16="http://schemas.microsoft.com/office/drawing/2014/main" id="{DEC85AD3-C84A-BCBE-B483-7421E3421D2C}"/>
            </a:ext>
          </a:extLst>
        </xdr:cNvPr>
        <xdr:cNvSpPr txBox="1">
          <a:spLocks noChangeArrowheads="1"/>
        </xdr:cNvSpPr>
      </xdr:nvSpPr>
      <xdr:spPr bwMode="auto">
        <a:xfrm>
          <a:off x="4425527" y="997883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449580</xdr:colOff>
      <xdr:row>65</xdr:row>
      <xdr:rowOff>57150</xdr:rowOff>
    </xdr:from>
    <xdr:to>
      <xdr:col>13</xdr:col>
      <xdr:colOff>152167</xdr:colOff>
      <xdr:row>67</xdr:row>
      <xdr:rowOff>59099</xdr:rowOff>
    </xdr:to>
    <xdr:sp macro="" textlink="">
      <xdr:nvSpPr>
        <xdr:cNvPr id="9343" name="Rectangle 127">
          <a:extLst>
            <a:ext uri="{FF2B5EF4-FFF2-40B4-BE49-F238E27FC236}">
              <a16:creationId xmlns:a16="http://schemas.microsoft.com/office/drawing/2014/main" id="{E23B87F0-6F05-C531-A75A-25BE3EE1CE4A}"/>
            </a:ext>
          </a:extLst>
        </xdr:cNvPr>
        <xdr:cNvSpPr>
          <a:spLocks noChangeArrowheads="1"/>
        </xdr:cNvSpPr>
      </xdr:nvSpPr>
      <xdr:spPr bwMode="auto">
        <a:xfrm>
          <a:off x="6722745" y="8831580"/>
          <a:ext cx="2634615" cy="337229"/>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pitchFamily="34" charset="0"/>
              <a:cs typeface="Arial" pitchFamily="34" charset="0"/>
            </a:rPr>
            <a:t>(length of service line, </a:t>
          </a:r>
          <a:r>
            <a:rPr lang="en-US" sz="900" b="0" i="0" u="sng" strike="noStrike" baseline="0">
              <a:solidFill>
                <a:srgbClr val="000000"/>
              </a:solidFill>
              <a:latin typeface="Arial" pitchFamily="34" charset="0"/>
              <a:cs typeface="Arial" pitchFamily="34" charset="0"/>
            </a:rPr>
            <a:t>beyond</a:t>
          </a:r>
          <a:r>
            <a:rPr lang="en-US" sz="900" b="0" i="0" u="none" strike="noStrike" baseline="0">
              <a:solidFill>
                <a:srgbClr val="000000"/>
              </a:solidFill>
              <a:latin typeface="Arial" pitchFamily="34" charset="0"/>
              <a:cs typeface="Arial" pitchFamily="34" charset="0"/>
            </a:rPr>
            <a:t> the property boundary, that is the responsibility of the utility)</a:t>
          </a:r>
        </a:p>
      </xdr:txBody>
    </xdr:sp>
    <xdr:clientData/>
  </xdr:twoCellAnchor>
  <xdr:twoCellAnchor>
    <xdr:from>
      <xdr:col>12</xdr:col>
      <xdr:colOff>219075</xdr:colOff>
      <xdr:row>28</xdr:row>
      <xdr:rowOff>0</xdr:rowOff>
    </xdr:from>
    <xdr:to>
      <xdr:col>15</xdr:col>
      <xdr:colOff>118397</xdr:colOff>
      <xdr:row>36</xdr:row>
      <xdr:rowOff>6050</xdr:rowOff>
    </xdr:to>
    <xdr:sp macro="" textlink="">
      <xdr:nvSpPr>
        <xdr:cNvPr id="9442" name="Text Box 226">
          <a:extLst>
            <a:ext uri="{FF2B5EF4-FFF2-40B4-BE49-F238E27FC236}">
              <a16:creationId xmlns:a16="http://schemas.microsoft.com/office/drawing/2014/main" id="{9A292CEE-89C3-DD15-0B71-6E50ABE5E7C2}"/>
            </a:ext>
          </a:extLst>
        </xdr:cNvPr>
        <xdr:cNvSpPr txBox="1">
          <a:spLocks noChangeArrowheads="1"/>
        </xdr:cNvSpPr>
      </xdr:nvSpPr>
      <xdr:spPr bwMode="auto">
        <a:xfrm>
          <a:off x="8804910" y="4351020"/>
          <a:ext cx="1480202" cy="8382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12</xdr:col>
      <xdr:colOff>409575</xdr:colOff>
      <xdr:row>34</xdr:row>
      <xdr:rowOff>85725</xdr:rowOff>
    </xdr:from>
    <xdr:to>
      <xdr:col>12</xdr:col>
      <xdr:colOff>409575</xdr:colOff>
      <xdr:row>36</xdr:row>
      <xdr:rowOff>142875</xdr:rowOff>
    </xdr:to>
    <xdr:sp macro="" textlink="">
      <xdr:nvSpPr>
        <xdr:cNvPr id="6044559" name="Line 227">
          <a:extLst>
            <a:ext uri="{FF2B5EF4-FFF2-40B4-BE49-F238E27FC236}">
              <a16:creationId xmlns:a16="http://schemas.microsoft.com/office/drawing/2014/main" id="{57B4F90A-52B2-7B94-DB8F-E6D18B11115E}"/>
            </a:ext>
          </a:extLst>
        </xdr:cNvPr>
        <xdr:cNvSpPr>
          <a:spLocks noChangeShapeType="1"/>
        </xdr:cNvSpPr>
      </xdr:nvSpPr>
      <xdr:spPr bwMode="auto">
        <a:xfrm>
          <a:off x="8763000" y="5010150"/>
          <a:ext cx="0" cy="3143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409575</xdr:colOff>
      <xdr:row>34</xdr:row>
      <xdr:rowOff>57150</xdr:rowOff>
    </xdr:from>
    <xdr:to>
      <xdr:col>13</xdr:col>
      <xdr:colOff>114300</xdr:colOff>
      <xdr:row>34</xdr:row>
      <xdr:rowOff>57150</xdr:rowOff>
    </xdr:to>
    <xdr:sp macro="" textlink="">
      <xdr:nvSpPr>
        <xdr:cNvPr id="6044560" name="Line 228">
          <a:extLst>
            <a:ext uri="{FF2B5EF4-FFF2-40B4-BE49-F238E27FC236}">
              <a16:creationId xmlns:a16="http://schemas.microsoft.com/office/drawing/2014/main" id="{A7EF0E29-1E1E-BF32-B303-810A9EAD6175}"/>
            </a:ext>
          </a:extLst>
        </xdr:cNvPr>
        <xdr:cNvSpPr>
          <a:spLocks noChangeShapeType="1"/>
        </xdr:cNvSpPr>
      </xdr:nvSpPr>
      <xdr:spPr bwMode="auto">
        <a:xfrm>
          <a:off x="8763000" y="49815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171450</xdr:colOff>
      <xdr:row>29</xdr:row>
      <xdr:rowOff>66675</xdr:rowOff>
    </xdr:from>
    <xdr:to>
      <xdr:col>12</xdr:col>
      <xdr:colOff>333375</xdr:colOff>
      <xdr:row>29</xdr:row>
      <xdr:rowOff>66675</xdr:rowOff>
    </xdr:to>
    <xdr:sp macro="" textlink="">
      <xdr:nvSpPr>
        <xdr:cNvPr id="6044561" name="Line 234">
          <a:extLst>
            <a:ext uri="{FF2B5EF4-FFF2-40B4-BE49-F238E27FC236}">
              <a16:creationId xmlns:a16="http://schemas.microsoft.com/office/drawing/2014/main" id="{C70EDE85-BBDB-F35F-DC95-D2986009367B}"/>
            </a:ext>
          </a:extLst>
        </xdr:cNvPr>
        <xdr:cNvSpPr>
          <a:spLocks noChangeShapeType="1"/>
        </xdr:cNvSpPr>
      </xdr:nvSpPr>
      <xdr:spPr bwMode="auto">
        <a:xfrm flipV="1">
          <a:off x="8524875" y="44672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171450</xdr:colOff>
      <xdr:row>27</xdr:row>
      <xdr:rowOff>28575</xdr:rowOff>
    </xdr:from>
    <xdr:to>
      <xdr:col>12</xdr:col>
      <xdr:colOff>171450</xdr:colOff>
      <xdr:row>29</xdr:row>
      <xdr:rowOff>66675</xdr:rowOff>
    </xdr:to>
    <xdr:sp macro="" textlink="">
      <xdr:nvSpPr>
        <xdr:cNvPr id="6044562" name="Line 235">
          <a:extLst>
            <a:ext uri="{FF2B5EF4-FFF2-40B4-BE49-F238E27FC236}">
              <a16:creationId xmlns:a16="http://schemas.microsoft.com/office/drawing/2014/main" id="{B1068268-C2AC-831D-5C2E-AE1D268847DF}"/>
            </a:ext>
          </a:extLst>
        </xdr:cNvPr>
        <xdr:cNvSpPr>
          <a:spLocks noChangeShapeType="1"/>
        </xdr:cNvSpPr>
      </xdr:nvSpPr>
      <xdr:spPr bwMode="auto">
        <a:xfrm flipV="1">
          <a:off x="8524875" y="4210050"/>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419100</xdr:colOff>
      <xdr:row>21</xdr:row>
      <xdr:rowOff>22860</xdr:rowOff>
    </xdr:from>
    <xdr:to>
      <xdr:col>14</xdr:col>
      <xdr:colOff>118424</xdr:colOff>
      <xdr:row>21</xdr:row>
      <xdr:rowOff>131318</xdr:rowOff>
    </xdr:to>
    <xdr:sp macro="" textlink="">
      <xdr:nvSpPr>
        <xdr:cNvPr id="9456" name="Text Box 240">
          <a:hlinkClick xmlns:r="http://schemas.openxmlformats.org/officeDocument/2006/relationships" r:id="rId18" tooltip="Defaults"/>
          <a:extLst>
            <a:ext uri="{FF2B5EF4-FFF2-40B4-BE49-F238E27FC236}">
              <a16:creationId xmlns:a16="http://schemas.microsoft.com/office/drawing/2014/main" id="{C372EB6A-4B5A-DB93-9D98-637BC9EBD450}"/>
            </a:ext>
          </a:extLst>
        </xdr:cNvPr>
        <xdr:cNvSpPr txBox="1">
          <a:spLocks noChangeArrowheads="1"/>
        </xdr:cNvSpPr>
      </xdr:nvSpPr>
      <xdr:spPr bwMode="auto">
        <a:xfrm>
          <a:off x="8848725" y="3067050"/>
          <a:ext cx="219075" cy="142875"/>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390525</xdr:colOff>
      <xdr:row>21</xdr:row>
      <xdr:rowOff>22860</xdr:rowOff>
    </xdr:from>
    <xdr:to>
      <xdr:col>13</xdr:col>
      <xdr:colOff>425200</xdr:colOff>
      <xdr:row>22</xdr:row>
      <xdr:rowOff>7620</xdr:rowOff>
    </xdr:to>
    <xdr:sp macro="" textlink="">
      <xdr:nvSpPr>
        <xdr:cNvPr id="9457" name="Text Box 241">
          <a:extLst>
            <a:ext uri="{FF2B5EF4-FFF2-40B4-BE49-F238E27FC236}">
              <a16:creationId xmlns:a16="http://schemas.microsoft.com/office/drawing/2014/main" id="{EC406B9F-C656-3716-8164-5B08FA0AD54C}"/>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12</xdr:col>
      <xdr:colOff>392430</xdr:colOff>
      <xdr:row>21</xdr:row>
      <xdr:rowOff>129540</xdr:rowOff>
    </xdr:from>
    <xdr:to>
      <xdr:col>14</xdr:col>
      <xdr:colOff>314297</xdr:colOff>
      <xdr:row>23</xdr:row>
      <xdr:rowOff>125772</xdr:rowOff>
    </xdr:to>
    <xdr:sp macro="" textlink="">
      <xdr:nvSpPr>
        <xdr:cNvPr id="9459" name="Text Box 243">
          <a:extLst>
            <a:ext uri="{FF2B5EF4-FFF2-40B4-BE49-F238E27FC236}">
              <a16:creationId xmlns:a16="http://schemas.microsoft.com/office/drawing/2014/main" id="{BB63198B-2856-82FC-1120-E8A47EEBB207}"/>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lnSpc>
              <a:spcPts val="800"/>
            </a:lnSpc>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3</xdr:col>
      <xdr:colOff>267249</xdr:colOff>
      <xdr:row>51</xdr:row>
      <xdr:rowOff>11541</xdr:rowOff>
    </xdr:from>
    <xdr:to>
      <xdr:col>3</xdr:col>
      <xdr:colOff>401991</xdr:colOff>
      <xdr:row>52</xdr:row>
      <xdr:rowOff>789</xdr:rowOff>
    </xdr:to>
    <xdr:sp macro="" textlink="">
      <xdr:nvSpPr>
        <xdr:cNvPr id="9704" name="Text Box 488">
          <a:hlinkClick xmlns:r="http://schemas.openxmlformats.org/officeDocument/2006/relationships" r:id="rId19"/>
          <a:extLst>
            <a:ext uri="{FF2B5EF4-FFF2-40B4-BE49-F238E27FC236}">
              <a16:creationId xmlns:a16="http://schemas.microsoft.com/office/drawing/2014/main" id="{1F2A9C43-13AB-D36E-58A4-D67E02C6D34A}"/>
            </a:ext>
          </a:extLst>
        </xdr:cNvPr>
        <xdr:cNvSpPr txBox="1">
          <a:spLocks noChangeArrowheads="1"/>
        </xdr:cNvSpPr>
      </xdr:nvSpPr>
      <xdr:spPr bwMode="auto">
        <a:xfrm>
          <a:off x="4422950" y="676835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263091</xdr:colOff>
      <xdr:row>29</xdr:row>
      <xdr:rowOff>30480</xdr:rowOff>
    </xdr:from>
    <xdr:to>
      <xdr:col>3</xdr:col>
      <xdr:colOff>397833</xdr:colOff>
      <xdr:row>30</xdr:row>
      <xdr:rowOff>7369</xdr:rowOff>
    </xdr:to>
    <xdr:sp macro="" textlink="">
      <xdr:nvSpPr>
        <xdr:cNvPr id="9705" name="Text Box 489">
          <a:hlinkClick xmlns:r="http://schemas.openxmlformats.org/officeDocument/2006/relationships" r:id="rId20"/>
          <a:extLst>
            <a:ext uri="{FF2B5EF4-FFF2-40B4-BE49-F238E27FC236}">
              <a16:creationId xmlns:a16="http://schemas.microsoft.com/office/drawing/2014/main" id="{F2DBF4E6-5C2B-0E96-60FE-E0C123F10DE4}"/>
            </a:ext>
          </a:extLst>
        </xdr:cNvPr>
        <xdr:cNvSpPr txBox="1">
          <a:spLocks noChangeArrowheads="1"/>
        </xdr:cNvSpPr>
      </xdr:nvSpPr>
      <xdr:spPr bwMode="auto">
        <a:xfrm>
          <a:off x="4418792" y="429577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283833</xdr:colOff>
      <xdr:row>57</xdr:row>
      <xdr:rowOff>0</xdr:rowOff>
    </xdr:from>
    <xdr:to>
      <xdr:col>3</xdr:col>
      <xdr:colOff>401892</xdr:colOff>
      <xdr:row>58</xdr:row>
      <xdr:rowOff>2591</xdr:rowOff>
    </xdr:to>
    <xdr:sp macro="" textlink="">
      <xdr:nvSpPr>
        <xdr:cNvPr id="9706" name="Text Box 490">
          <a:hlinkClick xmlns:r="http://schemas.openxmlformats.org/officeDocument/2006/relationships" r:id="rId21"/>
          <a:extLst>
            <a:ext uri="{FF2B5EF4-FFF2-40B4-BE49-F238E27FC236}">
              <a16:creationId xmlns:a16="http://schemas.microsoft.com/office/drawing/2014/main" id="{F20F0F18-537A-EBD0-EE69-52B3DFFCABA5}"/>
            </a:ext>
          </a:extLst>
        </xdr:cNvPr>
        <xdr:cNvSpPr txBox="1">
          <a:spLocks noChangeArrowheads="1"/>
        </xdr:cNvSpPr>
      </xdr:nvSpPr>
      <xdr:spPr bwMode="auto">
        <a:xfrm>
          <a:off x="4431914" y="749449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265344</xdr:colOff>
      <xdr:row>46</xdr:row>
      <xdr:rowOff>31602</xdr:rowOff>
    </xdr:from>
    <xdr:to>
      <xdr:col>3</xdr:col>
      <xdr:colOff>400086</xdr:colOff>
      <xdr:row>46</xdr:row>
      <xdr:rowOff>152022</xdr:rowOff>
    </xdr:to>
    <xdr:sp macro="" textlink="">
      <xdr:nvSpPr>
        <xdr:cNvPr id="9710" name="Text Box 494">
          <a:hlinkClick xmlns:r="http://schemas.openxmlformats.org/officeDocument/2006/relationships" r:id="rId22"/>
          <a:extLst>
            <a:ext uri="{FF2B5EF4-FFF2-40B4-BE49-F238E27FC236}">
              <a16:creationId xmlns:a16="http://schemas.microsoft.com/office/drawing/2014/main" id="{858BA1A8-3760-31F3-02F3-705EACFE2D9A}"/>
            </a:ext>
          </a:extLst>
        </xdr:cNvPr>
        <xdr:cNvSpPr txBox="1">
          <a:spLocks noChangeArrowheads="1"/>
        </xdr:cNvSpPr>
      </xdr:nvSpPr>
      <xdr:spPr bwMode="auto">
        <a:xfrm>
          <a:off x="4421045" y="623271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xdr:from>
          <xdr:col>12</xdr:col>
          <xdr:colOff>9525</xdr:colOff>
          <xdr:row>37</xdr:row>
          <xdr:rowOff>0</xdr:rowOff>
        </xdr:from>
        <xdr:to>
          <xdr:col>12</xdr:col>
          <xdr:colOff>590550</xdr:colOff>
          <xdr:row>38</xdr:row>
          <xdr:rowOff>0</xdr:rowOff>
        </xdr:to>
        <xdr:grpSp>
          <xdr:nvGrpSpPr>
            <xdr:cNvPr id="6044570" name="Group 189">
              <a:extLst>
                <a:ext uri="{FF2B5EF4-FFF2-40B4-BE49-F238E27FC236}">
                  <a16:creationId xmlns:a16="http://schemas.microsoft.com/office/drawing/2014/main" id="{B02A1F88-26A8-5067-F610-2E3846E97C12}"/>
                </a:ext>
              </a:extLst>
            </xdr:cNvPr>
            <xdr:cNvGrpSpPr>
              <a:grpSpLocks/>
            </xdr:cNvGrpSpPr>
          </xdr:nvGrpSpPr>
          <xdr:grpSpPr bwMode="auto">
            <a:xfrm>
              <a:off x="8362950" y="5343525"/>
              <a:ext cx="581025" cy="190500"/>
              <a:chOff x="1005" y="345"/>
              <a:chExt cx="64" cy="29"/>
            </a:xfrm>
          </xdr:grpSpPr>
          <xdr:sp macro="" textlink="">
            <xdr:nvSpPr>
              <xdr:cNvPr id="9399" name="Group Box 183" hidden="1">
                <a:extLst>
                  <a:ext uri="{63B3BB69-23CF-44E3-9099-C40C66FF867C}">
                    <a14:compatExt spid="_x0000_s9399"/>
                  </a:ext>
                  <a:ext uri="{FF2B5EF4-FFF2-40B4-BE49-F238E27FC236}">
                    <a16:creationId xmlns:a16="http://schemas.microsoft.com/office/drawing/2014/main" id="{19A7BEA8-C8DD-804F-E1D3-A5187E9275C1}"/>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01" name="Option Button 185" hidden="1">
                <a:extLst>
                  <a:ext uri="{63B3BB69-23CF-44E3-9099-C40C66FF867C}">
                    <a14:compatExt spid="_x0000_s9401"/>
                  </a:ext>
                  <a:ext uri="{FF2B5EF4-FFF2-40B4-BE49-F238E27FC236}">
                    <a16:creationId xmlns:a16="http://schemas.microsoft.com/office/drawing/2014/main" id="{C5796E3B-5B2D-6C56-A0F9-FF8E3C6BB51B}"/>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02" name="Option Button 186" hidden="1">
                <a:extLst>
                  <a:ext uri="{63B3BB69-23CF-44E3-9099-C40C66FF867C}">
                    <a14:compatExt spid="_x0000_s9402"/>
                  </a:ext>
                  <a:ext uri="{FF2B5EF4-FFF2-40B4-BE49-F238E27FC236}">
                    <a16:creationId xmlns:a16="http://schemas.microsoft.com/office/drawing/2014/main" id="{2FC22FCB-217C-0D7B-A54A-487D555B6711}"/>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40</xdr:row>
          <xdr:rowOff>19050</xdr:rowOff>
        </xdr:from>
        <xdr:to>
          <xdr:col>13</xdr:col>
          <xdr:colOff>0</xdr:colOff>
          <xdr:row>41</xdr:row>
          <xdr:rowOff>180975</xdr:rowOff>
        </xdr:to>
        <xdr:grpSp>
          <xdr:nvGrpSpPr>
            <xdr:cNvPr id="6044571" name="Group 198">
              <a:extLst>
                <a:ext uri="{FF2B5EF4-FFF2-40B4-BE49-F238E27FC236}">
                  <a16:creationId xmlns:a16="http://schemas.microsoft.com/office/drawing/2014/main" id="{B4B92FA1-024D-796E-8B1C-D5A38CA98151}"/>
                </a:ext>
              </a:extLst>
            </xdr:cNvPr>
            <xdr:cNvGrpSpPr>
              <a:grpSpLocks/>
            </xdr:cNvGrpSpPr>
          </xdr:nvGrpSpPr>
          <xdr:grpSpPr bwMode="auto">
            <a:xfrm>
              <a:off x="8353425" y="5772150"/>
              <a:ext cx="600075" cy="190500"/>
              <a:chOff x="762" y="543"/>
              <a:chExt cx="61" cy="29"/>
            </a:xfrm>
          </xdr:grpSpPr>
          <xdr:sp macro="" textlink="">
            <xdr:nvSpPr>
              <xdr:cNvPr id="9411" name="Group Box 195" hidden="1">
                <a:extLst>
                  <a:ext uri="{63B3BB69-23CF-44E3-9099-C40C66FF867C}">
                    <a14:compatExt spid="_x0000_s9411"/>
                  </a:ext>
                  <a:ext uri="{FF2B5EF4-FFF2-40B4-BE49-F238E27FC236}">
                    <a16:creationId xmlns:a16="http://schemas.microsoft.com/office/drawing/2014/main" id="{5085A114-D399-420A-9AFA-990C8035DADB}"/>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2" name="Option Button 196" hidden="1">
                <a:extLst>
                  <a:ext uri="{63B3BB69-23CF-44E3-9099-C40C66FF867C}">
                    <a14:compatExt spid="_x0000_s9412"/>
                  </a:ext>
                  <a:ext uri="{FF2B5EF4-FFF2-40B4-BE49-F238E27FC236}">
                    <a16:creationId xmlns:a16="http://schemas.microsoft.com/office/drawing/2014/main" id="{EE179DCC-2189-8F2D-7321-A31F098A84E1}"/>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13" name="Option Button 197" hidden="1">
                <a:extLst>
                  <a:ext uri="{63B3BB69-23CF-44E3-9099-C40C66FF867C}">
                    <a14:compatExt spid="_x0000_s9413"/>
                  </a:ext>
                  <a:ext uri="{FF2B5EF4-FFF2-40B4-BE49-F238E27FC236}">
                    <a16:creationId xmlns:a16="http://schemas.microsoft.com/office/drawing/2014/main" id="{00965C5E-F174-E709-B9B9-C40972259984}"/>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25</xdr:row>
          <xdr:rowOff>0</xdr:rowOff>
        </xdr:from>
        <xdr:to>
          <xdr:col>12</xdr:col>
          <xdr:colOff>590550</xdr:colOff>
          <xdr:row>26</xdr:row>
          <xdr:rowOff>0</xdr:rowOff>
        </xdr:to>
        <xdr:grpSp>
          <xdr:nvGrpSpPr>
            <xdr:cNvPr id="6044572" name="Group 203">
              <a:extLst>
                <a:ext uri="{FF2B5EF4-FFF2-40B4-BE49-F238E27FC236}">
                  <a16:creationId xmlns:a16="http://schemas.microsoft.com/office/drawing/2014/main" id="{BFF9FF57-172C-78AB-BF36-F74198670500}"/>
                </a:ext>
              </a:extLst>
            </xdr:cNvPr>
            <xdr:cNvGrpSpPr>
              <a:grpSpLocks noChangeAspect="1"/>
            </xdr:cNvGrpSpPr>
          </xdr:nvGrpSpPr>
          <xdr:grpSpPr bwMode="auto">
            <a:xfrm>
              <a:off x="8362950" y="3962400"/>
              <a:ext cx="581025" cy="190500"/>
              <a:chOff x="758" y="403"/>
              <a:chExt cx="61" cy="29"/>
            </a:xfrm>
          </xdr:grpSpPr>
          <xdr:sp macro="" textlink="">
            <xdr:nvSpPr>
              <xdr:cNvPr id="9416" name="Group Box 200" hidden="1">
                <a:extLst>
                  <a:ext uri="{63B3BB69-23CF-44E3-9099-C40C66FF867C}">
                    <a14:compatExt spid="_x0000_s9416"/>
                  </a:ext>
                  <a:ext uri="{FF2B5EF4-FFF2-40B4-BE49-F238E27FC236}">
                    <a16:creationId xmlns:a16="http://schemas.microsoft.com/office/drawing/2014/main" id="{BDEA4787-9C69-FD6F-2E2D-DA1AAE452E72}"/>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7" name="Option Button 201" hidden="1">
                <a:extLst>
                  <a:ext uri="{63B3BB69-23CF-44E3-9099-C40C66FF867C}">
                    <a14:compatExt spid="_x0000_s9417"/>
                  </a:ext>
                  <a:ext uri="{FF2B5EF4-FFF2-40B4-BE49-F238E27FC236}">
                    <a16:creationId xmlns:a16="http://schemas.microsoft.com/office/drawing/2014/main" id="{3F6CB82C-10DF-E5F9-954D-99518A87D6F8}"/>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9418" name="Option Button 202" hidden="1">
                <a:extLst>
                  <a:ext uri="{63B3BB69-23CF-44E3-9099-C40C66FF867C}">
                    <a14:compatExt spid="_x0000_s9418"/>
                  </a:ext>
                  <a:ext uri="{FF2B5EF4-FFF2-40B4-BE49-F238E27FC236}">
                    <a16:creationId xmlns:a16="http://schemas.microsoft.com/office/drawing/2014/main" id="{46BB61B4-FECA-95FC-F1F4-548E7C18BB79}"/>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14</xdr:row>
          <xdr:rowOff>0</xdr:rowOff>
        </xdr:from>
        <xdr:to>
          <xdr:col>12</xdr:col>
          <xdr:colOff>590550</xdr:colOff>
          <xdr:row>15</xdr:row>
          <xdr:rowOff>0</xdr:rowOff>
        </xdr:to>
        <xdr:sp macro="" textlink="">
          <xdr:nvSpPr>
            <xdr:cNvPr id="10118" name="Group Box 902" hidden="1">
              <a:extLst>
                <a:ext uri="{63B3BB69-23CF-44E3-9099-C40C66FF867C}">
                  <a14:compatExt spid="_x0000_s10118"/>
                </a:ext>
                <a:ext uri="{FF2B5EF4-FFF2-40B4-BE49-F238E27FC236}">
                  <a16:creationId xmlns:a16="http://schemas.microsoft.com/office/drawing/2014/main" id="{7B5789E2-2C90-0D1D-4511-DF7DDE4BA72B}"/>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14</xdr:row>
          <xdr:rowOff>19050</xdr:rowOff>
        </xdr:from>
        <xdr:to>
          <xdr:col>12</xdr:col>
          <xdr:colOff>333375</xdr:colOff>
          <xdr:row>14</xdr:row>
          <xdr:rowOff>152400</xdr:rowOff>
        </xdr:to>
        <xdr:sp macro="" textlink="">
          <xdr:nvSpPr>
            <xdr:cNvPr id="10119" name="Option Button 903" hidden="1">
              <a:extLst>
                <a:ext uri="{63B3BB69-23CF-44E3-9099-C40C66FF867C}">
                  <a14:compatExt spid="_x0000_s10119"/>
                </a:ext>
                <a:ext uri="{FF2B5EF4-FFF2-40B4-BE49-F238E27FC236}">
                  <a16:creationId xmlns:a16="http://schemas.microsoft.com/office/drawing/2014/main" id="{15FCCB1C-CE97-25A3-FA67-F9B437E8EF47}"/>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14</xdr:row>
          <xdr:rowOff>19050</xdr:rowOff>
        </xdr:from>
        <xdr:to>
          <xdr:col>12</xdr:col>
          <xdr:colOff>590550</xdr:colOff>
          <xdr:row>14</xdr:row>
          <xdr:rowOff>152400</xdr:rowOff>
        </xdr:to>
        <xdr:sp macro="" textlink="">
          <xdr:nvSpPr>
            <xdr:cNvPr id="10120" name="Option Button 904" hidden="1">
              <a:extLst>
                <a:ext uri="{63B3BB69-23CF-44E3-9099-C40C66FF867C}">
                  <a14:compatExt spid="_x0000_s10120"/>
                </a:ext>
                <a:ext uri="{FF2B5EF4-FFF2-40B4-BE49-F238E27FC236}">
                  <a16:creationId xmlns:a16="http://schemas.microsoft.com/office/drawing/2014/main" id="{F650B854-69C7-C36C-97BE-5BD0B0519D9D}"/>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15</xdr:row>
          <xdr:rowOff>0</xdr:rowOff>
        </xdr:from>
        <xdr:to>
          <xdr:col>12</xdr:col>
          <xdr:colOff>590550</xdr:colOff>
          <xdr:row>16</xdr:row>
          <xdr:rowOff>0</xdr:rowOff>
        </xdr:to>
        <xdr:sp macro="" textlink="">
          <xdr:nvSpPr>
            <xdr:cNvPr id="10122" name="Group Box 906" hidden="1">
              <a:extLst>
                <a:ext uri="{63B3BB69-23CF-44E3-9099-C40C66FF867C}">
                  <a14:compatExt spid="_x0000_s10122"/>
                </a:ext>
                <a:ext uri="{FF2B5EF4-FFF2-40B4-BE49-F238E27FC236}">
                  <a16:creationId xmlns:a16="http://schemas.microsoft.com/office/drawing/2014/main" id="{060E21D8-94DD-7D0F-A0A7-02EA9C3B5D15}"/>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15</xdr:row>
          <xdr:rowOff>19050</xdr:rowOff>
        </xdr:from>
        <xdr:to>
          <xdr:col>12</xdr:col>
          <xdr:colOff>333375</xdr:colOff>
          <xdr:row>15</xdr:row>
          <xdr:rowOff>152400</xdr:rowOff>
        </xdr:to>
        <xdr:sp macro="" textlink="">
          <xdr:nvSpPr>
            <xdr:cNvPr id="10123" name="Option Button 907" hidden="1">
              <a:extLst>
                <a:ext uri="{63B3BB69-23CF-44E3-9099-C40C66FF867C}">
                  <a14:compatExt spid="_x0000_s10123"/>
                </a:ext>
                <a:ext uri="{FF2B5EF4-FFF2-40B4-BE49-F238E27FC236}">
                  <a16:creationId xmlns:a16="http://schemas.microsoft.com/office/drawing/2014/main" id="{98745CB9-9EDF-5190-65D2-AEEFD80B8F06}"/>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15</xdr:row>
          <xdr:rowOff>19050</xdr:rowOff>
        </xdr:from>
        <xdr:to>
          <xdr:col>12</xdr:col>
          <xdr:colOff>590550</xdr:colOff>
          <xdr:row>15</xdr:row>
          <xdr:rowOff>152400</xdr:rowOff>
        </xdr:to>
        <xdr:sp macro="" textlink="">
          <xdr:nvSpPr>
            <xdr:cNvPr id="10124" name="Option Button 908" hidden="1">
              <a:extLst>
                <a:ext uri="{63B3BB69-23CF-44E3-9099-C40C66FF867C}">
                  <a14:compatExt spid="_x0000_s10124"/>
                </a:ext>
                <a:ext uri="{FF2B5EF4-FFF2-40B4-BE49-F238E27FC236}">
                  <a16:creationId xmlns:a16="http://schemas.microsoft.com/office/drawing/2014/main" id="{436DA26D-8B32-6B16-127A-6B798B23E3F2}"/>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16</xdr:row>
          <xdr:rowOff>0</xdr:rowOff>
        </xdr:from>
        <xdr:to>
          <xdr:col>12</xdr:col>
          <xdr:colOff>590550</xdr:colOff>
          <xdr:row>17</xdr:row>
          <xdr:rowOff>0</xdr:rowOff>
        </xdr:to>
        <xdr:sp macro="" textlink="">
          <xdr:nvSpPr>
            <xdr:cNvPr id="10126" name="Group Box 910" hidden="1">
              <a:extLst>
                <a:ext uri="{63B3BB69-23CF-44E3-9099-C40C66FF867C}">
                  <a14:compatExt spid="_x0000_s10126"/>
                </a:ext>
                <a:ext uri="{FF2B5EF4-FFF2-40B4-BE49-F238E27FC236}">
                  <a16:creationId xmlns:a16="http://schemas.microsoft.com/office/drawing/2014/main" id="{24D906CE-DED2-DD71-AF6A-04BF7D9779A4}"/>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16</xdr:row>
          <xdr:rowOff>19050</xdr:rowOff>
        </xdr:from>
        <xdr:to>
          <xdr:col>12</xdr:col>
          <xdr:colOff>333375</xdr:colOff>
          <xdr:row>16</xdr:row>
          <xdr:rowOff>152400</xdr:rowOff>
        </xdr:to>
        <xdr:sp macro="" textlink="">
          <xdr:nvSpPr>
            <xdr:cNvPr id="10127" name="Option Button 911" hidden="1">
              <a:extLst>
                <a:ext uri="{63B3BB69-23CF-44E3-9099-C40C66FF867C}">
                  <a14:compatExt spid="_x0000_s10127"/>
                </a:ext>
                <a:ext uri="{FF2B5EF4-FFF2-40B4-BE49-F238E27FC236}">
                  <a16:creationId xmlns:a16="http://schemas.microsoft.com/office/drawing/2014/main" id="{33419FCD-FE8B-A939-8253-F0B7EA0850B0}"/>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16</xdr:row>
          <xdr:rowOff>19050</xdr:rowOff>
        </xdr:from>
        <xdr:to>
          <xdr:col>12</xdr:col>
          <xdr:colOff>590550</xdr:colOff>
          <xdr:row>16</xdr:row>
          <xdr:rowOff>152400</xdr:rowOff>
        </xdr:to>
        <xdr:sp macro="" textlink="">
          <xdr:nvSpPr>
            <xdr:cNvPr id="10128" name="Option Button 912" hidden="1">
              <a:extLst>
                <a:ext uri="{63B3BB69-23CF-44E3-9099-C40C66FF867C}">
                  <a14:compatExt spid="_x0000_s10128"/>
                </a:ext>
                <a:ext uri="{FF2B5EF4-FFF2-40B4-BE49-F238E27FC236}">
                  <a16:creationId xmlns:a16="http://schemas.microsoft.com/office/drawing/2014/main" id="{693A8938-EE59-7E5B-2FDD-62978BE283E7}"/>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3</xdr:col>
      <xdr:colOff>20955</xdr:colOff>
      <xdr:row>14</xdr:row>
      <xdr:rowOff>9525</xdr:rowOff>
    </xdr:from>
    <xdr:to>
      <xdr:col>3</xdr:col>
      <xdr:colOff>246355</xdr:colOff>
      <xdr:row>14</xdr:row>
      <xdr:rowOff>126568</xdr:rowOff>
    </xdr:to>
    <xdr:sp macro="" textlink="">
      <xdr:nvSpPr>
        <xdr:cNvPr id="63" name="Text Box 5">
          <a:hlinkClick xmlns:r="http://schemas.openxmlformats.org/officeDocument/2006/relationships" r:id="rId23"/>
          <a:extLst>
            <a:ext uri="{FF2B5EF4-FFF2-40B4-BE49-F238E27FC236}">
              <a16:creationId xmlns:a16="http://schemas.microsoft.com/office/drawing/2014/main" id="{1E1BEA92-D116-6C19-7ACE-F4BD9AC74E56}"/>
            </a:ext>
          </a:extLst>
        </xdr:cNvPr>
        <xdr:cNvSpPr txBox="1">
          <a:spLocks noChangeArrowheads="1"/>
        </xdr:cNvSpPr>
      </xdr:nvSpPr>
      <xdr:spPr bwMode="auto">
        <a:xfrm>
          <a:off x="416332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80010</xdr:colOff>
      <xdr:row>4</xdr:row>
      <xdr:rowOff>5715</xdr:rowOff>
    </xdr:from>
    <xdr:to>
      <xdr:col>2</xdr:col>
      <xdr:colOff>305024</xdr:colOff>
      <xdr:row>4</xdr:row>
      <xdr:rowOff>129902</xdr:rowOff>
    </xdr:to>
    <xdr:sp macro="" textlink="">
      <xdr:nvSpPr>
        <xdr:cNvPr id="64" name="Text Box 5">
          <a:extLst>
            <a:ext uri="{FF2B5EF4-FFF2-40B4-BE49-F238E27FC236}">
              <a16:creationId xmlns:a16="http://schemas.microsoft.com/office/drawing/2014/main" id="{4857E9EE-CC72-57FC-BAEB-6BCCDE8891DC}"/>
            </a:ext>
          </a:extLst>
        </xdr:cNvPr>
        <xdr:cNvSpPr txBox="1">
          <a:spLocks noChangeArrowheads="1"/>
        </xdr:cNvSpPr>
      </xdr:nvSpPr>
      <xdr:spPr bwMode="auto">
        <a:xfrm>
          <a:off x="266700" y="830580"/>
          <a:ext cx="226629" cy="15081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363855</xdr:colOff>
      <xdr:row>4</xdr:row>
      <xdr:rowOff>0</xdr:rowOff>
    </xdr:from>
    <xdr:to>
      <xdr:col>2</xdr:col>
      <xdr:colOff>1735455</xdr:colOff>
      <xdr:row>5</xdr:row>
      <xdr:rowOff>0</xdr:rowOff>
    </xdr:to>
    <xdr:sp macro="" textlink="">
      <xdr:nvSpPr>
        <xdr:cNvPr id="65" name="Text Box 8">
          <a:extLst>
            <a:ext uri="{FF2B5EF4-FFF2-40B4-BE49-F238E27FC236}">
              <a16:creationId xmlns:a16="http://schemas.microsoft.com/office/drawing/2014/main" id="{80D8AD67-B0F8-87E4-95A0-35EDE68AEB86}"/>
            </a:ext>
          </a:extLst>
        </xdr:cNvPr>
        <xdr:cNvSpPr txBox="1">
          <a:spLocks noChangeArrowheads="1"/>
        </xdr:cNvSpPr>
      </xdr:nvSpPr>
      <xdr:spPr bwMode="auto">
        <a:xfrm>
          <a:off x="544830" y="8229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add a comment</a:t>
          </a:r>
        </a:p>
      </xdr:txBody>
    </xdr:sp>
    <xdr:clientData/>
  </xdr:twoCellAnchor>
  <xdr:twoCellAnchor>
    <xdr:from>
      <xdr:col>14</xdr:col>
      <xdr:colOff>118110</xdr:colOff>
      <xdr:row>1</xdr:row>
      <xdr:rowOff>57150</xdr:rowOff>
    </xdr:from>
    <xdr:to>
      <xdr:col>15</xdr:col>
      <xdr:colOff>321101</xdr:colOff>
      <xdr:row>1</xdr:row>
      <xdr:rowOff>264990</xdr:rowOff>
    </xdr:to>
    <xdr:sp macro="" textlink="">
      <xdr:nvSpPr>
        <xdr:cNvPr id="70" name="Text Box 706">
          <a:extLst>
            <a:ext uri="{FF2B5EF4-FFF2-40B4-BE49-F238E27FC236}">
              <a16:creationId xmlns:a16="http://schemas.microsoft.com/office/drawing/2014/main" id="{21A672A6-D80B-2C01-6C00-4B5BAA38EC33}"/>
            </a:ext>
          </a:extLst>
        </xdr:cNvPr>
        <xdr:cNvSpPr txBox="1">
          <a:spLocks noChangeArrowheads="1"/>
        </xdr:cNvSpPr>
      </xdr:nvSpPr>
      <xdr:spPr bwMode="auto">
        <a:xfrm>
          <a:off x="988314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xdr:col>
      <xdr:colOff>66675</xdr:colOff>
      <xdr:row>1</xdr:row>
      <xdr:rowOff>57150</xdr:rowOff>
    </xdr:from>
    <xdr:to>
      <xdr:col>2</xdr:col>
      <xdr:colOff>342900</xdr:colOff>
      <xdr:row>1</xdr:row>
      <xdr:rowOff>476250</xdr:rowOff>
    </xdr:to>
    <xdr:pic>
      <xdr:nvPicPr>
        <xdr:cNvPr id="6044577" name="Picture 71">
          <a:hlinkClick xmlns:r="http://schemas.openxmlformats.org/officeDocument/2006/relationships" r:id="rId24"/>
          <a:extLst>
            <a:ext uri="{FF2B5EF4-FFF2-40B4-BE49-F238E27FC236}">
              <a16:creationId xmlns:a16="http://schemas.microsoft.com/office/drawing/2014/main" id="{476AAEB7-2950-22CC-F749-B94994B25352}"/>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42875" y="142875"/>
          <a:ext cx="400050" cy="4191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16</xdr:row>
      <xdr:rowOff>23566</xdr:rowOff>
    </xdr:from>
    <xdr:to>
      <xdr:col>3</xdr:col>
      <xdr:colOff>253842</xdr:colOff>
      <xdr:row>17</xdr:row>
      <xdr:rowOff>4135</xdr:rowOff>
    </xdr:to>
    <xdr:sp macro="" textlink="">
      <xdr:nvSpPr>
        <xdr:cNvPr id="66" name="Text Box 5">
          <a:hlinkClick xmlns:r="http://schemas.openxmlformats.org/officeDocument/2006/relationships" r:id="rId26"/>
          <a:extLst>
            <a:ext uri="{FF2B5EF4-FFF2-40B4-BE49-F238E27FC236}">
              <a16:creationId xmlns:a16="http://schemas.microsoft.com/office/drawing/2014/main" id="{641DB667-E21D-6EA2-4EA0-E78CF3513FEC}"/>
            </a:ext>
          </a:extLst>
        </xdr:cNvPr>
        <xdr:cNvSpPr txBox="1">
          <a:spLocks noChangeArrowheads="1"/>
        </xdr:cNvSpPr>
      </xdr:nvSpPr>
      <xdr:spPr bwMode="auto">
        <a:xfrm>
          <a:off x="4161416" y="252090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15</xdr:row>
      <xdr:rowOff>11359</xdr:rowOff>
    </xdr:from>
    <xdr:to>
      <xdr:col>3</xdr:col>
      <xdr:colOff>244450</xdr:colOff>
      <xdr:row>15</xdr:row>
      <xdr:rowOff>130231</xdr:rowOff>
    </xdr:to>
    <xdr:sp macro="" textlink="">
      <xdr:nvSpPr>
        <xdr:cNvPr id="67" name="Text Box 5">
          <a:hlinkClick xmlns:r="http://schemas.openxmlformats.org/officeDocument/2006/relationships" r:id="rId27"/>
          <a:extLst>
            <a:ext uri="{FF2B5EF4-FFF2-40B4-BE49-F238E27FC236}">
              <a16:creationId xmlns:a16="http://schemas.microsoft.com/office/drawing/2014/main" id="{4065D3BF-1601-56B7-52B4-762184866942}"/>
            </a:ext>
          </a:extLst>
        </xdr:cNvPr>
        <xdr:cNvSpPr txBox="1">
          <a:spLocks noChangeArrowheads="1"/>
        </xdr:cNvSpPr>
      </xdr:nvSpPr>
      <xdr:spPr bwMode="auto">
        <a:xfrm>
          <a:off x="4161416" y="234857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22</xdr:row>
      <xdr:rowOff>0</xdr:rowOff>
    </xdr:from>
    <xdr:to>
      <xdr:col>3</xdr:col>
      <xdr:colOff>253842</xdr:colOff>
      <xdr:row>23</xdr:row>
      <xdr:rowOff>7950</xdr:rowOff>
    </xdr:to>
    <xdr:sp macro="" textlink="">
      <xdr:nvSpPr>
        <xdr:cNvPr id="68" name="Text Box 2">
          <a:hlinkClick xmlns:r="http://schemas.openxmlformats.org/officeDocument/2006/relationships" r:id="rId28"/>
          <a:extLst>
            <a:ext uri="{FF2B5EF4-FFF2-40B4-BE49-F238E27FC236}">
              <a16:creationId xmlns:a16="http://schemas.microsoft.com/office/drawing/2014/main" id="{C489912A-6FE6-7F99-C392-ED55D840000D}"/>
            </a:ext>
          </a:extLst>
        </xdr:cNvPr>
        <xdr:cNvSpPr txBox="1">
          <a:spLocks noChangeArrowheads="1"/>
        </xdr:cNvSpPr>
      </xdr:nvSpPr>
      <xdr:spPr bwMode="auto">
        <a:xfrm>
          <a:off x="4161416" y="333935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23</xdr:row>
      <xdr:rowOff>3810</xdr:rowOff>
    </xdr:from>
    <xdr:to>
      <xdr:col>3</xdr:col>
      <xdr:colOff>225154</xdr:colOff>
      <xdr:row>23</xdr:row>
      <xdr:rowOff>130556</xdr:rowOff>
    </xdr:to>
    <xdr:sp macro="" textlink="">
      <xdr:nvSpPr>
        <xdr:cNvPr id="71" name="Text Box 3">
          <a:hlinkClick xmlns:r="http://schemas.openxmlformats.org/officeDocument/2006/relationships" r:id="rId29"/>
          <a:extLst>
            <a:ext uri="{FF2B5EF4-FFF2-40B4-BE49-F238E27FC236}">
              <a16:creationId xmlns:a16="http://schemas.microsoft.com/office/drawing/2014/main" id="{B450F02E-9C57-B887-1AAE-83755372FE11}"/>
            </a:ext>
          </a:extLst>
        </xdr:cNvPr>
        <xdr:cNvSpPr txBox="1">
          <a:spLocks noChangeArrowheads="1"/>
        </xdr:cNvSpPr>
      </xdr:nvSpPr>
      <xdr:spPr bwMode="auto">
        <a:xfrm>
          <a:off x="4161416" y="350508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25</xdr:row>
      <xdr:rowOff>20955</xdr:rowOff>
    </xdr:from>
    <xdr:to>
      <xdr:col>3</xdr:col>
      <xdr:colOff>253842</xdr:colOff>
      <xdr:row>26</xdr:row>
      <xdr:rowOff>1170</xdr:rowOff>
    </xdr:to>
    <xdr:sp macro="" textlink="">
      <xdr:nvSpPr>
        <xdr:cNvPr id="72" name="Text Box 4">
          <a:hlinkClick xmlns:r="http://schemas.openxmlformats.org/officeDocument/2006/relationships" r:id="rId30"/>
          <a:extLst>
            <a:ext uri="{FF2B5EF4-FFF2-40B4-BE49-F238E27FC236}">
              <a16:creationId xmlns:a16="http://schemas.microsoft.com/office/drawing/2014/main" id="{6A007F69-889A-C0B8-9593-3D11D91FC569}"/>
            </a:ext>
          </a:extLst>
        </xdr:cNvPr>
        <xdr:cNvSpPr txBox="1">
          <a:spLocks noChangeArrowheads="1"/>
        </xdr:cNvSpPr>
      </xdr:nvSpPr>
      <xdr:spPr bwMode="auto">
        <a:xfrm>
          <a:off x="4161416" y="385403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19050</xdr:colOff>
      <xdr:row>24</xdr:row>
      <xdr:rowOff>5715</xdr:rowOff>
    </xdr:from>
    <xdr:to>
      <xdr:col>3</xdr:col>
      <xdr:colOff>253842</xdr:colOff>
      <xdr:row>25</xdr:row>
      <xdr:rowOff>3785</xdr:rowOff>
    </xdr:to>
    <xdr:sp macro="" textlink="">
      <xdr:nvSpPr>
        <xdr:cNvPr id="73" name="Text Box 6">
          <a:hlinkClick xmlns:r="http://schemas.openxmlformats.org/officeDocument/2006/relationships" r:id="rId31"/>
          <a:extLst>
            <a:ext uri="{FF2B5EF4-FFF2-40B4-BE49-F238E27FC236}">
              <a16:creationId xmlns:a16="http://schemas.microsoft.com/office/drawing/2014/main" id="{7B0B17AC-E81A-7404-71AD-FD645ABEFF9F}"/>
            </a:ext>
          </a:extLst>
        </xdr:cNvPr>
        <xdr:cNvSpPr txBox="1">
          <a:spLocks noChangeArrowheads="1"/>
        </xdr:cNvSpPr>
      </xdr:nvSpPr>
      <xdr:spPr bwMode="auto">
        <a:xfrm>
          <a:off x="4161416" y="3678667"/>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70485</xdr:colOff>
      <xdr:row>1</xdr:row>
      <xdr:rowOff>222885</xdr:rowOff>
    </xdr:from>
    <xdr:to>
      <xdr:col>16</xdr:col>
      <xdr:colOff>53</xdr:colOff>
      <xdr:row>2</xdr:row>
      <xdr:rowOff>5798</xdr:rowOff>
    </xdr:to>
    <xdr:sp macro="" textlink="">
      <xdr:nvSpPr>
        <xdr:cNvPr id="75" name="Text Box 474">
          <a:extLst>
            <a:ext uri="{FF2B5EF4-FFF2-40B4-BE49-F238E27FC236}">
              <a16:creationId xmlns:a16="http://schemas.microsoft.com/office/drawing/2014/main" id="{18633AB1-47B1-DCFB-76E5-12A33E4A07E8}"/>
            </a:ext>
          </a:extLst>
        </xdr:cNvPr>
        <xdr:cNvSpPr txBox="1">
          <a:spLocks noChangeArrowheads="1"/>
        </xdr:cNvSpPr>
      </xdr:nvSpPr>
      <xdr:spPr bwMode="auto">
        <a:xfrm>
          <a:off x="862584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1196340</xdr:colOff>
      <xdr:row>14</xdr:row>
      <xdr:rowOff>19050</xdr:rowOff>
    </xdr:from>
    <xdr:to>
      <xdr:col>8</xdr:col>
      <xdr:colOff>1196340</xdr:colOff>
      <xdr:row>14</xdr:row>
      <xdr:rowOff>131521</xdr:rowOff>
    </xdr:to>
    <xdr:sp macro="" textlink="">
      <xdr:nvSpPr>
        <xdr:cNvPr id="77" name="Text Box 5">
          <a:hlinkClick xmlns:r="http://schemas.openxmlformats.org/officeDocument/2006/relationships" r:id="rId32"/>
          <a:extLst>
            <a:ext uri="{FF2B5EF4-FFF2-40B4-BE49-F238E27FC236}">
              <a16:creationId xmlns:a16="http://schemas.microsoft.com/office/drawing/2014/main" id="{2B60CA16-6F3B-240D-DC2D-FD0690A5B283}"/>
            </a:ext>
          </a:extLst>
        </xdr:cNvPr>
        <xdr:cNvSpPr txBox="1">
          <a:spLocks noChangeArrowheads="1"/>
        </xdr:cNvSpPr>
      </xdr:nvSpPr>
      <xdr:spPr bwMode="auto">
        <a:xfrm>
          <a:off x="751522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1196340</xdr:colOff>
      <xdr:row>15</xdr:row>
      <xdr:rowOff>21872</xdr:rowOff>
    </xdr:from>
    <xdr:to>
      <xdr:col>8</xdr:col>
      <xdr:colOff>1196340</xdr:colOff>
      <xdr:row>16</xdr:row>
      <xdr:rowOff>2441</xdr:rowOff>
    </xdr:to>
    <xdr:sp macro="" textlink="">
      <xdr:nvSpPr>
        <xdr:cNvPr id="78" name="Text Box 95">
          <a:hlinkClick xmlns:r="http://schemas.openxmlformats.org/officeDocument/2006/relationships" r:id="rId33"/>
          <a:extLst>
            <a:ext uri="{FF2B5EF4-FFF2-40B4-BE49-F238E27FC236}">
              <a16:creationId xmlns:a16="http://schemas.microsoft.com/office/drawing/2014/main" id="{4128CA7A-3979-BBE5-09CE-F7CAA0660EB5}"/>
            </a:ext>
          </a:extLst>
        </xdr:cNvPr>
        <xdr:cNvSpPr txBox="1">
          <a:spLocks noChangeArrowheads="1"/>
        </xdr:cNvSpPr>
      </xdr:nvSpPr>
      <xdr:spPr bwMode="auto">
        <a:xfrm>
          <a:off x="7515225" y="235740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1196340</xdr:colOff>
      <xdr:row>16</xdr:row>
      <xdr:rowOff>17145</xdr:rowOff>
    </xdr:from>
    <xdr:to>
      <xdr:col>8</xdr:col>
      <xdr:colOff>1196340</xdr:colOff>
      <xdr:row>16</xdr:row>
      <xdr:rowOff>120124</xdr:rowOff>
    </xdr:to>
    <xdr:sp macro="" textlink="">
      <xdr:nvSpPr>
        <xdr:cNvPr id="79" name="Text Box 96">
          <a:hlinkClick xmlns:r="http://schemas.openxmlformats.org/officeDocument/2006/relationships" r:id="rId34"/>
          <a:extLst>
            <a:ext uri="{FF2B5EF4-FFF2-40B4-BE49-F238E27FC236}">
              <a16:creationId xmlns:a16="http://schemas.microsoft.com/office/drawing/2014/main" id="{EF511489-9A35-2D1F-69CA-7CA7048B0564}"/>
            </a:ext>
          </a:extLst>
        </xdr:cNvPr>
        <xdr:cNvSpPr txBox="1">
          <a:spLocks noChangeArrowheads="1"/>
        </xdr:cNvSpPr>
      </xdr:nvSpPr>
      <xdr:spPr bwMode="auto">
        <a:xfrm>
          <a:off x="7515225" y="25298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1009650</xdr:colOff>
      <xdr:row>14</xdr:row>
      <xdr:rowOff>19050</xdr:rowOff>
    </xdr:from>
    <xdr:to>
      <xdr:col>8</xdr:col>
      <xdr:colOff>1192196</xdr:colOff>
      <xdr:row>14</xdr:row>
      <xdr:rowOff>131521</xdr:rowOff>
    </xdr:to>
    <xdr:sp macro="" textlink="">
      <xdr:nvSpPr>
        <xdr:cNvPr id="80" name="Text Box 5">
          <a:hlinkClick xmlns:r="http://schemas.openxmlformats.org/officeDocument/2006/relationships" r:id="rId35"/>
          <a:extLst>
            <a:ext uri="{FF2B5EF4-FFF2-40B4-BE49-F238E27FC236}">
              <a16:creationId xmlns:a16="http://schemas.microsoft.com/office/drawing/2014/main" id="{4C368C5A-1FB3-B8C1-8DDA-18192737D3F2}"/>
            </a:ext>
          </a:extLst>
        </xdr:cNvPr>
        <xdr:cNvSpPr txBox="1">
          <a:spLocks noChangeArrowheads="1"/>
        </xdr:cNvSpPr>
      </xdr:nvSpPr>
      <xdr:spPr bwMode="auto">
        <a:xfrm>
          <a:off x="725614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1007745</xdr:colOff>
      <xdr:row>16</xdr:row>
      <xdr:rowOff>17851</xdr:rowOff>
    </xdr:from>
    <xdr:to>
      <xdr:col>8</xdr:col>
      <xdr:colOff>1190291</xdr:colOff>
      <xdr:row>16</xdr:row>
      <xdr:rowOff>120824</xdr:rowOff>
    </xdr:to>
    <xdr:sp macro="" textlink="">
      <xdr:nvSpPr>
        <xdr:cNvPr id="81" name="Text Box 5">
          <a:hlinkClick xmlns:r="http://schemas.openxmlformats.org/officeDocument/2006/relationships" r:id="rId36"/>
          <a:extLst>
            <a:ext uri="{FF2B5EF4-FFF2-40B4-BE49-F238E27FC236}">
              <a16:creationId xmlns:a16="http://schemas.microsoft.com/office/drawing/2014/main" id="{41CDCA2B-3904-A0DD-1F4D-30B86EC59421}"/>
            </a:ext>
          </a:extLst>
        </xdr:cNvPr>
        <xdr:cNvSpPr txBox="1">
          <a:spLocks noChangeArrowheads="1"/>
        </xdr:cNvSpPr>
      </xdr:nvSpPr>
      <xdr:spPr bwMode="auto">
        <a:xfrm>
          <a:off x="7254240" y="2530546"/>
          <a:ext cx="219456" cy="1462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1007745</xdr:colOff>
      <xdr:row>15</xdr:row>
      <xdr:rowOff>20884</xdr:rowOff>
    </xdr:from>
    <xdr:to>
      <xdr:col>8</xdr:col>
      <xdr:colOff>1190291</xdr:colOff>
      <xdr:row>16</xdr:row>
      <xdr:rowOff>1453</xdr:rowOff>
    </xdr:to>
    <xdr:sp macro="" textlink="">
      <xdr:nvSpPr>
        <xdr:cNvPr id="82" name="Text Box 5">
          <a:hlinkClick xmlns:r="http://schemas.openxmlformats.org/officeDocument/2006/relationships" r:id="rId37"/>
          <a:extLst>
            <a:ext uri="{FF2B5EF4-FFF2-40B4-BE49-F238E27FC236}">
              <a16:creationId xmlns:a16="http://schemas.microsoft.com/office/drawing/2014/main" id="{8D8DC3D4-6B42-4823-521E-14CFBBF0CE74}"/>
            </a:ext>
          </a:extLst>
        </xdr:cNvPr>
        <xdr:cNvSpPr txBox="1">
          <a:spLocks noChangeArrowheads="1"/>
        </xdr:cNvSpPr>
      </xdr:nvSpPr>
      <xdr:spPr bwMode="auto">
        <a:xfrm>
          <a:off x="7254240" y="23564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20832</xdr:colOff>
      <xdr:row>37</xdr:row>
      <xdr:rowOff>26109</xdr:rowOff>
    </xdr:from>
    <xdr:to>
      <xdr:col>3</xdr:col>
      <xdr:colOff>246232</xdr:colOff>
      <xdr:row>37</xdr:row>
      <xdr:rowOff>149934</xdr:rowOff>
    </xdr:to>
    <xdr:sp macro="" textlink="">
      <xdr:nvSpPr>
        <xdr:cNvPr id="92" name="Text Box 4">
          <a:hlinkClick xmlns:r="http://schemas.openxmlformats.org/officeDocument/2006/relationships" r:id="rId38"/>
          <a:extLst>
            <a:ext uri="{FF2B5EF4-FFF2-40B4-BE49-F238E27FC236}">
              <a16:creationId xmlns:a16="http://schemas.microsoft.com/office/drawing/2014/main" id="{6B306672-95C5-A403-0716-E80B8F2B7DC9}"/>
            </a:ext>
          </a:extLst>
        </xdr:cNvPr>
        <xdr:cNvSpPr txBox="1">
          <a:spLocks noChangeArrowheads="1"/>
        </xdr:cNvSpPr>
      </xdr:nvSpPr>
      <xdr:spPr bwMode="auto">
        <a:xfrm>
          <a:off x="4163198" y="523718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20832</xdr:colOff>
      <xdr:row>41</xdr:row>
      <xdr:rowOff>17145</xdr:rowOff>
    </xdr:from>
    <xdr:to>
      <xdr:col>3</xdr:col>
      <xdr:colOff>246232</xdr:colOff>
      <xdr:row>41</xdr:row>
      <xdr:rowOff>148590</xdr:rowOff>
    </xdr:to>
    <xdr:sp macro="" textlink="">
      <xdr:nvSpPr>
        <xdr:cNvPr id="93" name="Text Box 4">
          <a:hlinkClick xmlns:r="http://schemas.openxmlformats.org/officeDocument/2006/relationships" r:id="rId39"/>
          <a:extLst>
            <a:ext uri="{FF2B5EF4-FFF2-40B4-BE49-F238E27FC236}">
              <a16:creationId xmlns:a16="http://schemas.microsoft.com/office/drawing/2014/main" id="{4DD2C5C1-EABA-E0D8-E6F3-C9C95DF347A4}"/>
            </a:ext>
          </a:extLst>
        </xdr:cNvPr>
        <xdr:cNvSpPr txBox="1">
          <a:spLocks noChangeArrowheads="1"/>
        </xdr:cNvSpPr>
      </xdr:nvSpPr>
      <xdr:spPr bwMode="auto">
        <a:xfrm>
          <a:off x="4163198" y="566614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20832</xdr:colOff>
      <xdr:row>42</xdr:row>
      <xdr:rowOff>17145</xdr:rowOff>
    </xdr:from>
    <xdr:to>
      <xdr:col>3</xdr:col>
      <xdr:colOff>226936</xdr:colOff>
      <xdr:row>43</xdr:row>
      <xdr:rowOff>3690</xdr:rowOff>
    </xdr:to>
    <xdr:sp macro="" textlink="">
      <xdr:nvSpPr>
        <xdr:cNvPr id="95" name="Text Box 4">
          <a:hlinkClick xmlns:r="http://schemas.openxmlformats.org/officeDocument/2006/relationships" r:id="rId40"/>
          <a:extLst>
            <a:ext uri="{FF2B5EF4-FFF2-40B4-BE49-F238E27FC236}">
              <a16:creationId xmlns:a16="http://schemas.microsoft.com/office/drawing/2014/main" id="{2FB342D1-7248-07F9-C8A6-F41A044EE6DB}"/>
            </a:ext>
          </a:extLst>
        </xdr:cNvPr>
        <xdr:cNvSpPr txBox="1">
          <a:spLocks noChangeArrowheads="1"/>
        </xdr:cNvSpPr>
      </xdr:nvSpPr>
      <xdr:spPr bwMode="auto">
        <a:xfrm>
          <a:off x="4163198" y="585888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20382</xdr:colOff>
      <xdr:row>61</xdr:row>
      <xdr:rowOff>23532</xdr:rowOff>
    </xdr:from>
    <xdr:to>
      <xdr:col>3</xdr:col>
      <xdr:colOff>226486</xdr:colOff>
      <xdr:row>62</xdr:row>
      <xdr:rowOff>179</xdr:rowOff>
    </xdr:to>
    <xdr:sp macro="" textlink="">
      <xdr:nvSpPr>
        <xdr:cNvPr id="99" name="Text Box 4">
          <a:hlinkClick xmlns:r="http://schemas.openxmlformats.org/officeDocument/2006/relationships" r:id="rId41"/>
          <a:extLst>
            <a:ext uri="{FF2B5EF4-FFF2-40B4-BE49-F238E27FC236}">
              <a16:creationId xmlns:a16="http://schemas.microsoft.com/office/drawing/2014/main" id="{A737DE4B-CDF2-ED6E-1C78-939AE644B912}"/>
            </a:ext>
          </a:extLst>
        </xdr:cNvPr>
        <xdr:cNvSpPr txBox="1">
          <a:spLocks noChangeArrowheads="1"/>
        </xdr:cNvSpPr>
      </xdr:nvSpPr>
      <xdr:spPr bwMode="auto">
        <a:xfrm>
          <a:off x="4162748" y="81148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22176</xdr:colOff>
      <xdr:row>62</xdr:row>
      <xdr:rowOff>32385</xdr:rowOff>
    </xdr:from>
    <xdr:to>
      <xdr:col>3</xdr:col>
      <xdr:colOff>228280</xdr:colOff>
      <xdr:row>63</xdr:row>
      <xdr:rowOff>9167</xdr:rowOff>
    </xdr:to>
    <xdr:sp macro="" textlink="">
      <xdr:nvSpPr>
        <xdr:cNvPr id="100" name="Text Box 4">
          <a:hlinkClick xmlns:r="http://schemas.openxmlformats.org/officeDocument/2006/relationships" r:id="rId42"/>
          <a:extLst>
            <a:ext uri="{FF2B5EF4-FFF2-40B4-BE49-F238E27FC236}">
              <a16:creationId xmlns:a16="http://schemas.microsoft.com/office/drawing/2014/main" id="{0A5D8FC4-6C9A-F69B-0369-D0DFB132A2B7}"/>
            </a:ext>
          </a:extLst>
        </xdr:cNvPr>
        <xdr:cNvSpPr txBox="1">
          <a:spLocks noChangeArrowheads="1"/>
        </xdr:cNvSpPr>
      </xdr:nvSpPr>
      <xdr:spPr bwMode="auto">
        <a:xfrm>
          <a:off x="4164542" y="8291456"/>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20382</xdr:colOff>
      <xdr:row>66</xdr:row>
      <xdr:rowOff>5715</xdr:rowOff>
    </xdr:from>
    <xdr:to>
      <xdr:col>3</xdr:col>
      <xdr:colOff>255174</xdr:colOff>
      <xdr:row>67</xdr:row>
      <xdr:rowOff>10457</xdr:rowOff>
    </xdr:to>
    <xdr:sp macro="" textlink="">
      <xdr:nvSpPr>
        <xdr:cNvPr id="101" name="Text Box 4">
          <a:hlinkClick xmlns:r="http://schemas.openxmlformats.org/officeDocument/2006/relationships" r:id="rId43"/>
          <a:extLst>
            <a:ext uri="{FF2B5EF4-FFF2-40B4-BE49-F238E27FC236}">
              <a16:creationId xmlns:a16="http://schemas.microsoft.com/office/drawing/2014/main" id="{5BED7ED3-3472-076F-D33F-4CCDE00551CA}"/>
            </a:ext>
          </a:extLst>
        </xdr:cNvPr>
        <xdr:cNvSpPr txBox="1">
          <a:spLocks noChangeArrowheads="1"/>
        </xdr:cNvSpPr>
      </xdr:nvSpPr>
      <xdr:spPr bwMode="auto">
        <a:xfrm>
          <a:off x="4161852" y="8915400"/>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24864</xdr:colOff>
      <xdr:row>68</xdr:row>
      <xdr:rowOff>29247</xdr:rowOff>
    </xdr:from>
    <xdr:to>
      <xdr:col>3</xdr:col>
      <xdr:colOff>229561</xdr:colOff>
      <xdr:row>69</xdr:row>
      <xdr:rowOff>6030</xdr:rowOff>
    </xdr:to>
    <xdr:sp macro="" textlink="">
      <xdr:nvSpPr>
        <xdr:cNvPr id="102" name="Text Box 4">
          <a:hlinkClick xmlns:r="http://schemas.openxmlformats.org/officeDocument/2006/relationships" r:id="rId44"/>
          <a:extLst>
            <a:ext uri="{FF2B5EF4-FFF2-40B4-BE49-F238E27FC236}">
              <a16:creationId xmlns:a16="http://schemas.microsoft.com/office/drawing/2014/main" id="{F5CCBBD6-659D-EC22-A66A-EC19C735A70E}"/>
            </a:ext>
          </a:extLst>
        </xdr:cNvPr>
        <xdr:cNvSpPr txBox="1">
          <a:spLocks noChangeArrowheads="1"/>
        </xdr:cNvSpPr>
      </xdr:nvSpPr>
      <xdr:spPr bwMode="auto">
        <a:xfrm>
          <a:off x="4167230" y="928340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27891</xdr:colOff>
      <xdr:row>75</xdr:row>
      <xdr:rowOff>17034</xdr:rowOff>
    </xdr:from>
    <xdr:to>
      <xdr:col>3</xdr:col>
      <xdr:colOff>245983</xdr:colOff>
      <xdr:row>76</xdr:row>
      <xdr:rowOff>7819</xdr:rowOff>
    </xdr:to>
    <xdr:sp macro="" textlink="">
      <xdr:nvSpPr>
        <xdr:cNvPr id="103" name="Text Box 4">
          <a:hlinkClick xmlns:r="http://schemas.openxmlformats.org/officeDocument/2006/relationships" r:id="rId45"/>
          <a:extLst>
            <a:ext uri="{FF2B5EF4-FFF2-40B4-BE49-F238E27FC236}">
              <a16:creationId xmlns:a16="http://schemas.microsoft.com/office/drawing/2014/main" id="{1F5DA79B-68D5-965C-6AA2-3DF0A52A1013}"/>
            </a:ext>
          </a:extLst>
        </xdr:cNvPr>
        <xdr:cNvSpPr txBox="1">
          <a:spLocks noChangeArrowheads="1"/>
        </xdr:cNvSpPr>
      </xdr:nvSpPr>
      <xdr:spPr bwMode="auto">
        <a:xfrm>
          <a:off x="4171266" y="996875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26547</xdr:colOff>
      <xdr:row>76</xdr:row>
      <xdr:rowOff>27570</xdr:rowOff>
    </xdr:from>
    <xdr:to>
      <xdr:col>3</xdr:col>
      <xdr:colOff>244639</xdr:colOff>
      <xdr:row>77</xdr:row>
      <xdr:rowOff>4801</xdr:rowOff>
    </xdr:to>
    <xdr:sp macro="" textlink="">
      <xdr:nvSpPr>
        <xdr:cNvPr id="104" name="Text Box 4">
          <a:hlinkClick xmlns:r="http://schemas.openxmlformats.org/officeDocument/2006/relationships" r:id="rId46"/>
          <a:extLst>
            <a:ext uri="{FF2B5EF4-FFF2-40B4-BE49-F238E27FC236}">
              <a16:creationId xmlns:a16="http://schemas.microsoft.com/office/drawing/2014/main" id="{4BC0EE3B-C877-D993-700A-84C2FF13DEC0}"/>
            </a:ext>
          </a:extLst>
        </xdr:cNvPr>
        <xdr:cNvSpPr txBox="1">
          <a:spLocks noChangeArrowheads="1"/>
        </xdr:cNvSpPr>
      </xdr:nvSpPr>
      <xdr:spPr bwMode="auto">
        <a:xfrm>
          <a:off x="4170818" y="1015387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26208</xdr:colOff>
      <xdr:row>77</xdr:row>
      <xdr:rowOff>19950</xdr:rowOff>
    </xdr:from>
    <xdr:to>
      <xdr:col>3</xdr:col>
      <xdr:colOff>230905</xdr:colOff>
      <xdr:row>77</xdr:row>
      <xdr:rowOff>141794</xdr:rowOff>
    </xdr:to>
    <xdr:sp macro="" textlink="">
      <xdr:nvSpPr>
        <xdr:cNvPr id="105" name="Text Box 4">
          <a:hlinkClick xmlns:r="http://schemas.openxmlformats.org/officeDocument/2006/relationships" r:id="rId47"/>
          <a:extLst>
            <a:ext uri="{FF2B5EF4-FFF2-40B4-BE49-F238E27FC236}">
              <a16:creationId xmlns:a16="http://schemas.microsoft.com/office/drawing/2014/main" id="{5F691197-0C3D-C33F-0726-272B0BF9C769}"/>
            </a:ext>
          </a:extLst>
        </xdr:cNvPr>
        <xdr:cNvSpPr txBox="1">
          <a:spLocks noChangeArrowheads="1"/>
        </xdr:cNvSpPr>
      </xdr:nvSpPr>
      <xdr:spPr bwMode="auto">
        <a:xfrm>
          <a:off x="4168574" y="1032106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editAs="oneCell">
        <xdr:from>
          <xdr:col>8</xdr:col>
          <xdr:colOff>981075</xdr:colOff>
          <xdr:row>77</xdr:row>
          <xdr:rowOff>28575</xdr:rowOff>
        </xdr:from>
        <xdr:to>
          <xdr:col>14</xdr:col>
          <xdr:colOff>19050</xdr:colOff>
          <xdr:row>78</xdr:row>
          <xdr:rowOff>9525</xdr:rowOff>
        </xdr:to>
        <xdr:sp macro="" textlink="">
          <xdr:nvSpPr>
            <xdr:cNvPr id="788685" name="Check Box 18637" hidden="1">
              <a:extLst>
                <a:ext uri="{63B3BB69-23CF-44E3-9099-C40C66FF867C}">
                  <a14:compatExt spid="_x0000_s788685"/>
                </a:ext>
                <a:ext uri="{FF2B5EF4-FFF2-40B4-BE49-F238E27FC236}">
                  <a16:creationId xmlns:a16="http://schemas.microsoft.com/office/drawing/2014/main" id="{8E2DCFC7-29A5-D75B-5C07-7C4F5633A546}"/>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Use Customer Retail Unit Cost to value real losses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66675</xdr:colOff>
          <xdr:row>42</xdr:row>
          <xdr:rowOff>19050</xdr:rowOff>
        </xdr:from>
        <xdr:to>
          <xdr:col>12</xdr:col>
          <xdr:colOff>457200</xdr:colOff>
          <xdr:row>42</xdr:row>
          <xdr:rowOff>161925</xdr:rowOff>
        </xdr:to>
        <xdr:grpSp>
          <xdr:nvGrpSpPr>
            <xdr:cNvPr id="6044601" name="Group 3">
              <a:extLst>
                <a:ext uri="{FF2B5EF4-FFF2-40B4-BE49-F238E27FC236}">
                  <a16:creationId xmlns:a16="http://schemas.microsoft.com/office/drawing/2014/main" id="{0D4E017B-9938-F367-7625-859D45ED95FB}"/>
                </a:ext>
              </a:extLst>
            </xdr:cNvPr>
            <xdr:cNvGrpSpPr>
              <a:grpSpLocks/>
            </xdr:cNvGrpSpPr>
          </xdr:nvGrpSpPr>
          <xdr:grpSpPr bwMode="auto">
            <a:xfrm>
              <a:off x="8420100" y="5991225"/>
              <a:ext cx="390525" cy="142875"/>
              <a:chOff x="8618220" y="5806440"/>
              <a:chExt cx="403860" cy="144780"/>
            </a:xfrm>
          </xdr:grpSpPr>
          <xdr:sp macro="" textlink="">
            <xdr:nvSpPr>
              <xdr:cNvPr id="819594" name="Option Button 19850" hidden="1">
                <a:extLst>
                  <a:ext uri="{63B3BB69-23CF-44E3-9099-C40C66FF867C}">
                    <a14:compatExt spid="_x0000_s819594"/>
                  </a:ext>
                  <a:ext uri="{FF2B5EF4-FFF2-40B4-BE49-F238E27FC236}">
                    <a16:creationId xmlns:a16="http://schemas.microsoft.com/office/drawing/2014/main" id="{A77E3C5F-74E2-D58A-5325-755541D74BC3}"/>
                  </a:ext>
                </a:extLst>
              </xdr:cNvPr>
              <xdr:cNvSpPr/>
            </xdr:nvSpPr>
            <xdr:spPr bwMode="auto">
              <a:xfrm>
                <a:off x="8618220" y="5806440"/>
                <a:ext cx="19812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819595" name="Option Button 19851" hidden="1">
                <a:extLst>
                  <a:ext uri="{63B3BB69-23CF-44E3-9099-C40C66FF867C}">
                    <a14:compatExt spid="_x0000_s819595"/>
                  </a:ext>
                  <a:ext uri="{FF2B5EF4-FFF2-40B4-BE49-F238E27FC236}">
                    <a16:creationId xmlns:a16="http://schemas.microsoft.com/office/drawing/2014/main" id="{C4E800DC-B505-00DF-1B93-C32247EA1A83}"/>
                  </a:ext>
                </a:extLst>
              </xdr:cNvPr>
              <xdr:cNvSpPr/>
            </xdr:nvSpPr>
            <xdr:spPr bwMode="auto">
              <a:xfrm>
                <a:off x="8869680" y="5806440"/>
                <a:ext cx="15240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twoCellAnchor>
    <xdr:from>
      <xdr:col>3</xdr:col>
      <xdr:colOff>264795</xdr:colOff>
      <xdr:row>63</xdr:row>
      <xdr:rowOff>38100</xdr:rowOff>
    </xdr:from>
    <xdr:to>
      <xdr:col>3</xdr:col>
      <xdr:colOff>399537</xdr:colOff>
      <xdr:row>64</xdr:row>
      <xdr:rowOff>22502</xdr:rowOff>
    </xdr:to>
    <xdr:sp macro="" textlink="">
      <xdr:nvSpPr>
        <xdr:cNvPr id="88" name="Text Box 13">
          <a:hlinkClick xmlns:r="http://schemas.openxmlformats.org/officeDocument/2006/relationships" r:id="rId48"/>
          <a:extLst>
            <a:ext uri="{FF2B5EF4-FFF2-40B4-BE49-F238E27FC236}">
              <a16:creationId xmlns:a16="http://schemas.microsoft.com/office/drawing/2014/main" id="{74154786-6604-1B79-4A68-3CD4C5A00537}"/>
            </a:ext>
          </a:extLst>
        </xdr:cNvPr>
        <xdr:cNvSpPr txBox="1">
          <a:spLocks noChangeArrowheads="1"/>
        </xdr:cNvSpPr>
      </xdr:nvSpPr>
      <xdr:spPr bwMode="auto">
        <a:xfrm>
          <a:off x="4450080" y="8481060"/>
          <a:ext cx="219456" cy="1480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1162050</xdr:colOff>
      <xdr:row>10</xdr:row>
      <xdr:rowOff>0</xdr:rowOff>
    </xdr:from>
    <xdr:to>
      <xdr:col>7</xdr:col>
      <xdr:colOff>1932</xdr:colOff>
      <xdr:row>12</xdr:row>
      <xdr:rowOff>19050</xdr:rowOff>
    </xdr:to>
    <xdr:sp macro="" textlink="">
      <xdr:nvSpPr>
        <xdr:cNvPr id="90" name="Text Box 8">
          <a:extLst>
            <a:ext uri="{FF2B5EF4-FFF2-40B4-BE49-F238E27FC236}">
              <a16:creationId xmlns:a16="http://schemas.microsoft.com/office/drawing/2014/main" id="{D3D3D58C-038E-C324-BC5E-31F8E9F061C9}"/>
            </a:ext>
          </a:extLst>
        </xdr:cNvPr>
        <xdr:cNvSpPr txBox="1">
          <a:spLocks noChangeArrowheads="1"/>
        </xdr:cNvSpPr>
      </xdr:nvSpPr>
      <xdr:spPr bwMode="auto">
        <a:xfrm>
          <a:off x="1402080" y="1722120"/>
          <a:ext cx="4800600" cy="365760"/>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1000" b="0" i="0" u="none" strike="noStrike" baseline="0">
              <a:solidFill>
                <a:srgbClr val="000000"/>
              </a:solidFill>
              <a:latin typeface="Arial"/>
              <a:cs typeface="Arial"/>
            </a:rPr>
            <a:t>To select the correct data grading for each input, determine the highest grade where the utility meets or exceeds </a:t>
          </a:r>
          <a:r>
            <a:rPr lang="en-US" sz="1000" b="0" i="0" u="sng" strike="noStrike" baseline="0">
              <a:solidFill>
                <a:srgbClr val="000000"/>
              </a:solidFill>
              <a:latin typeface="Arial"/>
              <a:cs typeface="Arial"/>
            </a:rPr>
            <a:t>all</a:t>
          </a:r>
          <a:r>
            <a:rPr lang="en-US" sz="1000" b="0" i="0" u="none" strike="noStrike" baseline="0">
              <a:solidFill>
                <a:srgbClr val="000000"/>
              </a:solidFill>
              <a:latin typeface="Arial"/>
              <a:cs typeface="Arial"/>
            </a:rPr>
            <a:t> criteria for that grade and all grades below it.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16</xdr:row>
      <xdr:rowOff>5715</xdr:rowOff>
    </xdr:from>
    <xdr:to>
      <xdr:col>3</xdr:col>
      <xdr:colOff>0</xdr:colOff>
      <xdr:row>16</xdr:row>
      <xdr:rowOff>144033</xdr:rowOff>
    </xdr:to>
    <xdr:sp macro="" textlink="">
      <xdr:nvSpPr>
        <xdr:cNvPr id="18" name="Text Box 53">
          <a:hlinkClick xmlns:r="http://schemas.openxmlformats.org/officeDocument/2006/relationships" r:id="rId1"/>
          <a:extLst>
            <a:ext uri="{FF2B5EF4-FFF2-40B4-BE49-F238E27FC236}">
              <a16:creationId xmlns:a16="http://schemas.microsoft.com/office/drawing/2014/main" id="{16066B2D-5718-9FBE-9B7D-50051161CC3D}"/>
            </a:ext>
          </a:extLst>
        </xdr:cNvPr>
        <xdr:cNvSpPr txBox="1">
          <a:spLocks noChangeArrowheads="1"/>
        </xdr:cNvSpPr>
      </xdr:nvSpPr>
      <xdr:spPr bwMode="auto">
        <a:xfrm>
          <a:off x="3417570" y="2499360"/>
          <a:ext cx="234723" cy="16224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2809875</xdr:colOff>
      <xdr:row>44</xdr:row>
      <xdr:rowOff>19050</xdr:rowOff>
    </xdr:from>
    <xdr:to>
      <xdr:col>2</xdr:col>
      <xdr:colOff>3038696</xdr:colOff>
      <xdr:row>44</xdr:row>
      <xdr:rowOff>145971</xdr:rowOff>
    </xdr:to>
    <xdr:sp macro="" textlink="">
      <xdr:nvSpPr>
        <xdr:cNvPr id="19" name="Text Box 54">
          <a:hlinkClick xmlns:r="http://schemas.openxmlformats.org/officeDocument/2006/relationships" r:id="rId2"/>
          <a:extLst>
            <a:ext uri="{FF2B5EF4-FFF2-40B4-BE49-F238E27FC236}">
              <a16:creationId xmlns:a16="http://schemas.microsoft.com/office/drawing/2014/main" id="{FE9C1325-DF4C-5339-1236-C1823100C38A}"/>
            </a:ext>
          </a:extLst>
        </xdr:cNvPr>
        <xdr:cNvSpPr txBox="1">
          <a:spLocks noChangeArrowheads="1"/>
        </xdr:cNvSpPr>
      </xdr:nvSpPr>
      <xdr:spPr bwMode="auto">
        <a:xfrm>
          <a:off x="3059430" y="6137910"/>
          <a:ext cx="234723" cy="156210"/>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76200</xdr:colOff>
      <xdr:row>47</xdr:row>
      <xdr:rowOff>0</xdr:rowOff>
    </xdr:from>
    <xdr:to>
      <xdr:col>15</xdr:col>
      <xdr:colOff>114300</xdr:colOff>
      <xdr:row>59</xdr:row>
      <xdr:rowOff>0</xdr:rowOff>
    </xdr:to>
    <xdr:sp macro="" textlink="">
      <xdr:nvSpPr>
        <xdr:cNvPr id="5695216" name="Rectangle 405">
          <a:extLst>
            <a:ext uri="{FF2B5EF4-FFF2-40B4-BE49-F238E27FC236}">
              <a16:creationId xmlns:a16="http://schemas.microsoft.com/office/drawing/2014/main" id="{C443A1AA-F325-8C9B-648B-F14E0182463D}"/>
            </a:ext>
          </a:extLst>
        </xdr:cNvPr>
        <xdr:cNvSpPr>
          <a:spLocks noChangeArrowheads="1"/>
        </xdr:cNvSpPr>
      </xdr:nvSpPr>
      <xdr:spPr bwMode="auto">
        <a:xfrm>
          <a:off x="142875" y="6696075"/>
          <a:ext cx="10058400" cy="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xdr:col>
      <xdr:colOff>0</xdr:colOff>
      <xdr:row>47</xdr:row>
      <xdr:rowOff>0</xdr:rowOff>
    </xdr:from>
    <xdr:to>
      <xdr:col>13</xdr:col>
      <xdr:colOff>419151</xdr:colOff>
      <xdr:row>47</xdr:row>
      <xdr:rowOff>0</xdr:rowOff>
    </xdr:to>
    <xdr:sp macro="" textlink="">
      <xdr:nvSpPr>
        <xdr:cNvPr id="35" name="AutoShape 409">
          <a:hlinkClick xmlns:r="http://schemas.openxmlformats.org/officeDocument/2006/relationships" r:id="rId3"/>
          <a:extLst>
            <a:ext uri="{FF2B5EF4-FFF2-40B4-BE49-F238E27FC236}">
              <a16:creationId xmlns:a16="http://schemas.microsoft.com/office/drawing/2014/main" id="{E1BB65E7-0F84-4EAC-0ECD-61D1DFA30535}"/>
            </a:ext>
          </a:extLst>
        </xdr:cNvPr>
        <xdr:cNvSpPr>
          <a:spLocks noChangeArrowheads="1"/>
        </xdr:cNvSpPr>
      </xdr:nvSpPr>
      <xdr:spPr bwMode="auto">
        <a:xfrm>
          <a:off x="4512945" y="15695295"/>
          <a:ext cx="4918716" cy="28384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12</xdr:col>
      <xdr:colOff>232410</xdr:colOff>
      <xdr:row>1</xdr:row>
      <xdr:rowOff>222885</xdr:rowOff>
    </xdr:from>
    <xdr:to>
      <xdr:col>16</xdr:col>
      <xdr:colOff>1835</xdr:colOff>
      <xdr:row>2</xdr:row>
      <xdr:rowOff>5798</xdr:rowOff>
    </xdr:to>
    <xdr:sp macro="" textlink="">
      <xdr:nvSpPr>
        <xdr:cNvPr id="70" name="Text Box 474">
          <a:extLst>
            <a:ext uri="{FF2B5EF4-FFF2-40B4-BE49-F238E27FC236}">
              <a16:creationId xmlns:a16="http://schemas.microsoft.com/office/drawing/2014/main" id="{7EA2FB9B-B2A4-6B07-E51E-BB1C23D8B29E}"/>
            </a:ext>
          </a:extLst>
        </xdr:cNvPr>
        <xdr:cNvSpPr txBox="1">
          <a:spLocks noChangeArrowheads="1"/>
        </xdr:cNvSpPr>
      </xdr:nvSpPr>
      <xdr:spPr bwMode="auto">
        <a:xfrm>
          <a:off x="859536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14</xdr:col>
      <xdr:colOff>146685</xdr:colOff>
      <xdr:row>1</xdr:row>
      <xdr:rowOff>38100</xdr:rowOff>
    </xdr:from>
    <xdr:to>
      <xdr:col>15</xdr:col>
      <xdr:colOff>156301</xdr:colOff>
      <xdr:row>1</xdr:row>
      <xdr:rowOff>249555</xdr:rowOff>
    </xdr:to>
    <xdr:sp macro="" textlink="">
      <xdr:nvSpPr>
        <xdr:cNvPr id="71" name="Text Box 706">
          <a:extLst>
            <a:ext uri="{FF2B5EF4-FFF2-40B4-BE49-F238E27FC236}">
              <a16:creationId xmlns:a16="http://schemas.microsoft.com/office/drawing/2014/main" id="{1A468103-2F71-1E80-3F08-22FB7EB0F8BE}"/>
            </a:ext>
          </a:extLst>
        </xdr:cNvPr>
        <xdr:cNvSpPr txBox="1">
          <a:spLocks noChangeArrowheads="1"/>
        </xdr:cNvSpPr>
      </xdr:nvSpPr>
      <xdr:spPr bwMode="auto">
        <a:xfrm>
          <a:off x="985266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66675</xdr:rowOff>
    </xdr:from>
    <xdr:to>
      <xdr:col>2</xdr:col>
      <xdr:colOff>342900</xdr:colOff>
      <xdr:row>1</xdr:row>
      <xdr:rowOff>476250</xdr:rowOff>
    </xdr:to>
    <xdr:pic>
      <xdr:nvPicPr>
        <xdr:cNvPr id="5695220" name="Picture 71">
          <a:hlinkClick xmlns:r="http://schemas.openxmlformats.org/officeDocument/2006/relationships" r:id="rId4"/>
          <a:extLst>
            <a:ext uri="{FF2B5EF4-FFF2-40B4-BE49-F238E27FC236}">
              <a16:creationId xmlns:a16="http://schemas.microsoft.com/office/drawing/2014/main" id="{CE5E3882-5913-F83E-82DD-0573AAB6D0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2875" y="152400"/>
          <a:ext cx="390525"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2114550</xdr:colOff>
      <xdr:row>25</xdr:row>
      <xdr:rowOff>28575</xdr:rowOff>
    </xdr:from>
    <xdr:to>
      <xdr:col>2</xdr:col>
      <xdr:colOff>2343150</xdr:colOff>
      <xdr:row>27</xdr:row>
      <xdr:rowOff>190500</xdr:rowOff>
    </xdr:to>
    <xdr:sp macro="" textlink="">
      <xdr:nvSpPr>
        <xdr:cNvPr id="5695221" name="Left Brace 2">
          <a:extLst>
            <a:ext uri="{FF2B5EF4-FFF2-40B4-BE49-F238E27FC236}">
              <a16:creationId xmlns:a16="http://schemas.microsoft.com/office/drawing/2014/main" id="{30CEDD03-FD65-CF31-C932-1D99A51A12F5}"/>
            </a:ext>
          </a:extLst>
        </xdr:cNvPr>
        <xdr:cNvSpPr>
          <a:spLocks/>
        </xdr:cNvSpPr>
      </xdr:nvSpPr>
      <xdr:spPr bwMode="auto">
        <a:xfrm>
          <a:off x="2305050" y="3676650"/>
          <a:ext cx="228600" cy="419100"/>
        </a:xfrm>
        <a:prstGeom prst="leftBrace">
          <a:avLst>
            <a:gd name="adj1" fmla="val 8182"/>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1647825</xdr:colOff>
      <xdr:row>31</xdr:row>
      <xdr:rowOff>9525</xdr:rowOff>
    </xdr:from>
    <xdr:to>
      <xdr:col>2</xdr:col>
      <xdr:colOff>1876425</xdr:colOff>
      <xdr:row>37</xdr:row>
      <xdr:rowOff>171450</xdr:rowOff>
    </xdr:to>
    <xdr:sp macro="" textlink="">
      <xdr:nvSpPr>
        <xdr:cNvPr id="5695222" name="Left Brace 13">
          <a:extLst>
            <a:ext uri="{FF2B5EF4-FFF2-40B4-BE49-F238E27FC236}">
              <a16:creationId xmlns:a16="http://schemas.microsoft.com/office/drawing/2014/main" id="{B6A59D9F-842D-9A30-6D0E-A8273229A8AD}"/>
            </a:ext>
          </a:extLst>
        </xdr:cNvPr>
        <xdr:cNvSpPr>
          <a:spLocks/>
        </xdr:cNvSpPr>
      </xdr:nvSpPr>
      <xdr:spPr bwMode="auto">
        <a:xfrm>
          <a:off x="1838325" y="4429125"/>
          <a:ext cx="228600" cy="952500"/>
        </a:xfrm>
        <a:prstGeom prst="leftBrace">
          <a:avLst>
            <a:gd name="adj1" fmla="val 8275"/>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746760</xdr:colOff>
      <xdr:row>25</xdr:row>
      <xdr:rowOff>108585</xdr:rowOff>
    </xdr:from>
    <xdr:to>
      <xdr:col>2</xdr:col>
      <xdr:colOff>2042160</xdr:colOff>
      <xdr:row>27</xdr:row>
      <xdr:rowOff>70398</xdr:rowOff>
    </xdr:to>
    <xdr:sp macro="" textlink="">
      <xdr:nvSpPr>
        <xdr:cNvPr id="4" name="TextBox 3">
          <a:extLst>
            <a:ext uri="{FF2B5EF4-FFF2-40B4-BE49-F238E27FC236}">
              <a16:creationId xmlns:a16="http://schemas.microsoft.com/office/drawing/2014/main" id="{18071360-1F90-C86A-8A38-3FA7652362FD}"/>
            </a:ext>
          </a:extLst>
        </xdr:cNvPr>
        <xdr:cNvSpPr txBox="1"/>
      </xdr:nvSpPr>
      <xdr:spPr>
        <a:xfrm>
          <a:off x="937260" y="3787140"/>
          <a:ext cx="1333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Financial:</a:t>
          </a:r>
        </a:p>
      </xdr:txBody>
    </xdr:sp>
    <xdr:clientData/>
  </xdr:twoCellAnchor>
  <xdr:twoCellAnchor>
    <xdr:from>
      <xdr:col>1</xdr:col>
      <xdr:colOff>80010</xdr:colOff>
      <xdr:row>33</xdr:row>
      <xdr:rowOff>123825</xdr:rowOff>
    </xdr:from>
    <xdr:to>
      <xdr:col>2</xdr:col>
      <xdr:colOff>1591898</xdr:colOff>
      <xdr:row>35</xdr:row>
      <xdr:rowOff>85725</xdr:rowOff>
    </xdr:to>
    <xdr:sp macro="" textlink="">
      <xdr:nvSpPr>
        <xdr:cNvPr id="16" name="TextBox 15">
          <a:extLst>
            <a:ext uri="{FF2B5EF4-FFF2-40B4-BE49-F238E27FC236}">
              <a16:creationId xmlns:a16="http://schemas.microsoft.com/office/drawing/2014/main" id="{54F453C5-E41F-AED8-F13A-6C2C0EC51462}"/>
            </a:ext>
          </a:extLst>
        </xdr:cNvPr>
        <xdr:cNvSpPr txBox="1"/>
      </xdr:nvSpPr>
      <xdr:spPr>
        <a:xfrm>
          <a:off x="160020" y="488442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Operational</a:t>
          </a:r>
          <a:r>
            <a:rPr lang="en-US" sz="1100" baseline="0">
              <a:latin typeface="Arial" pitchFamily="34" charset="0"/>
              <a:cs typeface="Arial" pitchFamily="34" charset="0"/>
            </a:rPr>
            <a:t> Efficiency</a:t>
          </a:r>
          <a:r>
            <a:rPr lang="en-US" sz="1100">
              <a:latin typeface="Arial" pitchFamily="34" charset="0"/>
              <a:cs typeface="Arial" pitchFamily="34" charset="0"/>
            </a:rPr>
            <a: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7620</xdr:colOff>
      <xdr:row>1</xdr:row>
      <xdr:rowOff>32385</xdr:rowOff>
    </xdr:from>
    <xdr:to>
      <xdr:col>15</xdr:col>
      <xdr:colOff>501488</xdr:colOff>
      <xdr:row>1</xdr:row>
      <xdr:rowOff>236220</xdr:rowOff>
    </xdr:to>
    <xdr:sp macro="" textlink="">
      <xdr:nvSpPr>
        <xdr:cNvPr id="7" name="Text Box 706">
          <a:extLst>
            <a:ext uri="{FF2B5EF4-FFF2-40B4-BE49-F238E27FC236}">
              <a16:creationId xmlns:a16="http://schemas.microsoft.com/office/drawing/2014/main" id="{9BAD34D3-C630-6711-F14A-E4A3054F8138}"/>
            </a:ext>
          </a:extLst>
        </xdr:cNvPr>
        <xdr:cNvSpPr txBox="1">
          <a:spLocks noChangeArrowheads="1"/>
        </xdr:cNvSpPr>
      </xdr:nvSpPr>
      <xdr:spPr bwMode="auto">
        <a:xfrm>
          <a:off x="10325100" y="121920"/>
          <a:ext cx="64008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57150</xdr:colOff>
      <xdr:row>1</xdr:row>
      <xdr:rowOff>57150</xdr:rowOff>
    </xdr:from>
    <xdr:to>
      <xdr:col>1</xdr:col>
      <xdr:colOff>400050</xdr:colOff>
      <xdr:row>1</xdr:row>
      <xdr:rowOff>428625</xdr:rowOff>
    </xdr:to>
    <xdr:pic>
      <xdr:nvPicPr>
        <xdr:cNvPr id="4605647" name="Picture 9">
          <a:hlinkClick xmlns:r="http://schemas.openxmlformats.org/officeDocument/2006/relationships" r:id="rId1"/>
          <a:extLst>
            <a:ext uri="{FF2B5EF4-FFF2-40B4-BE49-F238E27FC236}">
              <a16:creationId xmlns:a16="http://schemas.microsoft.com/office/drawing/2014/main" id="{3E1DB049-FE8B-288B-CB14-D840A2FE8F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142875"/>
          <a:ext cx="342900" cy="3714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291465</xdr:colOff>
      <xdr:row>1</xdr:row>
      <xdr:rowOff>222885</xdr:rowOff>
    </xdr:from>
    <xdr:to>
      <xdr:col>15</xdr:col>
      <xdr:colOff>491579</xdr:colOff>
      <xdr:row>2</xdr:row>
      <xdr:rowOff>5798</xdr:rowOff>
    </xdr:to>
    <xdr:sp macro="" textlink="">
      <xdr:nvSpPr>
        <xdr:cNvPr id="5" name="Text Box 474">
          <a:extLst>
            <a:ext uri="{FF2B5EF4-FFF2-40B4-BE49-F238E27FC236}">
              <a16:creationId xmlns:a16="http://schemas.microsoft.com/office/drawing/2014/main" id="{72A478B4-BBAA-5DBD-23A1-D6F0A9086E5A}"/>
            </a:ext>
          </a:extLst>
        </xdr:cNvPr>
        <xdr:cNvSpPr txBox="1">
          <a:spLocks noChangeArrowheads="1"/>
        </xdr:cNvSpPr>
      </xdr:nvSpPr>
      <xdr:spPr bwMode="auto">
        <a:xfrm>
          <a:off x="9037320" y="312420"/>
          <a:ext cx="192786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57150</xdr:colOff>
      <xdr:row>1</xdr:row>
      <xdr:rowOff>57150</xdr:rowOff>
    </xdr:from>
    <xdr:to>
      <xdr:col>1</xdr:col>
      <xdr:colOff>409575</xdr:colOff>
      <xdr:row>2</xdr:row>
      <xdr:rowOff>95250</xdr:rowOff>
    </xdr:to>
    <xdr:pic>
      <xdr:nvPicPr>
        <xdr:cNvPr id="4790904" name="Picture 71">
          <a:hlinkClick xmlns:r="http://schemas.openxmlformats.org/officeDocument/2006/relationships" r:id="rId1"/>
          <a:extLst>
            <a:ext uri="{FF2B5EF4-FFF2-40B4-BE49-F238E27FC236}">
              <a16:creationId xmlns:a16="http://schemas.microsoft.com/office/drawing/2014/main" id="{5ED7B87C-84B5-0EF8-947B-E65A0B4820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04775"/>
          <a:ext cx="352425" cy="3429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670560</xdr:colOff>
      <xdr:row>1</xdr:row>
      <xdr:rowOff>26670</xdr:rowOff>
    </xdr:from>
    <xdr:to>
      <xdr:col>7</xdr:col>
      <xdr:colOff>1137242</xdr:colOff>
      <xdr:row>1</xdr:row>
      <xdr:rowOff>238054</xdr:rowOff>
    </xdr:to>
    <xdr:sp macro="" textlink="">
      <xdr:nvSpPr>
        <xdr:cNvPr id="6" name="Text Box 706">
          <a:extLst>
            <a:ext uri="{FF2B5EF4-FFF2-40B4-BE49-F238E27FC236}">
              <a16:creationId xmlns:a16="http://schemas.microsoft.com/office/drawing/2014/main" id="{2674499E-8AB7-7B63-77DF-CAC77869464E}"/>
            </a:ext>
          </a:extLst>
        </xdr:cNvPr>
        <xdr:cNvSpPr txBox="1">
          <a:spLocks noChangeArrowheads="1"/>
        </xdr:cNvSpPr>
      </xdr:nvSpPr>
      <xdr:spPr bwMode="auto">
        <a:xfrm>
          <a:off x="9441180" y="68580"/>
          <a:ext cx="64008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6</xdr:col>
      <xdr:colOff>1813560</xdr:colOff>
      <xdr:row>1</xdr:row>
      <xdr:rowOff>222885</xdr:rowOff>
    </xdr:from>
    <xdr:to>
      <xdr:col>8</xdr:col>
      <xdr:colOff>1431</xdr:colOff>
      <xdr:row>2</xdr:row>
      <xdr:rowOff>228355</xdr:rowOff>
    </xdr:to>
    <xdr:sp macro="" textlink="">
      <xdr:nvSpPr>
        <xdr:cNvPr id="7" name="Text Box 474">
          <a:extLst>
            <a:ext uri="{FF2B5EF4-FFF2-40B4-BE49-F238E27FC236}">
              <a16:creationId xmlns:a16="http://schemas.microsoft.com/office/drawing/2014/main" id="{C91E999F-CC23-31B5-2734-AD4A3CC7C5D5}"/>
            </a:ext>
          </a:extLst>
        </xdr:cNvPr>
        <xdr:cNvSpPr txBox="1">
          <a:spLocks noChangeArrowheads="1"/>
        </xdr:cNvSpPr>
      </xdr:nvSpPr>
      <xdr:spPr bwMode="auto">
        <a:xfrm>
          <a:off x="7856220" y="266700"/>
          <a:ext cx="223266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1154430</xdr:colOff>
      <xdr:row>28</xdr:row>
      <xdr:rowOff>60960</xdr:rowOff>
    </xdr:from>
    <xdr:to>
      <xdr:col>8</xdr:col>
      <xdr:colOff>257430</xdr:colOff>
      <xdr:row>31</xdr:row>
      <xdr:rowOff>68652</xdr:rowOff>
    </xdr:to>
    <xdr:sp macro="" textlink="">
      <xdr:nvSpPr>
        <xdr:cNvPr id="17420" name="Text Box 12">
          <a:extLst>
            <a:ext uri="{FF2B5EF4-FFF2-40B4-BE49-F238E27FC236}">
              <a16:creationId xmlns:a16="http://schemas.microsoft.com/office/drawing/2014/main" id="{544E90DD-6B0D-87AA-4586-85E4AE789390}"/>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266700</xdr:colOff>
      <xdr:row>6</xdr:row>
      <xdr:rowOff>28575</xdr:rowOff>
    </xdr:from>
    <xdr:to>
      <xdr:col>16</xdr:col>
      <xdr:colOff>161925</xdr:colOff>
      <xdr:row>36</xdr:row>
      <xdr:rowOff>57150</xdr:rowOff>
    </xdr:to>
    <xdr:graphicFrame macro="">
      <xdr:nvGraphicFramePr>
        <xdr:cNvPr id="6018227" name="Chart 15">
          <a:extLst>
            <a:ext uri="{FF2B5EF4-FFF2-40B4-BE49-F238E27FC236}">
              <a16:creationId xmlns:a16="http://schemas.microsoft.com/office/drawing/2014/main" id="{FF5BA0DB-3F6C-9F3F-ACDD-006E9543B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558165</xdr:colOff>
      <xdr:row>1</xdr:row>
      <xdr:rowOff>32385</xdr:rowOff>
    </xdr:from>
    <xdr:to>
      <xdr:col>16</xdr:col>
      <xdr:colOff>8466</xdr:colOff>
      <xdr:row>1</xdr:row>
      <xdr:rowOff>236220</xdr:rowOff>
    </xdr:to>
    <xdr:sp macro="" textlink="">
      <xdr:nvSpPr>
        <xdr:cNvPr id="4" name="Text Box 706">
          <a:extLst>
            <a:ext uri="{FF2B5EF4-FFF2-40B4-BE49-F238E27FC236}">
              <a16:creationId xmlns:a16="http://schemas.microsoft.com/office/drawing/2014/main" id="{E18B6E90-141F-CDE6-9630-7A62D3FA4447}"/>
            </a:ext>
          </a:extLst>
        </xdr:cNvPr>
        <xdr:cNvSpPr txBox="1">
          <a:spLocks noChangeArrowheads="1"/>
        </xdr:cNvSpPr>
      </xdr:nvSpPr>
      <xdr:spPr bwMode="auto">
        <a:xfrm>
          <a:off x="1098804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66675</xdr:colOff>
      <xdr:row>1</xdr:row>
      <xdr:rowOff>66675</xdr:rowOff>
    </xdr:from>
    <xdr:to>
      <xdr:col>1</xdr:col>
      <xdr:colOff>466725</xdr:colOff>
      <xdr:row>1</xdr:row>
      <xdr:rowOff>476250</xdr:rowOff>
    </xdr:to>
    <xdr:pic>
      <xdr:nvPicPr>
        <xdr:cNvPr id="6018229" name="Picture 9">
          <a:hlinkClick xmlns:r="http://schemas.openxmlformats.org/officeDocument/2006/relationships" r:id="rId2"/>
          <a:extLst>
            <a:ext uri="{FF2B5EF4-FFF2-40B4-BE49-F238E27FC236}">
              <a16:creationId xmlns:a16="http://schemas.microsoft.com/office/drawing/2014/main" id="{6B217FE3-015D-F56F-1353-27D4AEA1BD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350" y="152400"/>
          <a:ext cx="400050"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144780</xdr:colOff>
      <xdr:row>1</xdr:row>
      <xdr:rowOff>217170</xdr:rowOff>
    </xdr:from>
    <xdr:to>
      <xdr:col>16</xdr:col>
      <xdr:colOff>5591</xdr:colOff>
      <xdr:row>2</xdr:row>
      <xdr:rowOff>1588</xdr:rowOff>
    </xdr:to>
    <xdr:sp macro="" textlink="">
      <xdr:nvSpPr>
        <xdr:cNvPr id="6" name="Text Box 474">
          <a:extLst>
            <a:ext uri="{FF2B5EF4-FFF2-40B4-BE49-F238E27FC236}">
              <a16:creationId xmlns:a16="http://schemas.microsoft.com/office/drawing/2014/main" id="{76132482-7CA5-8D02-EFC1-B37E7805DE8B}"/>
            </a:ext>
          </a:extLst>
        </xdr:cNvPr>
        <xdr:cNvSpPr txBox="1">
          <a:spLocks noChangeArrowheads="1"/>
        </xdr:cNvSpPr>
      </xdr:nvSpPr>
      <xdr:spPr bwMode="auto">
        <a:xfrm>
          <a:off x="976122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4</xdr:col>
      <xdr:colOff>390525</xdr:colOff>
      <xdr:row>6</xdr:row>
      <xdr:rowOff>47625</xdr:rowOff>
    </xdr:from>
    <xdr:to>
      <xdr:col>6</xdr:col>
      <xdr:colOff>638175</xdr:colOff>
      <xdr:row>36</xdr:row>
      <xdr:rowOff>66675</xdr:rowOff>
    </xdr:to>
    <xdr:graphicFrame macro="">
      <xdr:nvGraphicFramePr>
        <xdr:cNvPr id="6018231" name="Chart 4">
          <a:extLst>
            <a:ext uri="{FF2B5EF4-FFF2-40B4-BE49-F238E27FC236}">
              <a16:creationId xmlns:a16="http://schemas.microsoft.com/office/drawing/2014/main" id="{270F4A92-A4ED-8E3E-769C-38D29AE32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47625</xdr:colOff>
      <xdr:row>6</xdr:row>
      <xdr:rowOff>47625</xdr:rowOff>
    </xdr:from>
    <xdr:to>
      <xdr:col>2</xdr:col>
      <xdr:colOff>781050</xdr:colOff>
      <xdr:row>36</xdr:row>
      <xdr:rowOff>66675</xdr:rowOff>
    </xdr:to>
    <xdr:graphicFrame macro="">
      <xdr:nvGraphicFramePr>
        <xdr:cNvPr id="6018232" name="Chart 8">
          <a:extLst>
            <a:ext uri="{FF2B5EF4-FFF2-40B4-BE49-F238E27FC236}">
              <a16:creationId xmlns:a16="http://schemas.microsoft.com/office/drawing/2014/main" id="{A163E8B2-1B67-F7F3-8749-472CBECCD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409575</xdr:colOff>
      <xdr:row>6</xdr:row>
      <xdr:rowOff>47625</xdr:rowOff>
    </xdr:from>
    <xdr:to>
      <xdr:col>9</xdr:col>
      <xdr:colOff>95250</xdr:colOff>
      <xdr:row>36</xdr:row>
      <xdr:rowOff>66675</xdr:rowOff>
    </xdr:to>
    <xdr:graphicFrame macro="">
      <xdr:nvGraphicFramePr>
        <xdr:cNvPr id="6018233" name="Chart 9">
          <a:extLst>
            <a:ext uri="{FF2B5EF4-FFF2-40B4-BE49-F238E27FC236}">
              <a16:creationId xmlns:a16="http://schemas.microsoft.com/office/drawing/2014/main" id="{1A223166-0C35-1BC6-2BF4-1220D714C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533400</xdr:colOff>
      <xdr:row>6</xdr:row>
      <xdr:rowOff>47625</xdr:rowOff>
    </xdr:from>
    <xdr:to>
      <xdr:col>11</xdr:col>
      <xdr:colOff>228600</xdr:colOff>
      <xdr:row>36</xdr:row>
      <xdr:rowOff>66675</xdr:rowOff>
    </xdr:to>
    <xdr:graphicFrame macro="">
      <xdr:nvGraphicFramePr>
        <xdr:cNvPr id="6018234" name="Chart 10">
          <a:extLst>
            <a:ext uri="{FF2B5EF4-FFF2-40B4-BE49-F238E27FC236}">
              <a16:creationId xmlns:a16="http://schemas.microsoft.com/office/drawing/2014/main" id="{D114D66D-8832-2F38-B65E-5DFC42B04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85725</xdr:colOff>
          <xdr:row>4</xdr:row>
          <xdr:rowOff>9525</xdr:rowOff>
        </xdr:from>
        <xdr:to>
          <xdr:col>12</xdr:col>
          <xdr:colOff>285750</xdr:colOff>
          <xdr:row>5</xdr:row>
          <xdr:rowOff>38100</xdr:rowOff>
        </xdr:to>
        <xdr:sp macro="" textlink="">
          <xdr:nvSpPr>
            <xdr:cNvPr id="1339486" name="Option Button 94" hidden="1">
              <a:extLst>
                <a:ext uri="{63B3BB69-23CF-44E3-9099-C40C66FF867C}">
                  <a14:compatExt spid="_x0000_s1339486"/>
                </a:ext>
                <a:ext uri="{FF2B5EF4-FFF2-40B4-BE49-F238E27FC236}">
                  <a16:creationId xmlns:a16="http://schemas.microsoft.com/office/drawing/2014/main" id="{4673129D-165B-2869-1286-3B7EF13699C0}"/>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85725</xdr:colOff>
          <xdr:row>5</xdr:row>
          <xdr:rowOff>9525</xdr:rowOff>
        </xdr:from>
        <xdr:to>
          <xdr:col>12</xdr:col>
          <xdr:colOff>285750</xdr:colOff>
          <xdr:row>6</xdr:row>
          <xdr:rowOff>19050</xdr:rowOff>
        </xdr:to>
        <xdr:sp macro="" textlink="">
          <xdr:nvSpPr>
            <xdr:cNvPr id="1339487" name="Option Button 95" hidden="1">
              <a:extLst>
                <a:ext uri="{63B3BB69-23CF-44E3-9099-C40C66FF867C}">
                  <a14:compatExt spid="_x0000_s1339487"/>
                </a:ext>
                <a:ext uri="{FF2B5EF4-FFF2-40B4-BE49-F238E27FC236}">
                  <a16:creationId xmlns:a16="http://schemas.microsoft.com/office/drawing/2014/main" id="{E5DB480A-9AF9-759F-E4CA-3C4B765E4AFA}"/>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1</xdr:col>
      <xdr:colOff>38100</xdr:colOff>
      <xdr:row>2</xdr:row>
      <xdr:rowOff>57150</xdr:rowOff>
    </xdr:from>
    <xdr:to>
      <xdr:col>4</xdr:col>
      <xdr:colOff>114263</xdr:colOff>
      <xdr:row>5</xdr:row>
      <xdr:rowOff>165466</xdr:rowOff>
    </xdr:to>
    <xdr:sp macro="" textlink="">
      <xdr:nvSpPr>
        <xdr:cNvPr id="2" name="TextBox 1">
          <a:extLst>
            <a:ext uri="{FF2B5EF4-FFF2-40B4-BE49-F238E27FC236}">
              <a16:creationId xmlns:a16="http://schemas.microsoft.com/office/drawing/2014/main" id="{84174A97-7879-278C-4033-BB6B0C521B71}"/>
            </a:ext>
          </a:extLst>
        </xdr:cNvPr>
        <xdr:cNvSpPr txBox="1"/>
      </xdr:nvSpPr>
      <xdr:spPr>
        <a:xfrm>
          <a:off x="137160" y="678180"/>
          <a:ext cx="2994660" cy="624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t>The graphic below is a visual representation</a:t>
          </a:r>
          <a:r>
            <a:rPr lang="en-US" sz="1050" baseline="0"/>
            <a:t> of the Water Balance with bar heights propotional to the volume of the audit components</a:t>
          </a:r>
          <a:endParaRPr lang="en-US" sz="1050"/>
        </a:p>
      </xdr:txBody>
    </xdr:sp>
    <xdr:clientData/>
  </xdr:twoCellAnchor>
  <xdr:twoCellAnchor>
    <xdr:from>
      <xdr:col>2</xdr:col>
      <xdr:colOff>742950</xdr:colOff>
      <xdr:row>6</xdr:row>
      <xdr:rowOff>47625</xdr:rowOff>
    </xdr:from>
    <xdr:to>
      <xdr:col>4</xdr:col>
      <xdr:colOff>552450</xdr:colOff>
      <xdr:row>36</xdr:row>
      <xdr:rowOff>66675</xdr:rowOff>
    </xdr:to>
    <xdr:graphicFrame macro="">
      <xdr:nvGraphicFramePr>
        <xdr:cNvPr id="6018236" name="Chart 6">
          <a:extLst>
            <a:ext uri="{FF2B5EF4-FFF2-40B4-BE49-F238E27FC236}">
              <a16:creationId xmlns:a16="http://schemas.microsoft.com/office/drawing/2014/main" id="{231DDAEE-3196-AA1D-5D3B-97F7F6EA8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2</xdr:row>
      <xdr:rowOff>47625</xdr:rowOff>
    </xdr:from>
    <xdr:to>
      <xdr:col>6</xdr:col>
      <xdr:colOff>0</xdr:colOff>
      <xdr:row>3</xdr:row>
      <xdr:rowOff>0</xdr:rowOff>
    </xdr:to>
    <xdr:sp macro="" textlink="">
      <xdr:nvSpPr>
        <xdr:cNvPr id="6024259" name="Text Box 34">
          <a:extLst>
            <a:ext uri="{FF2B5EF4-FFF2-40B4-BE49-F238E27FC236}">
              <a16:creationId xmlns:a16="http://schemas.microsoft.com/office/drawing/2014/main" id="{897745B1-5A72-86E2-BF44-C46488D90001}"/>
            </a:ext>
          </a:extLst>
        </xdr:cNvPr>
        <xdr:cNvSpPr txBox="1">
          <a:spLocks noChangeArrowheads="1"/>
        </xdr:cNvSpPr>
      </xdr:nvSpPr>
      <xdr:spPr bwMode="auto">
        <a:xfrm>
          <a:off x="5810250" y="400050"/>
          <a:ext cx="0" cy="19050"/>
        </a:xfrm>
        <a:prstGeom prst="rect">
          <a:avLst/>
        </a:prstGeom>
        <a:noFill/>
        <a:ln>
          <a:noFill/>
        </a:ln>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p>
      </xdr:txBody>
    </xdr:sp>
    <xdr:clientData/>
  </xdr:twoCellAnchor>
  <xdr:twoCellAnchor>
    <xdr:from>
      <xdr:col>2</xdr:col>
      <xdr:colOff>57150</xdr:colOff>
      <xdr:row>1</xdr:row>
      <xdr:rowOff>57150</xdr:rowOff>
    </xdr:from>
    <xdr:to>
      <xdr:col>2</xdr:col>
      <xdr:colOff>342900</xdr:colOff>
      <xdr:row>2</xdr:row>
      <xdr:rowOff>28575</xdr:rowOff>
    </xdr:to>
    <xdr:pic>
      <xdr:nvPicPr>
        <xdr:cNvPr id="6024264" name="Picture 71">
          <a:hlinkClick xmlns:r="http://schemas.openxmlformats.org/officeDocument/2006/relationships" r:id="rId1"/>
          <a:extLst>
            <a:ext uri="{FF2B5EF4-FFF2-40B4-BE49-F238E27FC236}">
              <a16:creationId xmlns:a16="http://schemas.microsoft.com/office/drawing/2014/main" id="{DDB298D5-AB4C-CCE8-737A-3809A4320B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114300"/>
          <a:ext cx="285750" cy="2571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977265</xdr:colOff>
      <xdr:row>1</xdr:row>
      <xdr:rowOff>26670</xdr:rowOff>
    </xdr:from>
    <xdr:to>
      <xdr:col>14</xdr:col>
      <xdr:colOff>2116</xdr:colOff>
      <xdr:row>1</xdr:row>
      <xdr:rowOff>173712</xdr:rowOff>
    </xdr:to>
    <xdr:sp macro="" textlink="">
      <xdr:nvSpPr>
        <xdr:cNvPr id="7" name="Text Box 34">
          <a:extLst>
            <a:ext uri="{FF2B5EF4-FFF2-40B4-BE49-F238E27FC236}">
              <a16:creationId xmlns:a16="http://schemas.microsoft.com/office/drawing/2014/main" id="{FB968A7D-F6C3-9B23-BE2A-5847801695AB}"/>
            </a:ext>
          </a:extLst>
        </xdr:cNvPr>
        <xdr:cNvSpPr txBox="1">
          <a:spLocks noChangeArrowheads="1"/>
        </xdr:cNvSpPr>
      </xdr:nvSpPr>
      <xdr:spPr bwMode="auto">
        <a:xfrm>
          <a:off x="13601700" y="83820"/>
          <a:ext cx="539115" cy="14478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endParaRPr lang="en-US"/>
        </a:p>
      </xdr:txBody>
    </xdr:sp>
    <xdr:clientData/>
  </xdr:twoCellAnchor>
  <xdr:twoCellAnchor>
    <xdr:from>
      <xdr:col>10</xdr:col>
      <xdr:colOff>558165</xdr:colOff>
      <xdr:row>1</xdr:row>
      <xdr:rowOff>190500</xdr:rowOff>
    </xdr:from>
    <xdr:to>
      <xdr:col>14</xdr:col>
      <xdr:colOff>3996</xdr:colOff>
      <xdr:row>3</xdr:row>
      <xdr:rowOff>6484</xdr:rowOff>
    </xdr:to>
    <xdr:sp macro="" textlink="">
      <xdr:nvSpPr>
        <xdr:cNvPr id="8" name="Text Box 474">
          <a:extLst>
            <a:ext uri="{FF2B5EF4-FFF2-40B4-BE49-F238E27FC236}">
              <a16:creationId xmlns:a16="http://schemas.microsoft.com/office/drawing/2014/main" id="{595D0467-E358-765C-AF92-E3369D4A43D8}"/>
            </a:ext>
          </a:extLst>
        </xdr:cNvPr>
        <xdr:cNvSpPr txBox="1">
          <a:spLocks noChangeArrowheads="1"/>
        </xdr:cNvSpPr>
      </xdr:nvSpPr>
      <xdr:spPr bwMode="auto">
        <a:xfrm>
          <a:off x="10393680" y="251460"/>
          <a:ext cx="3741420" cy="1600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752475</xdr:colOff>
      <xdr:row>3</xdr:row>
      <xdr:rowOff>38100</xdr:rowOff>
    </xdr:from>
    <xdr:to>
      <xdr:col>4</xdr:col>
      <xdr:colOff>3743325</xdr:colOff>
      <xdr:row>9</xdr:row>
      <xdr:rowOff>209550</xdr:rowOff>
    </xdr:to>
    <xdr:pic>
      <xdr:nvPicPr>
        <xdr:cNvPr id="5708523" name="Picture 22" descr="Meter-at-curb-stop">
          <a:extLst>
            <a:ext uri="{FF2B5EF4-FFF2-40B4-BE49-F238E27FC236}">
              <a16:creationId xmlns:a16="http://schemas.microsoft.com/office/drawing/2014/main" id="{BC6392F8-8228-C25E-4C6A-BD7612812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647700"/>
          <a:ext cx="5295900"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752475</xdr:colOff>
      <xdr:row>9</xdr:row>
      <xdr:rowOff>228600</xdr:rowOff>
    </xdr:from>
    <xdr:to>
      <xdr:col>4</xdr:col>
      <xdr:colOff>3752850</xdr:colOff>
      <xdr:row>16</xdr:row>
      <xdr:rowOff>28575</xdr:rowOff>
    </xdr:to>
    <xdr:pic>
      <xdr:nvPicPr>
        <xdr:cNvPr id="5708524" name="Picture 23" descr="Meter-Inside-Property">
          <a:extLst>
            <a:ext uri="{FF2B5EF4-FFF2-40B4-BE49-F238E27FC236}">
              <a16:creationId xmlns:a16="http://schemas.microsoft.com/office/drawing/2014/main" id="{B678C18C-0CF7-F7F0-5A42-6258111504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638550"/>
          <a:ext cx="5305425"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762000</xdr:colOff>
      <xdr:row>16</xdr:row>
      <xdr:rowOff>47625</xdr:rowOff>
    </xdr:from>
    <xdr:to>
      <xdr:col>4</xdr:col>
      <xdr:colOff>3743325</xdr:colOff>
      <xdr:row>22</xdr:row>
      <xdr:rowOff>428625</xdr:rowOff>
    </xdr:to>
    <xdr:pic>
      <xdr:nvPicPr>
        <xdr:cNvPr id="5708525" name="Picture 24" descr="Unmetered">
          <a:extLst>
            <a:ext uri="{FF2B5EF4-FFF2-40B4-BE49-F238E27FC236}">
              <a16:creationId xmlns:a16="http://schemas.microsoft.com/office/drawing/2014/main" id="{1DD7C20D-BD00-92CA-C4B6-581CEC4B3AB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7400" y="6724650"/>
          <a:ext cx="5286375"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108585</xdr:colOff>
      <xdr:row>3</xdr:row>
      <xdr:rowOff>285750</xdr:rowOff>
    </xdr:from>
    <xdr:to>
      <xdr:col>2</xdr:col>
      <xdr:colOff>632730</xdr:colOff>
      <xdr:row>19</xdr:row>
      <xdr:rowOff>266702</xdr:rowOff>
    </xdr:to>
    <xdr:sp macro="" textlink="">
      <xdr:nvSpPr>
        <xdr:cNvPr id="28714" name="Text Box 26">
          <a:extLst>
            <a:ext uri="{FF2B5EF4-FFF2-40B4-BE49-F238E27FC236}">
              <a16:creationId xmlns:a16="http://schemas.microsoft.com/office/drawing/2014/main" id="{597DC4D5-71FA-D902-D21C-69AAB24CEC30}"/>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2</xdr:col>
      <xdr:colOff>826770</xdr:colOff>
      <xdr:row>8</xdr:row>
      <xdr:rowOff>297180</xdr:rowOff>
    </xdr:from>
    <xdr:to>
      <xdr:col>3</xdr:col>
      <xdr:colOff>485022</xdr:colOff>
      <xdr:row>9</xdr:row>
      <xdr:rowOff>124240</xdr:rowOff>
    </xdr:to>
    <xdr:sp macro="" textlink="">
      <xdr:nvSpPr>
        <xdr:cNvPr id="28703" name="Text Box 31">
          <a:extLst>
            <a:ext uri="{FF2B5EF4-FFF2-40B4-BE49-F238E27FC236}">
              <a16:creationId xmlns:a16="http://schemas.microsoft.com/office/drawing/2014/main" id="{6CFF9227-2BDF-05EC-9DEC-D3AC31A5AA6E}"/>
            </a:ext>
          </a:extLst>
        </xdr:cNvPr>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849630</xdr:colOff>
      <xdr:row>15</xdr:row>
      <xdr:rowOff>76200</xdr:rowOff>
    </xdr:from>
    <xdr:to>
      <xdr:col>3</xdr:col>
      <xdr:colOff>516348</xdr:colOff>
      <xdr:row>15</xdr:row>
      <xdr:rowOff>361950</xdr:rowOff>
    </xdr:to>
    <xdr:sp macro="" textlink="">
      <xdr:nvSpPr>
        <xdr:cNvPr id="28704" name="Text Box 32">
          <a:extLst>
            <a:ext uri="{FF2B5EF4-FFF2-40B4-BE49-F238E27FC236}">
              <a16:creationId xmlns:a16="http://schemas.microsoft.com/office/drawing/2014/main" id="{9620761C-0806-80F8-FFDE-C73B633927D4}"/>
            </a:ext>
          </a:extLst>
        </xdr:cNvPr>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887730</xdr:colOff>
      <xdr:row>22</xdr:row>
      <xdr:rowOff>1905</xdr:rowOff>
    </xdr:from>
    <xdr:to>
      <xdr:col>3</xdr:col>
      <xdr:colOff>552473</xdr:colOff>
      <xdr:row>22</xdr:row>
      <xdr:rowOff>297180</xdr:rowOff>
    </xdr:to>
    <xdr:sp macro="" textlink="">
      <xdr:nvSpPr>
        <xdr:cNvPr id="28705" name="Text Box 33">
          <a:extLst>
            <a:ext uri="{FF2B5EF4-FFF2-40B4-BE49-F238E27FC236}">
              <a16:creationId xmlns:a16="http://schemas.microsoft.com/office/drawing/2014/main" id="{4886CE65-5407-1943-5273-8AEDEDCD1055}"/>
            </a:ext>
          </a:extLst>
        </xdr:cNvPr>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4</xdr:col>
      <xdr:colOff>2251710</xdr:colOff>
      <xdr:row>2</xdr:row>
      <xdr:rowOff>57150</xdr:rowOff>
    </xdr:from>
    <xdr:to>
      <xdr:col>5</xdr:col>
      <xdr:colOff>63125</xdr:colOff>
      <xdr:row>2</xdr:row>
      <xdr:rowOff>293832</xdr:rowOff>
    </xdr:to>
    <xdr:sp macro="" textlink="">
      <xdr:nvSpPr>
        <xdr:cNvPr id="17" name="Text Box 474">
          <a:extLst>
            <a:ext uri="{FF2B5EF4-FFF2-40B4-BE49-F238E27FC236}">
              <a16:creationId xmlns:a16="http://schemas.microsoft.com/office/drawing/2014/main" id="{580C9D2C-FFA6-A179-7E72-2D450F625922}"/>
            </a:ext>
          </a:extLst>
        </xdr:cNvPr>
        <xdr:cNvSpPr txBox="1">
          <a:spLocks noChangeArrowheads="1"/>
        </xdr:cNvSpPr>
      </xdr:nvSpPr>
      <xdr:spPr bwMode="auto">
        <a:xfrm>
          <a:off x="6012180" y="28956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5</xdr:col>
      <xdr:colOff>0</xdr:colOff>
      <xdr:row>1</xdr:row>
      <xdr:rowOff>57150</xdr:rowOff>
    </xdr:from>
    <xdr:to>
      <xdr:col>5</xdr:col>
      <xdr:colOff>48044</xdr:colOff>
      <xdr:row>2</xdr:row>
      <xdr:rowOff>20955</xdr:rowOff>
    </xdr:to>
    <xdr:sp macro="" textlink="">
      <xdr:nvSpPr>
        <xdr:cNvPr id="18" name="Text Box 706">
          <a:extLst>
            <a:ext uri="{FF2B5EF4-FFF2-40B4-BE49-F238E27FC236}">
              <a16:creationId xmlns:a16="http://schemas.microsoft.com/office/drawing/2014/main" id="{80C48E66-FAA8-F8ED-2052-F10DB53CA385}"/>
            </a:ext>
          </a:extLst>
        </xdr:cNvPr>
        <xdr:cNvSpPr txBox="1">
          <a:spLocks noChangeArrowheads="1"/>
        </xdr:cNvSpPr>
      </xdr:nvSpPr>
      <xdr:spPr bwMode="auto">
        <a:xfrm>
          <a:off x="7208520" y="99060"/>
          <a:ext cx="632460" cy="15430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76200</xdr:rowOff>
    </xdr:from>
    <xdr:to>
      <xdr:col>1</xdr:col>
      <xdr:colOff>476250</xdr:colOff>
      <xdr:row>2</xdr:row>
      <xdr:rowOff>295275</xdr:rowOff>
    </xdr:to>
    <xdr:pic>
      <xdr:nvPicPr>
        <xdr:cNvPr id="5708532" name="Picture 71">
          <a:hlinkClick xmlns:r="http://schemas.openxmlformats.org/officeDocument/2006/relationships" r:id="rId4"/>
          <a:extLst>
            <a:ext uri="{FF2B5EF4-FFF2-40B4-BE49-F238E27FC236}">
              <a16:creationId xmlns:a16="http://schemas.microsoft.com/office/drawing/2014/main" id="{63AEBD5C-53CC-B021-8B25-279CAFBC2AD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3350" y="123825"/>
          <a:ext cx="400050"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388620</xdr:colOff>
      <xdr:row>20</xdr:row>
      <xdr:rowOff>323850</xdr:rowOff>
    </xdr:from>
    <xdr:to>
      <xdr:col>2</xdr:col>
      <xdr:colOff>384882</xdr:colOff>
      <xdr:row>22</xdr:row>
      <xdr:rowOff>37327</xdr:rowOff>
    </xdr:to>
    <xdr:sp macro="" textlink="">
      <xdr:nvSpPr>
        <xdr:cNvPr id="3" name="Rounded Rectangle 2">
          <a:hlinkClick xmlns:r="http://schemas.openxmlformats.org/officeDocument/2006/relationships" r:id="rId6"/>
          <a:extLst>
            <a:ext uri="{FF2B5EF4-FFF2-40B4-BE49-F238E27FC236}">
              <a16:creationId xmlns:a16="http://schemas.microsoft.com/office/drawing/2014/main" id="{BA6C8272-3AC8-25C1-CCB9-7E29347112C6}"/>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207645</xdr:colOff>
      <xdr:row>58</xdr:row>
      <xdr:rowOff>211455</xdr:rowOff>
    </xdr:from>
    <xdr:to>
      <xdr:col>7</xdr:col>
      <xdr:colOff>3804</xdr:colOff>
      <xdr:row>58</xdr:row>
      <xdr:rowOff>453984</xdr:rowOff>
    </xdr:to>
    <xdr:sp macro="" textlink="">
      <xdr:nvSpPr>
        <xdr:cNvPr id="10288" name="Text Box 48">
          <a:extLst>
            <a:ext uri="{FF2B5EF4-FFF2-40B4-BE49-F238E27FC236}">
              <a16:creationId xmlns:a16="http://schemas.microsoft.com/office/drawing/2014/main" id="{5A23919C-3783-91DB-8D05-EF0191889FDD}"/>
            </a:ext>
          </a:extLst>
        </xdr:cNvPr>
        <xdr:cNvSpPr txBox="1">
          <a:spLocks noChangeArrowheads="1"/>
        </xdr:cNvSpPr>
      </xdr:nvSpPr>
      <xdr:spPr bwMode="auto">
        <a:xfrm>
          <a:off x="1524000" y="42967275"/>
          <a:ext cx="3370039" cy="23812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use the default percent value choose this button</a:t>
          </a:r>
        </a:p>
      </xdr:txBody>
    </xdr:sp>
    <xdr:clientData/>
  </xdr:twoCellAnchor>
  <xdr:twoCellAnchor>
    <xdr:from>
      <xdr:col>7</xdr:col>
      <xdr:colOff>80009</xdr:colOff>
      <xdr:row>58</xdr:row>
      <xdr:rowOff>148590</xdr:rowOff>
    </xdr:from>
    <xdr:to>
      <xdr:col>11</xdr:col>
      <xdr:colOff>245807</xdr:colOff>
      <xdr:row>58</xdr:row>
      <xdr:rowOff>388824</xdr:rowOff>
    </xdr:to>
    <xdr:sp macro="" textlink="">
      <xdr:nvSpPr>
        <xdr:cNvPr id="10291" name="Text Box 51">
          <a:extLst>
            <a:ext uri="{FF2B5EF4-FFF2-40B4-BE49-F238E27FC236}">
              <a16:creationId xmlns:a16="http://schemas.microsoft.com/office/drawing/2014/main" id="{DAEAC909-DFD5-AD53-DBF3-BBB9FCEE42EC}"/>
            </a:ext>
          </a:extLst>
        </xdr:cNvPr>
        <xdr:cNvSpPr txBox="1">
          <a:spLocks noChangeArrowheads="1"/>
        </xdr:cNvSpPr>
      </xdr:nvSpPr>
      <xdr:spPr bwMode="auto">
        <a:xfrm>
          <a:off x="5240654" y="42912030"/>
          <a:ext cx="4657725" cy="24753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enter a value choose this button and enter the value in the cell to the right</a:t>
          </a:r>
        </a:p>
      </xdr:txBody>
    </xdr:sp>
    <xdr:clientData/>
  </xdr:twoCellAnchor>
  <xdr:twoCellAnchor>
    <xdr:from>
      <xdr:col>3</xdr:col>
      <xdr:colOff>150495</xdr:colOff>
      <xdr:row>58</xdr:row>
      <xdr:rowOff>1224915</xdr:rowOff>
    </xdr:from>
    <xdr:to>
      <xdr:col>11</xdr:col>
      <xdr:colOff>81908</xdr:colOff>
      <xdr:row>58</xdr:row>
      <xdr:rowOff>1855264</xdr:rowOff>
    </xdr:to>
    <xdr:sp macro="" textlink="">
      <xdr:nvSpPr>
        <xdr:cNvPr id="10294" name="Text Box 54">
          <a:extLst>
            <a:ext uri="{FF2B5EF4-FFF2-40B4-BE49-F238E27FC236}">
              <a16:creationId xmlns:a16="http://schemas.microsoft.com/office/drawing/2014/main" id="{8A41BE22-8BF3-6770-CCDB-AF91F4A0903D}"/>
            </a:ext>
          </a:extLst>
        </xdr:cNvPr>
        <xdr:cNvSpPr txBox="1">
          <a:spLocks noChangeArrowheads="1"/>
        </xdr:cNvSpPr>
      </xdr:nvSpPr>
      <xdr:spPr bwMode="auto">
        <a:xfrm>
          <a:off x="1470660" y="43990260"/>
          <a:ext cx="8269608" cy="701040"/>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1000" b="1" i="0" u="none" strike="noStrike" baseline="0">
              <a:solidFill>
                <a:srgbClr val="000000"/>
              </a:solidFill>
              <a:latin typeface="Arial" panose="020B0604020202020204" pitchFamily="34" charset="0"/>
              <a:cs typeface="Arial" panose="020B0604020202020204" pitchFamily="34" charset="0"/>
            </a:rPr>
            <a:t>NOTE:</a:t>
          </a:r>
          <a:r>
            <a:rPr lang="en-US" sz="1000" b="0" i="0" u="none" strike="noStrike" baseline="0">
              <a:solidFill>
                <a:srgbClr val="000000"/>
              </a:solidFill>
              <a:latin typeface="Arial" panose="020B0604020202020204" pitchFamily="34" charset="0"/>
              <a:cs typeface="Arial" panose="020B0604020202020204" pitchFamily="34" charset="0"/>
            </a:rPr>
            <a:t> For Unbilled Unmetered Consumption, Unauthorized Consumption and Systematic Data Handling Errors, a recommended default value can be applied by selecting the Percent option. The default values are based on fixed percentages of Water Supplied or Billed Authorized Consumption and are recommended for use in this audit unless the auditor has well validated data for their system. Default values are shown by purple cells, as shown in the example above.</a:t>
          </a:r>
        </a:p>
      </xdr:txBody>
    </xdr:sp>
    <xdr:clientData/>
  </xdr:twoCellAnchor>
  <xdr:twoCellAnchor>
    <xdr:from>
      <xdr:col>3</xdr:col>
      <xdr:colOff>146685</xdr:colOff>
      <xdr:row>58</xdr:row>
      <xdr:rowOff>1851660</xdr:rowOff>
    </xdr:from>
    <xdr:to>
      <xdr:col>11</xdr:col>
      <xdr:colOff>89539</xdr:colOff>
      <xdr:row>58</xdr:row>
      <xdr:rowOff>1851660</xdr:rowOff>
    </xdr:to>
    <xdr:sp macro="" textlink="">
      <xdr:nvSpPr>
        <xdr:cNvPr id="10298" name="Text Box 58">
          <a:extLst>
            <a:ext uri="{FF2B5EF4-FFF2-40B4-BE49-F238E27FC236}">
              <a16:creationId xmlns:a16="http://schemas.microsoft.com/office/drawing/2014/main" id="{8903D36B-D80F-AE43-076A-16E9EE703AC7}"/>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5 is automatically applied (however, this grade will not be displayed).</a:t>
          </a:r>
        </a:p>
      </xdr:txBody>
    </xdr:sp>
    <xdr:clientData/>
  </xdr:twoCellAnchor>
  <xdr:twoCellAnchor>
    <xdr:from>
      <xdr:col>6</xdr:col>
      <xdr:colOff>3810</xdr:colOff>
      <xdr:row>2</xdr:row>
      <xdr:rowOff>32385</xdr:rowOff>
    </xdr:from>
    <xdr:to>
      <xdr:col>6</xdr:col>
      <xdr:colOff>67028</xdr:colOff>
      <xdr:row>2</xdr:row>
      <xdr:rowOff>32385</xdr:rowOff>
    </xdr:to>
    <xdr:sp macro="" textlink="">
      <xdr:nvSpPr>
        <xdr:cNvPr id="14" name="Text Box 474">
          <a:extLst>
            <a:ext uri="{FF2B5EF4-FFF2-40B4-BE49-F238E27FC236}">
              <a16:creationId xmlns:a16="http://schemas.microsoft.com/office/drawing/2014/main" id="{C4A37727-1A95-8F79-19E5-ED536864CAB7}"/>
            </a:ext>
          </a:extLst>
        </xdr:cNvPr>
        <xdr:cNvSpPr txBox="1">
          <a:spLocks noChangeArrowheads="1"/>
        </xdr:cNvSpPr>
      </xdr:nvSpPr>
      <xdr:spPr bwMode="auto">
        <a:xfrm>
          <a:off x="6012180" y="289560"/>
          <a:ext cx="1844040" cy="32004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10</xdr:col>
      <xdr:colOff>150495</xdr:colOff>
      <xdr:row>1</xdr:row>
      <xdr:rowOff>38101</xdr:rowOff>
    </xdr:from>
    <xdr:to>
      <xdr:col>11</xdr:col>
      <xdr:colOff>373531</xdr:colOff>
      <xdr:row>1</xdr:row>
      <xdr:rowOff>266701</xdr:rowOff>
    </xdr:to>
    <xdr:sp macro="" textlink="">
      <xdr:nvSpPr>
        <xdr:cNvPr id="15" name="Text Box 706">
          <a:extLst>
            <a:ext uri="{FF2B5EF4-FFF2-40B4-BE49-F238E27FC236}">
              <a16:creationId xmlns:a16="http://schemas.microsoft.com/office/drawing/2014/main" id="{6C9492BF-A9E8-E204-D586-F254451FAB99}"/>
            </a:ext>
          </a:extLst>
        </xdr:cNvPr>
        <xdr:cNvSpPr txBox="1">
          <a:spLocks noChangeArrowheads="1"/>
        </xdr:cNvSpPr>
      </xdr:nvSpPr>
      <xdr:spPr bwMode="auto">
        <a:xfrm>
          <a:off x="9090660" y="114301"/>
          <a:ext cx="685800" cy="2286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85725</xdr:colOff>
      <xdr:row>1</xdr:row>
      <xdr:rowOff>66675</xdr:rowOff>
    </xdr:from>
    <xdr:to>
      <xdr:col>2</xdr:col>
      <xdr:colOff>409575</xdr:colOff>
      <xdr:row>1</xdr:row>
      <xdr:rowOff>485775</xdr:rowOff>
    </xdr:to>
    <xdr:pic>
      <xdr:nvPicPr>
        <xdr:cNvPr id="5997434" name="Picture 9">
          <a:hlinkClick xmlns:r="http://schemas.openxmlformats.org/officeDocument/2006/relationships" r:id="rId1"/>
          <a:extLst>
            <a:ext uri="{FF2B5EF4-FFF2-40B4-BE49-F238E27FC236}">
              <a16:creationId xmlns:a16="http://schemas.microsoft.com/office/drawing/2014/main" id="{CAFC1C94-AA77-BCB3-D0DA-92B450E420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42875"/>
          <a:ext cx="409575" cy="4191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600075</xdr:colOff>
      <xdr:row>1</xdr:row>
      <xdr:rowOff>209550</xdr:rowOff>
    </xdr:from>
    <xdr:to>
      <xdr:col>11</xdr:col>
      <xdr:colOff>391884</xdr:colOff>
      <xdr:row>3</xdr:row>
      <xdr:rowOff>1714</xdr:rowOff>
    </xdr:to>
    <xdr:sp macro="" textlink="">
      <xdr:nvSpPr>
        <xdr:cNvPr id="18" name="Text Box 474">
          <a:extLst>
            <a:ext uri="{FF2B5EF4-FFF2-40B4-BE49-F238E27FC236}">
              <a16:creationId xmlns:a16="http://schemas.microsoft.com/office/drawing/2014/main" id="{1CDD0594-0438-38E4-9417-909A149C5D33}"/>
            </a:ext>
          </a:extLst>
        </xdr:cNvPr>
        <xdr:cNvSpPr txBox="1">
          <a:spLocks noChangeArrowheads="1"/>
        </xdr:cNvSpPr>
      </xdr:nvSpPr>
      <xdr:spPr bwMode="auto">
        <a:xfrm>
          <a:off x="7917180" y="28194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6</xdr:col>
      <xdr:colOff>76200</xdr:colOff>
      <xdr:row>58</xdr:row>
      <xdr:rowOff>647700</xdr:rowOff>
    </xdr:from>
    <xdr:to>
      <xdr:col>7</xdr:col>
      <xdr:colOff>990600</xdr:colOff>
      <xdr:row>58</xdr:row>
      <xdr:rowOff>1162050</xdr:rowOff>
    </xdr:to>
    <xdr:pic>
      <xdr:nvPicPr>
        <xdr:cNvPr id="5997436" name="Picture 18">
          <a:extLst>
            <a:ext uri="{FF2B5EF4-FFF2-40B4-BE49-F238E27FC236}">
              <a16:creationId xmlns:a16="http://schemas.microsoft.com/office/drawing/2014/main" id="{BF9C43B9-E239-1DBB-3E24-7420C7EDA3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6194" t="66855" r="27975" b="26654"/>
        <a:stretch>
          <a:fillRect/>
        </a:stretch>
      </xdr:blipFill>
      <xdr:spPr bwMode="auto">
        <a:xfrm>
          <a:off x="3743325" y="43176825"/>
          <a:ext cx="22479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1066800</xdr:colOff>
      <xdr:row>58</xdr:row>
      <xdr:rowOff>333375</xdr:rowOff>
    </xdr:from>
    <xdr:to>
      <xdr:col>6</xdr:col>
      <xdr:colOff>1333500</xdr:colOff>
      <xdr:row>58</xdr:row>
      <xdr:rowOff>800100</xdr:rowOff>
    </xdr:to>
    <xdr:sp macro="" textlink="">
      <xdr:nvSpPr>
        <xdr:cNvPr id="5997437" name="Line 55">
          <a:extLst>
            <a:ext uri="{FF2B5EF4-FFF2-40B4-BE49-F238E27FC236}">
              <a16:creationId xmlns:a16="http://schemas.microsoft.com/office/drawing/2014/main" id="{51B99424-29C4-2045-E1B5-AD9A61CB098D}"/>
            </a:ext>
          </a:extLst>
        </xdr:cNvPr>
        <xdr:cNvSpPr>
          <a:spLocks noChangeShapeType="1"/>
        </xdr:cNvSpPr>
      </xdr:nvSpPr>
      <xdr:spPr bwMode="auto">
        <a:xfrm flipH="1">
          <a:off x="4733925" y="42862500"/>
          <a:ext cx="266700" cy="4667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447675</xdr:colOff>
      <xdr:row>58</xdr:row>
      <xdr:rowOff>409575</xdr:rowOff>
    </xdr:from>
    <xdr:to>
      <xdr:col>6</xdr:col>
      <xdr:colOff>809625</xdr:colOff>
      <xdr:row>58</xdr:row>
      <xdr:rowOff>809625</xdr:rowOff>
    </xdr:to>
    <xdr:sp macro="" textlink="">
      <xdr:nvSpPr>
        <xdr:cNvPr id="5997438" name="Line 49">
          <a:extLst>
            <a:ext uri="{FF2B5EF4-FFF2-40B4-BE49-F238E27FC236}">
              <a16:creationId xmlns:a16="http://schemas.microsoft.com/office/drawing/2014/main" id="{5487A119-65F0-922C-6DA9-BAC7EA70A096}"/>
            </a:ext>
          </a:extLst>
        </xdr:cNvPr>
        <xdr:cNvSpPr>
          <a:spLocks noChangeShapeType="1"/>
        </xdr:cNvSpPr>
      </xdr:nvSpPr>
      <xdr:spPr bwMode="auto">
        <a:xfrm>
          <a:off x="4114800" y="42938700"/>
          <a:ext cx="361950" cy="4000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58</xdr:row>
      <xdr:rowOff>400050</xdr:rowOff>
    </xdr:from>
    <xdr:to>
      <xdr:col>9</xdr:col>
      <xdr:colOff>876300</xdr:colOff>
      <xdr:row>58</xdr:row>
      <xdr:rowOff>971550</xdr:rowOff>
    </xdr:to>
    <xdr:sp macro="" textlink="">
      <xdr:nvSpPr>
        <xdr:cNvPr id="5997439" name="Line 52">
          <a:extLst>
            <a:ext uri="{FF2B5EF4-FFF2-40B4-BE49-F238E27FC236}">
              <a16:creationId xmlns:a16="http://schemas.microsoft.com/office/drawing/2014/main" id="{9870B0FC-4B16-1C45-D0D2-6FF3D23165B3}"/>
            </a:ext>
          </a:extLst>
        </xdr:cNvPr>
        <xdr:cNvSpPr>
          <a:spLocks noChangeShapeType="1"/>
        </xdr:cNvSpPr>
      </xdr:nvSpPr>
      <xdr:spPr bwMode="auto">
        <a:xfrm flipH="1">
          <a:off x="5153025" y="42929175"/>
          <a:ext cx="3057525" cy="57150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156210</xdr:colOff>
      <xdr:row>5</xdr:row>
      <xdr:rowOff>864870</xdr:rowOff>
    </xdr:from>
    <xdr:to>
      <xdr:col>3</xdr:col>
      <xdr:colOff>6262</xdr:colOff>
      <xdr:row>6</xdr:row>
      <xdr:rowOff>11452</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291B4CB5-0641-BE63-3FCF-EB39A817EDE7}"/>
            </a:ext>
          </a:extLst>
        </xdr:cNvPr>
        <xdr:cNvSpPr/>
      </xdr:nvSpPr>
      <xdr:spPr bwMode="auto">
        <a:xfrm>
          <a:off x="350520" y="17449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7</xdr:row>
      <xdr:rowOff>1600200</xdr:rowOff>
    </xdr:from>
    <xdr:to>
      <xdr:col>2</xdr:col>
      <xdr:colOff>874829</xdr:colOff>
      <xdr:row>7</xdr:row>
      <xdr:rowOff>1885950</xdr:rowOff>
    </xdr:to>
    <xdr:sp macro="" textlink="">
      <xdr:nvSpPr>
        <xdr:cNvPr id="22" name="Rounded Rectangle 21">
          <a:hlinkClick xmlns:r="http://schemas.openxmlformats.org/officeDocument/2006/relationships" r:id="rId5"/>
          <a:extLst>
            <a:ext uri="{FF2B5EF4-FFF2-40B4-BE49-F238E27FC236}">
              <a16:creationId xmlns:a16="http://schemas.microsoft.com/office/drawing/2014/main" id="{9CA10007-F2DE-2239-F60E-830ED66BCFCE}"/>
            </a:ext>
          </a:extLst>
        </xdr:cNvPr>
        <xdr:cNvSpPr/>
      </xdr:nvSpPr>
      <xdr:spPr bwMode="auto">
        <a:xfrm>
          <a:off x="365760" y="37947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9</xdr:row>
      <xdr:rowOff>2623185</xdr:rowOff>
    </xdr:from>
    <xdr:to>
      <xdr:col>3</xdr:col>
      <xdr:colOff>4585</xdr:colOff>
      <xdr:row>9</xdr:row>
      <xdr:rowOff>2769329</xdr:rowOff>
    </xdr:to>
    <xdr:sp macro="" textlink="">
      <xdr:nvSpPr>
        <xdr:cNvPr id="23" name="Rounded Rectangle 22">
          <a:hlinkClick xmlns:r="http://schemas.openxmlformats.org/officeDocument/2006/relationships" r:id="rId6"/>
          <a:extLst>
            <a:ext uri="{FF2B5EF4-FFF2-40B4-BE49-F238E27FC236}">
              <a16:creationId xmlns:a16="http://schemas.microsoft.com/office/drawing/2014/main" id="{4E39758E-02D7-0944-FCAF-D506084EB17C}"/>
            </a:ext>
          </a:extLst>
        </xdr:cNvPr>
        <xdr:cNvSpPr/>
      </xdr:nvSpPr>
      <xdr:spPr bwMode="auto">
        <a:xfrm>
          <a:off x="373380" y="74676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11</xdr:row>
      <xdr:rowOff>805815</xdr:rowOff>
    </xdr:from>
    <xdr:to>
      <xdr:col>2</xdr:col>
      <xdr:colOff>874829</xdr:colOff>
      <xdr:row>11</xdr:row>
      <xdr:rowOff>978408</xdr:rowOff>
    </xdr:to>
    <xdr:sp macro="" textlink="">
      <xdr:nvSpPr>
        <xdr:cNvPr id="24" name="Rounded Rectangle 23">
          <a:hlinkClick xmlns:r="http://schemas.openxmlformats.org/officeDocument/2006/relationships" r:id="rId7"/>
          <a:extLst>
            <a:ext uri="{FF2B5EF4-FFF2-40B4-BE49-F238E27FC236}">
              <a16:creationId xmlns:a16="http://schemas.microsoft.com/office/drawing/2014/main" id="{264554C9-284B-6D31-C27D-E1996080731F}"/>
            </a:ext>
          </a:extLst>
        </xdr:cNvPr>
        <xdr:cNvSpPr/>
      </xdr:nvSpPr>
      <xdr:spPr bwMode="auto">
        <a:xfrm>
          <a:off x="365760" y="918972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9</xdr:row>
      <xdr:rowOff>342900</xdr:rowOff>
    </xdr:from>
    <xdr:to>
      <xdr:col>3</xdr:col>
      <xdr:colOff>8405</xdr:colOff>
      <xdr:row>9</xdr:row>
      <xdr:rowOff>1188863</xdr:rowOff>
    </xdr:to>
    <xdr:sp macro="" textlink="">
      <xdr:nvSpPr>
        <xdr:cNvPr id="25" name="Rounded Rectangle 24">
          <a:hlinkClick xmlns:r="http://schemas.openxmlformats.org/officeDocument/2006/relationships" r:id="rId6"/>
          <a:extLst>
            <a:ext uri="{FF2B5EF4-FFF2-40B4-BE49-F238E27FC236}">
              <a16:creationId xmlns:a16="http://schemas.microsoft.com/office/drawing/2014/main" id="{6F7ED96F-5C0E-D7B7-1669-1EE8F117B285}"/>
            </a:ext>
          </a:extLst>
        </xdr:cNvPr>
        <xdr:cNvSpPr/>
      </xdr:nvSpPr>
      <xdr:spPr bwMode="auto">
        <a:xfrm>
          <a:off x="365760" y="5196840"/>
          <a:ext cx="762000" cy="8534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156210</xdr:colOff>
      <xdr:row>15</xdr:row>
      <xdr:rowOff>758190</xdr:rowOff>
    </xdr:from>
    <xdr:to>
      <xdr:col>3</xdr:col>
      <xdr:colOff>6262</xdr:colOff>
      <xdr:row>16</xdr:row>
      <xdr:rowOff>9108</xdr:rowOff>
    </xdr:to>
    <xdr:sp macro="" textlink="">
      <xdr:nvSpPr>
        <xdr:cNvPr id="26" name="Rounded Rectangle 25">
          <a:hlinkClick xmlns:r="http://schemas.openxmlformats.org/officeDocument/2006/relationships" r:id="rId8"/>
          <a:extLst>
            <a:ext uri="{FF2B5EF4-FFF2-40B4-BE49-F238E27FC236}">
              <a16:creationId xmlns:a16="http://schemas.microsoft.com/office/drawing/2014/main" id="{7BBC9C04-D7F6-538A-1D94-8254150C5472}"/>
            </a:ext>
          </a:extLst>
        </xdr:cNvPr>
        <xdr:cNvSpPr/>
      </xdr:nvSpPr>
      <xdr:spPr bwMode="auto">
        <a:xfrm>
          <a:off x="350520" y="109728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203835</xdr:colOff>
      <xdr:row>17</xdr:row>
      <xdr:rowOff>560070</xdr:rowOff>
    </xdr:from>
    <xdr:to>
      <xdr:col>3</xdr:col>
      <xdr:colOff>5859</xdr:colOff>
      <xdr:row>17</xdr:row>
      <xdr:rowOff>715823</xdr:rowOff>
    </xdr:to>
    <xdr:sp macro="" textlink="">
      <xdr:nvSpPr>
        <xdr:cNvPr id="27" name="Rounded Rectangle 26">
          <a:hlinkClick xmlns:r="http://schemas.openxmlformats.org/officeDocument/2006/relationships" r:id="rId9"/>
          <a:extLst>
            <a:ext uri="{FF2B5EF4-FFF2-40B4-BE49-F238E27FC236}">
              <a16:creationId xmlns:a16="http://schemas.microsoft.com/office/drawing/2014/main" id="{4EAC2F81-1B70-D0A3-089C-EBA00DF01F06}"/>
            </a:ext>
          </a:extLst>
        </xdr:cNvPr>
        <xdr:cNvSpPr/>
      </xdr:nvSpPr>
      <xdr:spPr bwMode="auto">
        <a:xfrm>
          <a:off x="388620" y="120777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19</xdr:row>
      <xdr:rowOff>2000250</xdr:rowOff>
    </xdr:from>
    <xdr:to>
      <xdr:col>3</xdr:col>
      <xdr:colOff>4585</xdr:colOff>
      <xdr:row>19</xdr:row>
      <xdr:rowOff>2274835</xdr:rowOff>
    </xdr:to>
    <xdr:sp macro="" textlink="">
      <xdr:nvSpPr>
        <xdr:cNvPr id="29" name="Rounded Rectangle 28">
          <a:hlinkClick xmlns:r="http://schemas.openxmlformats.org/officeDocument/2006/relationships" r:id="rId10"/>
          <a:extLst>
            <a:ext uri="{FF2B5EF4-FFF2-40B4-BE49-F238E27FC236}">
              <a16:creationId xmlns:a16="http://schemas.microsoft.com/office/drawing/2014/main" id="{41FBFE7E-8445-2A72-9F6C-D15B2377D6CF}"/>
            </a:ext>
          </a:extLst>
        </xdr:cNvPr>
        <xdr:cNvSpPr/>
      </xdr:nvSpPr>
      <xdr:spPr bwMode="auto">
        <a:xfrm>
          <a:off x="373380" y="152171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21</xdr:row>
      <xdr:rowOff>1434465</xdr:rowOff>
    </xdr:from>
    <xdr:to>
      <xdr:col>2</xdr:col>
      <xdr:colOff>876697</xdr:colOff>
      <xdr:row>21</xdr:row>
      <xdr:rowOff>1710792</xdr:rowOff>
    </xdr:to>
    <xdr:sp macro="" textlink="">
      <xdr:nvSpPr>
        <xdr:cNvPr id="30" name="Rounded Rectangle 29">
          <a:hlinkClick xmlns:r="http://schemas.openxmlformats.org/officeDocument/2006/relationships" r:id="rId11"/>
          <a:extLst>
            <a:ext uri="{FF2B5EF4-FFF2-40B4-BE49-F238E27FC236}">
              <a16:creationId xmlns:a16="http://schemas.microsoft.com/office/drawing/2014/main" id="{AD69DD00-BAC3-9B08-E37F-779A1ECDB187}"/>
            </a:ext>
          </a:extLst>
        </xdr:cNvPr>
        <xdr:cNvSpPr/>
      </xdr:nvSpPr>
      <xdr:spPr bwMode="auto">
        <a:xfrm>
          <a:off x="358140" y="178536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23</xdr:row>
      <xdr:rowOff>533400</xdr:rowOff>
    </xdr:from>
    <xdr:to>
      <xdr:col>3</xdr:col>
      <xdr:colOff>4585</xdr:colOff>
      <xdr:row>23</xdr:row>
      <xdr:rowOff>695325</xdr:rowOff>
    </xdr:to>
    <xdr:sp macro="" textlink="">
      <xdr:nvSpPr>
        <xdr:cNvPr id="31" name="Rounded Rectangle 30">
          <a:hlinkClick xmlns:r="http://schemas.openxmlformats.org/officeDocument/2006/relationships" r:id="rId12"/>
          <a:extLst>
            <a:ext uri="{FF2B5EF4-FFF2-40B4-BE49-F238E27FC236}">
              <a16:creationId xmlns:a16="http://schemas.microsoft.com/office/drawing/2014/main" id="{2982B0C8-A856-0AFD-399C-66F56A5E1185}"/>
            </a:ext>
          </a:extLst>
        </xdr:cNvPr>
        <xdr:cNvSpPr/>
      </xdr:nvSpPr>
      <xdr:spPr bwMode="auto">
        <a:xfrm>
          <a:off x="373380" y="1925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25</xdr:row>
      <xdr:rowOff>1263015</xdr:rowOff>
    </xdr:from>
    <xdr:to>
      <xdr:col>3</xdr:col>
      <xdr:colOff>4585</xdr:colOff>
      <xdr:row>26</xdr:row>
      <xdr:rowOff>7331</xdr:rowOff>
    </xdr:to>
    <xdr:sp macro="" textlink="">
      <xdr:nvSpPr>
        <xdr:cNvPr id="33" name="Rounded Rectangle 32">
          <a:hlinkClick xmlns:r="http://schemas.openxmlformats.org/officeDocument/2006/relationships" r:id="rId13"/>
          <a:extLst>
            <a:ext uri="{FF2B5EF4-FFF2-40B4-BE49-F238E27FC236}">
              <a16:creationId xmlns:a16="http://schemas.microsoft.com/office/drawing/2014/main" id="{223CB61E-5C30-10B6-A131-CFD1FF1C70D0}"/>
            </a:ext>
          </a:extLst>
        </xdr:cNvPr>
        <xdr:cNvSpPr/>
      </xdr:nvSpPr>
      <xdr:spPr bwMode="auto">
        <a:xfrm>
          <a:off x="373380" y="209092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27</xdr:row>
      <xdr:rowOff>358140</xdr:rowOff>
    </xdr:from>
    <xdr:to>
      <xdr:col>2</xdr:col>
      <xdr:colOff>874829</xdr:colOff>
      <xdr:row>28</xdr:row>
      <xdr:rowOff>7209</xdr:rowOff>
    </xdr:to>
    <xdr:sp macro="" textlink="">
      <xdr:nvSpPr>
        <xdr:cNvPr id="34" name="Rounded Rectangle 33">
          <a:hlinkClick xmlns:r="http://schemas.openxmlformats.org/officeDocument/2006/relationships" r:id="rId14"/>
          <a:extLst>
            <a:ext uri="{FF2B5EF4-FFF2-40B4-BE49-F238E27FC236}">
              <a16:creationId xmlns:a16="http://schemas.microsoft.com/office/drawing/2014/main" id="{DED3077C-D283-A76D-46E4-86C0337F9577}"/>
            </a:ext>
          </a:extLst>
        </xdr:cNvPr>
        <xdr:cNvSpPr/>
      </xdr:nvSpPr>
      <xdr:spPr bwMode="auto">
        <a:xfrm>
          <a:off x="365760" y="21976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29</xdr:row>
      <xdr:rowOff>691515</xdr:rowOff>
    </xdr:from>
    <xdr:to>
      <xdr:col>3</xdr:col>
      <xdr:colOff>4585</xdr:colOff>
      <xdr:row>29</xdr:row>
      <xdr:rowOff>809704</xdr:rowOff>
    </xdr:to>
    <xdr:sp macro="" textlink="">
      <xdr:nvSpPr>
        <xdr:cNvPr id="35" name="Rounded Rectangle 34">
          <a:hlinkClick xmlns:r="http://schemas.openxmlformats.org/officeDocument/2006/relationships" r:id="rId15"/>
          <a:extLst>
            <a:ext uri="{FF2B5EF4-FFF2-40B4-BE49-F238E27FC236}">
              <a16:creationId xmlns:a16="http://schemas.microsoft.com/office/drawing/2014/main" id="{D151FBB7-C657-99C9-F163-0F24180D4962}"/>
            </a:ext>
          </a:extLst>
        </xdr:cNvPr>
        <xdr:cNvSpPr/>
      </xdr:nvSpPr>
      <xdr:spPr bwMode="auto">
        <a:xfrm>
          <a:off x="373380" y="2306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31</xdr:row>
      <xdr:rowOff>283845</xdr:rowOff>
    </xdr:from>
    <xdr:to>
      <xdr:col>3</xdr:col>
      <xdr:colOff>775</xdr:colOff>
      <xdr:row>31</xdr:row>
      <xdr:rowOff>560172</xdr:rowOff>
    </xdr:to>
    <xdr:sp macro="" textlink="">
      <xdr:nvSpPr>
        <xdr:cNvPr id="36" name="Rounded Rectangle 35">
          <a:hlinkClick xmlns:r="http://schemas.openxmlformats.org/officeDocument/2006/relationships" r:id="rId16"/>
          <a:extLst>
            <a:ext uri="{FF2B5EF4-FFF2-40B4-BE49-F238E27FC236}">
              <a16:creationId xmlns:a16="http://schemas.microsoft.com/office/drawing/2014/main" id="{69D03D66-DA72-14ED-FD46-EC4C8F52DDF0}"/>
            </a:ext>
          </a:extLst>
        </xdr:cNvPr>
        <xdr:cNvSpPr/>
      </xdr:nvSpPr>
      <xdr:spPr bwMode="auto">
        <a:xfrm>
          <a:off x="381000" y="23736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35</xdr:row>
      <xdr:rowOff>527685</xdr:rowOff>
    </xdr:from>
    <xdr:to>
      <xdr:col>2</xdr:col>
      <xdr:colOff>874829</xdr:colOff>
      <xdr:row>35</xdr:row>
      <xdr:rowOff>685292</xdr:rowOff>
    </xdr:to>
    <xdr:sp macro="" textlink="">
      <xdr:nvSpPr>
        <xdr:cNvPr id="38" name="Rounded Rectangle 37">
          <a:hlinkClick xmlns:r="http://schemas.openxmlformats.org/officeDocument/2006/relationships" r:id="rId17"/>
          <a:extLst>
            <a:ext uri="{FF2B5EF4-FFF2-40B4-BE49-F238E27FC236}">
              <a16:creationId xmlns:a16="http://schemas.microsoft.com/office/drawing/2014/main" id="{D5D369F7-A4C7-0DFB-3B7E-6FD10CB75C52}"/>
            </a:ext>
          </a:extLst>
        </xdr:cNvPr>
        <xdr:cNvSpPr/>
      </xdr:nvSpPr>
      <xdr:spPr bwMode="auto">
        <a:xfrm>
          <a:off x="365760" y="251079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156210</xdr:colOff>
      <xdr:row>37</xdr:row>
      <xdr:rowOff>2585085</xdr:rowOff>
    </xdr:from>
    <xdr:to>
      <xdr:col>3</xdr:col>
      <xdr:colOff>6262</xdr:colOff>
      <xdr:row>37</xdr:row>
      <xdr:rowOff>2876550</xdr:rowOff>
    </xdr:to>
    <xdr:sp macro="" textlink="">
      <xdr:nvSpPr>
        <xdr:cNvPr id="39" name="Rounded Rectangle 38">
          <a:hlinkClick xmlns:r="http://schemas.openxmlformats.org/officeDocument/2006/relationships" r:id="rId18"/>
          <a:extLst>
            <a:ext uri="{FF2B5EF4-FFF2-40B4-BE49-F238E27FC236}">
              <a16:creationId xmlns:a16="http://schemas.microsoft.com/office/drawing/2014/main" id="{BA245A46-B507-5A41-6A69-728DDEB61484}"/>
            </a:ext>
          </a:extLst>
        </xdr:cNvPr>
        <xdr:cNvSpPr/>
      </xdr:nvSpPr>
      <xdr:spPr bwMode="auto">
        <a:xfrm>
          <a:off x="350520" y="27165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39</xdr:row>
      <xdr:rowOff>643890</xdr:rowOff>
    </xdr:from>
    <xdr:to>
      <xdr:col>3</xdr:col>
      <xdr:colOff>775</xdr:colOff>
      <xdr:row>40</xdr:row>
      <xdr:rowOff>5918</xdr:rowOff>
    </xdr:to>
    <xdr:sp macro="" textlink="">
      <xdr:nvSpPr>
        <xdr:cNvPr id="40" name="Rounded Rectangle 39">
          <a:hlinkClick xmlns:r="http://schemas.openxmlformats.org/officeDocument/2006/relationships" r:id="rId19"/>
          <a:extLst>
            <a:ext uri="{FF2B5EF4-FFF2-40B4-BE49-F238E27FC236}">
              <a16:creationId xmlns:a16="http://schemas.microsoft.com/office/drawing/2014/main" id="{ECC803A8-088F-5AA4-1A68-A3359C4461AB}"/>
            </a:ext>
          </a:extLst>
        </xdr:cNvPr>
        <xdr:cNvSpPr/>
      </xdr:nvSpPr>
      <xdr:spPr bwMode="auto">
        <a:xfrm>
          <a:off x="381000" y="288950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41</xdr:row>
      <xdr:rowOff>1314450</xdr:rowOff>
    </xdr:from>
    <xdr:to>
      <xdr:col>3</xdr:col>
      <xdr:colOff>775</xdr:colOff>
      <xdr:row>41</xdr:row>
      <xdr:rowOff>1525542</xdr:rowOff>
    </xdr:to>
    <xdr:sp macro="" textlink="">
      <xdr:nvSpPr>
        <xdr:cNvPr id="41" name="Rounded Rectangle 40">
          <a:hlinkClick xmlns:r="http://schemas.openxmlformats.org/officeDocument/2006/relationships" r:id="rId20"/>
          <a:extLst>
            <a:ext uri="{FF2B5EF4-FFF2-40B4-BE49-F238E27FC236}">
              <a16:creationId xmlns:a16="http://schemas.microsoft.com/office/drawing/2014/main" id="{3EEA9168-B002-1CC1-158C-C10E61640480}"/>
            </a:ext>
          </a:extLst>
        </xdr:cNvPr>
        <xdr:cNvSpPr/>
      </xdr:nvSpPr>
      <xdr:spPr bwMode="auto">
        <a:xfrm>
          <a:off x="381000" y="30723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44</xdr:row>
      <xdr:rowOff>1062990</xdr:rowOff>
    </xdr:from>
    <xdr:to>
      <xdr:col>2</xdr:col>
      <xdr:colOff>874829</xdr:colOff>
      <xdr:row>44</xdr:row>
      <xdr:rowOff>1350711</xdr:rowOff>
    </xdr:to>
    <xdr:sp macro="" textlink="">
      <xdr:nvSpPr>
        <xdr:cNvPr id="42" name="Rounded Rectangle 41">
          <a:hlinkClick xmlns:r="http://schemas.openxmlformats.org/officeDocument/2006/relationships" r:id="rId21"/>
          <a:extLst>
            <a:ext uri="{FF2B5EF4-FFF2-40B4-BE49-F238E27FC236}">
              <a16:creationId xmlns:a16="http://schemas.microsoft.com/office/drawing/2014/main" id="{D28A2B8E-E387-A761-FB4F-D5A5957FE205}"/>
            </a:ext>
          </a:extLst>
        </xdr:cNvPr>
        <xdr:cNvSpPr/>
      </xdr:nvSpPr>
      <xdr:spPr bwMode="auto">
        <a:xfrm>
          <a:off x="365760" y="340918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48</xdr:row>
      <xdr:rowOff>419100</xdr:rowOff>
    </xdr:from>
    <xdr:to>
      <xdr:col>3</xdr:col>
      <xdr:colOff>4585</xdr:colOff>
      <xdr:row>48</xdr:row>
      <xdr:rowOff>619125</xdr:rowOff>
    </xdr:to>
    <xdr:sp macro="" textlink="">
      <xdr:nvSpPr>
        <xdr:cNvPr id="43" name="Rounded Rectangle 42">
          <a:hlinkClick xmlns:r="http://schemas.openxmlformats.org/officeDocument/2006/relationships" r:id="rId22"/>
          <a:extLst>
            <a:ext uri="{FF2B5EF4-FFF2-40B4-BE49-F238E27FC236}">
              <a16:creationId xmlns:a16="http://schemas.microsoft.com/office/drawing/2014/main" id="{4D0C28CD-C10F-8E76-DAD5-8804F7B5208E}"/>
            </a:ext>
          </a:extLst>
        </xdr:cNvPr>
        <xdr:cNvSpPr/>
      </xdr:nvSpPr>
      <xdr:spPr bwMode="auto">
        <a:xfrm>
          <a:off x="373380" y="370865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50</xdr:row>
      <xdr:rowOff>1453515</xdr:rowOff>
    </xdr:from>
    <xdr:to>
      <xdr:col>3</xdr:col>
      <xdr:colOff>775</xdr:colOff>
      <xdr:row>50</xdr:row>
      <xdr:rowOff>1674051</xdr:rowOff>
    </xdr:to>
    <xdr:sp macro="" textlink="">
      <xdr:nvSpPr>
        <xdr:cNvPr id="44" name="Rounded Rectangle 43">
          <a:hlinkClick xmlns:r="http://schemas.openxmlformats.org/officeDocument/2006/relationships" r:id="rId23"/>
          <a:extLst>
            <a:ext uri="{FF2B5EF4-FFF2-40B4-BE49-F238E27FC236}">
              <a16:creationId xmlns:a16="http://schemas.microsoft.com/office/drawing/2014/main" id="{BDE3D981-8045-43BD-FC51-4BFCF166382E}"/>
            </a:ext>
          </a:extLst>
        </xdr:cNvPr>
        <xdr:cNvSpPr/>
      </xdr:nvSpPr>
      <xdr:spPr bwMode="auto">
        <a:xfrm>
          <a:off x="381000" y="389610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60</xdr:row>
      <xdr:rowOff>1339215</xdr:rowOff>
    </xdr:from>
    <xdr:to>
      <xdr:col>3</xdr:col>
      <xdr:colOff>4585</xdr:colOff>
      <xdr:row>61</xdr:row>
      <xdr:rowOff>35100</xdr:rowOff>
    </xdr:to>
    <xdr:sp macro="" textlink="">
      <xdr:nvSpPr>
        <xdr:cNvPr id="37" name="Rounded Rectangle 36">
          <a:hlinkClick xmlns:r="http://schemas.openxmlformats.org/officeDocument/2006/relationships" r:id="rId24"/>
          <a:extLst>
            <a:ext uri="{FF2B5EF4-FFF2-40B4-BE49-F238E27FC236}">
              <a16:creationId xmlns:a16="http://schemas.microsoft.com/office/drawing/2014/main" id="{412B6199-3214-FA4C-F69C-C56E20CFA283}"/>
            </a:ext>
          </a:extLst>
        </xdr:cNvPr>
        <xdr:cNvSpPr/>
      </xdr:nvSpPr>
      <xdr:spPr bwMode="auto">
        <a:xfrm>
          <a:off x="373380" y="45582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62</xdr:row>
      <xdr:rowOff>864870</xdr:rowOff>
    </xdr:from>
    <xdr:to>
      <xdr:col>3</xdr:col>
      <xdr:colOff>4585</xdr:colOff>
      <xdr:row>63</xdr:row>
      <xdr:rowOff>11452</xdr:rowOff>
    </xdr:to>
    <xdr:sp macro="" textlink="">
      <xdr:nvSpPr>
        <xdr:cNvPr id="45" name="Rounded Rectangle 44">
          <a:hlinkClick xmlns:r="http://schemas.openxmlformats.org/officeDocument/2006/relationships" r:id="rId25"/>
          <a:extLst>
            <a:ext uri="{FF2B5EF4-FFF2-40B4-BE49-F238E27FC236}">
              <a16:creationId xmlns:a16="http://schemas.microsoft.com/office/drawing/2014/main" id="{D2DA2D11-549A-5177-7001-215624763E40}"/>
            </a:ext>
          </a:extLst>
        </xdr:cNvPr>
        <xdr:cNvSpPr/>
      </xdr:nvSpPr>
      <xdr:spPr bwMode="auto">
        <a:xfrm>
          <a:off x="373380" y="46939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64</xdr:row>
      <xdr:rowOff>914400</xdr:rowOff>
    </xdr:from>
    <xdr:to>
      <xdr:col>3</xdr:col>
      <xdr:colOff>775</xdr:colOff>
      <xdr:row>65</xdr:row>
      <xdr:rowOff>0</xdr:rowOff>
    </xdr:to>
    <xdr:sp macro="" textlink="">
      <xdr:nvSpPr>
        <xdr:cNvPr id="47" name="Rounded Rectangle 46">
          <a:hlinkClick xmlns:r="http://schemas.openxmlformats.org/officeDocument/2006/relationships" r:id="rId26"/>
          <a:extLst>
            <a:ext uri="{FF2B5EF4-FFF2-40B4-BE49-F238E27FC236}">
              <a16:creationId xmlns:a16="http://schemas.microsoft.com/office/drawing/2014/main" id="{B923ED43-DA9F-D712-8D6A-4023794C4BF4}"/>
            </a:ext>
          </a:extLst>
        </xdr:cNvPr>
        <xdr:cNvSpPr/>
      </xdr:nvSpPr>
      <xdr:spPr bwMode="auto">
        <a:xfrm>
          <a:off x="381000" y="483031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66</xdr:row>
      <xdr:rowOff>1272540</xdr:rowOff>
    </xdr:from>
    <xdr:to>
      <xdr:col>2</xdr:col>
      <xdr:colOff>874829</xdr:colOff>
      <xdr:row>66</xdr:row>
      <xdr:rowOff>1539418</xdr:rowOff>
    </xdr:to>
    <xdr:sp macro="" textlink="">
      <xdr:nvSpPr>
        <xdr:cNvPr id="48" name="Rounded Rectangle 47">
          <a:hlinkClick xmlns:r="http://schemas.openxmlformats.org/officeDocument/2006/relationships" r:id="rId27"/>
          <a:extLst>
            <a:ext uri="{FF2B5EF4-FFF2-40B4-BE49-F238E27FC236}">
              <a16:creationId xmlns:a16="http://schemas.microsoft.com/office/drawing/2014/main" id="{3995C770-DE82-E866-7C1E-AFF97129A2C7}"/>
            </a:ext>
          </a:extLst>
        </xdr:cNvPr>
        <xdr:cNvSpPr/>
      </xdr:nvSpPr>
      <xdr:spPr bwMode="auto">
        <a:xfrm>
          <a:off x="365760" y="499719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68</xdr:row>
      <xdr:rowOff>1183005</xdr:rowOff>
    </xdr:from>
    <xdr:to>
      <xdr:col>3</xdr:col>
      <xdr:colOff>775</xdr:colOff>
      <xdr:row>69</xdr:row>
      <xdr:rowOff>9648</xdr:rowOff>
    </xdr:to>
    <xdr:sp macro="" textlink="">
      <xdr:nvSpPr>
        <xdr:cNvPr id="49" name="Rounded Rectangle 48">
          <a:hlinkClick xmlns:r="http://schemas.openxmlformats.org/officeDocument/2006/relationships" r:id="rId28"/>
          <a:extLst>
            <a:ext uri="{FF2B5EF4-FFF2-40B4-BE49-F238E27FC236}">
              <a16:creationId xmlns:a16="http://schemas.microsoft.com/office/drawing/2014/main" id="{471D472F-062D-B49F-E86E-4E7B10DECF6C}"/>
            </a:ext>
          </a:extLst>
        </xdr:cNvPr>
        <xdr:cNvSpPr/>
      </xdr:nvSpPr>
      <xdr:spPr bwMode="auto">
        <a:xfrm>
          <a:off x="381000" y="518541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217170</xdr:colOff>
      <xdr:row>70</xdr:row>
      <xdr:rowOff>360045</xdr:rowOff>
    </xdr:from>
    <xdr:to>
      <xdr:col>2</xdr:col>
      <xdr:colOff>876987</xdr:colOff>
      <xdr:row>71</xdr:row>
      <xdr:rowOff>7879</xdr:rowOff>
    </xdr:to>
    <xdr:sp macro="" textlink="">
      <xdr:nvSpPr>
        <xdr:cNvPr id="50" name="Rounded Rectangle 49">
          <a:hlinkClick xmlns:r="http://schemas.openxmlformats.org/officeDocument/2006/relationships" r:id="rId29"/>
          <a:extLst>
            <a:ext uri="{FF2B5EF4-FFF2-40B4-BE49-F238E27FC236}">
              <a16:creationId xmlns:a16="http://schemas.microsoft.com/office/drawing/2014/main" id="{C758DD50-9908-B03B-AA3C-D2825246D890}"/>
            </a:ext>
          </a:extLst>
        </xdr:cNvPr>
        <xdr:cNvSpPr/>
      </xdr:nvSpPr>
      <xdr:spPr bwMode="auto">
        <a:xfrm>
          <a:off x="396240" y="526846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72</xdr:row>
      <xdr:rowOff>941070</xdr:rowOff>
    </xdr:from>
    <xdr:to>
      <xdr:col>3</xdr:col>
      <xdr:colOff>775</xdr:colOff>
      <xdr:row>72</xdr:row>
      <xdr:rowOff>1144586</xdr:rowOff>
    </xdr:to>
    <xdr:sp macro="" textlink="">
      <xdr:nvSpPr>
        <xdr:cNvPr id="51" name="Rounded Rectangle 50">
          <a:hlinkClick xmlns:r="http://schemas.openxmlformats.org/officeDocument/2006/relationships" r:id="rId30"/>
          <a:extLst>
            <a:ext uri="{FF2B5EF4-FFF2-40B4-BE49-F238E27FC236}">
              <a16:creationId xmlns:a16="http://schemas.microsoft.com/office/drawing/2014/main" id="{74CD9F21-C72A-DD9D-46A8-F684057BD9D7}"/>
            </a:ext>
          </a:extLst>
        </xdr:cNvPr>
        <xdr:cNvSpPr/>
      </xdr:nvSpPr>
      <xdr:spPr bwMode="auto">
        <a:xfrm>
          <a:off x="381000" y="54940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74</xdr:row>
      <xdr:rowOff>523875</xdr:rowOff>
    </xdr:from>
    <xdr:to>
      <xdr:col>3</xdr:col>
      <xdr:colOff>775</xdr:colOff>
      <xdr:row>75</xdr:row>
      <xdr:rowOff>379</xdr:rowOff>
    </xdr:to>
    <xdr:sp macro="" textlink="">
      <xdr:nvSpPr>
        <xdr:cNvPr id="52" name="Rounded Rectangle 51">
          <a:hlinkClick xmlns:r="http://schemas.openxmlformats.org/officeDocument/2006/relationships" r:id="rId31"/>
          <a:extLst>
            <a:ext uri="{FF2B5EF4-FFF2-40B4-BE49-F238E27FC236}">
              <a16:creationId xmlns:a16="http://schemas.microsoft.com/office/drawing/2014/main" id="{19F13CA2-F94F-080D-3DE1-A0F5BB3B5FE8}"/>
            </a:ext>
          </a:extLst>
        </xdr:cNvPr>
        <xdr:cNvSpPr/>
      </xdr:nvSpPr>
      <xdr:spPr bwMode="auto">
        <a:xfrm>
          <a:off x="381000" y="55123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1905</xdr:colOff>
      <xdr:row>1</xdr:row>
      <xdr:rowOff>209550</xdr:rowOff>
    </xdr:from>
    <xdr:to>
      <xdr:col>19</xdr:col>
      <xdr:colOff>2223</xdr:colOff>
      <xdr:row>2</xdr:row>
      <xdr:rowOff>15717</xdr:rowOff>
    </xdr:to>
    <xdr:sp macro="" textlink="">
      <xdr:nvSpPr>
        <xdr:cNvPr id="5" name="Text Box 474">
          <a:extLst>
            <a:ext uri="{FF2B5EF4-FFF2-40B4-BE49-F238E27FC236}">
              <a16:creationId xmlns:a16="http://schemas.microsoft.com/office/drawing/2014/main" id="{A7534459-2926-DDA4-15B0-C5B18B96131D}"/>
            </a:ext>
          </a:extLst>
        </xdr:cNvPr>
        <xdr:cNvSpPr txBox="1">
          <a:spLocks noChangeArrowheads="1"/>
        </xdr:cNvSpPr>
      </xdr:nvSpPr>
      <xdr:spPr bwMode="auto">
        <a:xfrm>
          <a:off x="8214360" y="304800"/>
          <a:ext cx="187452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53340</xdr:colOff>
      <xdr:row>1</xdr:row>
      <xdr:rowOff>32385</xdr:rowOff>
    </xdr:from>
    <xdr:to>
      <xdr:col>19</xdr:col>
      <xdr:colOff>65</xdr:colOff>
      <xdr:row>1</xdr:row>
      <xdr:rowOff>236220</xdr:rowOff>
    </xdr:to>
    <xdr:sp macro="" textlink="">
      <xdr:nvSpPr>
        <xdr:cNvPr id="6" name="Text Box 706">
          <a:extLst>
            <a:ext uri="{FF2B5EF4-FFF2-40B4-BE49-F238E27FC236}">
              <a16:creationId xmlns:a16="http://schemas.microsoft.com/office/drawing/2014/main" id="{B9AAD0BF-7D13-A33A-80E8-21893D4F5274}"/>
            </a:ext>
          </a:extLst>
        </xdr:cNvPr>
        <xdr:cNvSpPr txBox="1">
          <a:spLocks noChangeArrowheads="1"/>
        </xdr:cNvSpPr>
      </xdr:nvSpPr>
      <xdr:spPr bwMode="auto">
        <a:xfrm>
          <a:off x="944118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66675</xdr:colOff>
      <xdr:row>1</xdr:row>
      <xdr:rowOff>66675</xdr:rowOff>
    </xdr:from>
    <xdr:to>
      <xdr:col>2</xdr:col>
      <xdr:colOff>323850</xdr:colOff>
      <xdr:row>1</xdr:row>
      <xdr:rowOff>428625</xdr:rowOff>
    </xdr:to>
    <xdr:pic>
      <xdr:nvPicPr>
        <xdr:cNvPr id="4590302" name="Picture 71">
          <a:hlinkClick xmlns:r="http://schemas.openxmlformats.org/officeDocument/2006/relationships" r:id="rId1"/>
          <a:extLst>
            <a:ext uri="{FF2B5EF4-FFF2-40B4-BE49-F238E27FC236}">
              <a16:creationId xmlns:a16="http://schemas.microsoft.com/office/drawing/2014/main" id="{4ABFFC7D-ADD3-3D04-23DD-35AA09A15E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171450"/>
          <a:ext cx="342900" cy="3619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152400</xdr:colOff>
      <xdr:row>2</xdr:row>
      <xdr:rowOff>28575</xdr:rowOff>
    </xdr:from>
    <xdr:to>
      <xdr:col>15</xdr:col>
      <xdr:colOff>552450</xdr:colOff>
      <xdr:row>77</xdr:row>
      <xdr:rowOff>152400</xdr:rowOff>
    </xdr:to>
    <xdr:pic>
      <xdr:nvPicPr>
        <xdr:cNvPr id="6004021" name="Picture 19">
          <a:extLst>
            <a:ext uri="{FF2B5EF4-FFF2-40B4-BE49-F238E27FC236}">
              <a16:creationId xmlns:a16="http://schemas.microsoft.com/office/drawing/2014/main" id="{B2E0B850-B6D0-5B50-CC93-1840137945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076325"/>
          <a:ext cx="10115550" cy="1298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85725</xdr:colOff>
      <xdr:row>93</xdr:row>
      <xdr:rowOff>114300</xdr:rowOff>
    </xdr:from>
    <xdr:to>
      <xdr:col>15</xdr:col>
      <xdr:colOff>600075</xdr:colOff>
      <xdr:row>134</xdr:row>
      <xdr:rowOff>47625</xdr:rowOff>
    </xdr:to>
    <xdr:pic>
      <xdr:nvPicPr>
        <xdr:cNvPr id="6004022" name="Picture 22">
          <a:extLst>
            <a:ext uri="{FF2B5EF4-FFF2-40B4-BE49-F238E27FC236}">
              <a16:creationId xmlns:a16="http://schemas.microsoft.com/office/drawing/2014/main" id="{F986C1FD-5734-1332-DC41-ACE69ECEA9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6764000"/>
          <a:ext cx="10229850" cy="6962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455295</xdr:colOff>
      <xdr:row>0</xdr:row>
      <xdr:rowOff>219075</xdr:rowOff>
    </xdr:from>
    <xdr:to>
      <xdr:col>16</xdr:col>
      <xdr:colOff>2065</xdr:colOff>
      <xdr:row>1</xdr:row>
      <xdr:rowOff>25527</xdr:rowOff>
    </xdr:to>
    <xdr:sp macro="" textlink="">
      <xdr:nvSpPr>
        <xdr:cNvPr id="24" name="Text Box 474">
          <a:extLst>
            <a:ext uri="{FF2B5EF4-FFF2-40B4-BE49-F238E27FC236}">
              <a16:creationId xmlns:a16="http://schemas.microsoft.com/office/drawing/2014/main" id="{06E1AD04-C49B-4E77-64A1-6DA319F57C1E}"/>
            </a:ext>
          </a:extLst>
        </xdr:cNvPr>
        <xdr:cNvSpPr txBox="1">
          <a:spLocks noChangeArrowheads="1"/>
        </xdr:cNvSpPr>
      </xdr:nvSpPr>
      <xdr:spPr bwMode="auto">
        <a:xfrm>
          <a:off x="8420100" y="205740"/>
          <a:ext cx="2095500" cy="51816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0</xdr:colOff>
      <xdr:row>0</xdr:row>
      <xdr:rowOff>32385</xdr:rowOff>
    </xdr:from>
    <xdr:to>
      <xdr:col>15</xdr:col>
      <xdr:colOff>511368</xdr:colOff>
      <xdr:row>0</xdr:row>
      <xdr:rowOff>230505</xdr:rowOff>
    </xdr:to>
    <xdr:sp macro="" textlink="">
      <xdr:nvSpPr>
        <xdr:cNvPr id="25" name="Text Box 706">
          <a:extLst>
            <a:ext uri="{FF2B5EF4-FFF2-40B4-BE49-F238E27FC236}">
              <a16:creationId xmlns:a16="http://schemas.microsoft.com/office/drawing/2014/main" id="{B668358E-B920-43EA-69C9-A6E87323B129}"/>
            </a:ext>
          </a:extLst>
        </xdr:cNvPr>
        <xdr:cNvSpPr txBox="1">
          <a:spLocks noChangeArrowheads="1"/>
        </xdr:cNvSpPr>
      </xdr:nvSpPr>
      <xdr:spPr bwMode="auto">
        <a:xfrm>
          <a:off x="9860280" y="30480"/>
          <a:ext cx="670560" cy="2000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0</xdr:col>
      <xdr:colOff>76200</xdr:colOff>
      <xdr:row>0</xdr:row>
      <xdr:rowOff>66675</xdr:rowOff>
    </xdr:from>
    <xdr:to>
      <xdr:col>0</xdr:col>
      <xdr:colOff>619125</xdr:colOff>
      <xdr:row>0</xdr:row>
      <xdr:rowOff>552450</xdr:rowOff>
    </xdr:to>
    <xdr:pic>
      <xdr:nvPicPr>
        <xdr:cNvPr id="6004025" name="Picture 71">
          <a:hlinkClick xmlns:r="http://schemas.openxmlformats.org/officeDocument/2006/relationships" r:id="rId3"/>
          <a:extLst>
            <a:ext uri="{FF2B5EF4-FFF2-40B4-BE49-F238E27FC236}">
              <a16:creationId xmlns:a16="http://schemas.microsoft.com/office/drawing/2014/main" id="{D888E4A0-5D0C-D5D7-242C-CE91E7B4E46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6200" y="66675"/>
          <a:ext cx="542925" cy="4857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449581</xdr:colOff>
      <xdr:row>3</xdr:row>
      <xdr:rowOff>34535</xdr:rowOff>
    </xdr:from>
    <xdr:to>
      <xdr:col>5</xdr:col>
      <xdr:colOff>80093</xdr:colOff>
      <xdr:row>5</xdr:row>
      <xdr:rowOff>93477</xdr:rowOff>
    </xdr:to>
    <xdr:sp macro="" textlink="">
      <xdr:nvSpPr>
        <xdr:cNvPr id="2" name="TextBox 1">
          <a:extLst>
            <a:ext uri="{FF2B5EF4-FFF2-40B4-BE49-F238E27FC236}">
              <a16:creationId xmlns:a16="http://schemas.microsoft.com/office/drawing/2014/main" id="{D40573ED-8BB8-57EC-8471-2D0ECBD59551}"/>
            </a:ext>
          </a:extLst>
        </xdr:cNvPr>
        <xdr:cNvSpPr txBox="1"/>
      </xdr:nvSpPr>
      <xdr:spPr>
        <a:xfrm>
          <a:off x="1120141" y="1169915"/>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1a:</a:t>
          </a:r>
        </a:p>
      </xdr:txBody>
    </xdr:sp>
    <xdr:clientData/>
  </xdr:twoCellAnchor>
  <xdr:twoCellAnchor editAs="oneCell">
    <xdr:from>
      <xdr:col>0</xdr:col>
      <xdr:colOff>95250</xdr:colOff>
      <xdr:row>164</xdr:row>
      <xdr:rowOff>0</xdr:rowOff>
    </xdr:from>
    <xdr:to>
      <xdr:col>15</xdr:col>
      <xdr:colOff>590550</xdr:colOff>
      <xdr:row>238</xdr:row>
      <xdr:rowOff>28575</xdr:rowOff>
    </xdr:to>
    <xdr:pic>
      <xdr:nvPicPr>
        <xdr:cNvPr id="6004027" name="Picture 8">
          <a:extLst>
            <a:ext uri="{FF2B5EF4-FFF2-40B4-BE49-F238E27FC236}">
              <a16:creationId xmlns:a16="http://schemas.microsoft.com/office/drawing/2014/main" id="{67ED203F-306E-55E9-DEEF-BA136B65DF1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250" y="28822650"/>
          <a:ext cx="10210800" cy="127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247</xdr:row>
      <xdr:rowOff>38100</xdr:rowOff>
    </xdr:from>
    <xdr:to>
      <xdr:col>15</xdr:col>
      <xdr:colOff>638175</xdr:colOff>
      <xdr:row>285</xdr:row>
      <xdr:rowOff>123825</xdr:rowOff>
    </xdr:to>
    <xdr:pic>
      <xdr:nvPicPr>
        <xdr:cNvPr id="6004028" name="Picture 10">
          <a:extLst>
            <a:ext uri="{FF2B5EF4-FFF2-40B4-BE49-F238E27FC236}">
              <a16:creationId xmlns:a16="http://schemas.microsoft.com/office/drawing/2014/main" id="{6DC02728-800A-574A-01CA-374002A5C6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6200" y="43091100"/>
          <a:ext cx="10277475" cy="660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xdr:colOff>
      <xdr:row>1</xdr:row>
      <xdr:rowOff>64770</xdr:rowOff>
    </xdr:from>
    <xdr:to>
      <xdr:col>4</xdr:col>
      <xdr:colOff>5624</xdr:colOff>
      <xdr:row>1</xdr:row>
      <xdr:rowOff>351722</xdr:rowOff>
    </xdr:to>
    <xdr:sp macro="" textlink="">
      <xdr:nvSpPr>
        <xdr:cNvPr id="13" name="Rounded Rectangle 12">
          <a:hlinkClick xmlns:r="http://schemas.openxmlformats.org/officeDocument/2006/relationships" r:id="rId7"/>
          <a:extLst>
            <a:ext uri="{FF2B5EF4-FFF2-40B4-BE49-F238E27FC236}">
              <a16:creationId xmlns:a16="http://schemas.microsoft.com/office/drawing/2014/main" id="{0DB728C1-B8F0-CA26-A588-0147FFF91EB1}"/>
            </a:ext>
          </a:extLst>
        </xdr:cNvPr>
        <xdr:cNvSpPr/>
      </xdr:nvSpPr>
      <xdr:spPr>
        <a:xfrm>
          <a:off x="594360" y="762000"/>
          <a:ext cx="2034540" cy="33528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1a</a:t>
          </a:r>
          <a:r>
            <a:rPr lang="en-US" sz="1000"/>
            <a:t>: Million</a:t>
          </a:r>
          <a:r>
            <a:rPr lang="en-US" sz="1000" baseline="0"/>
            <a:t> Gallons: </a:t>
          </a:r>
        </a:p>
        <a:p>
          <a:pPr algn="ctr">
            <a:lnSpc>
              <a:spcPts val="1100"/>
            </a:lnSpc>
          </a:pPr>
          <a:r>
            <a:rPr lang="en-US" sz="1000" baseline="0"/>
            <a:t>Reporting Worksheet</a:t>
          </a:r>
          <a:endParaRPr lang="en-US" sz="1000"/>
        </a:p>
      </xdr:txBody>
    </xdr:sp>
    <xdr:clientData/>
  </xdr:twoCellAnchor>
  <xdr:twoCellAnchor>
    <xdr:from>
      <xdr:col>4</xdr:col>
      <xdr:colOff>188595</xdr:colOff>
      <xdr:row>1</xdr:row>
      <xdr:rowOff>70485</xdr:rowOff>
    </xdr:from>
    <xdr:to>
      <xdr:col>7</xdr:col>
      <xdr:colOff>32405</xdr:colOff>
      <xdr:row>1</xdr:row>
      <xdr:rowOff>437944</xdr:rowOff>
    </xdr:to>
    <xdr:sp macro="" textlink="">
      <xdr:nvSpPr>
        <xdr:cNvPr id="16" name="Rounded Rectangle 15">
          <a:hlinkClick xmlns:r="http://schemas.openxmlformats.org/officeDocument/2006/relationships" r:id="rId8"/>
          <a:extLst>
            <a:ext uri="{FF2B5EF4-FFF2-40B4-BE49-F238E27FC236}">
              <a16:creationId xmlns:a16="http://schemas.microsoft.com/office/drawing/2014/main" id="{FEF0B458-2324-7CB2-6B10-B5CD49E5859A}"/>
            </a:ext>
          </a:extLst>
        </xdr:cNvPr>
        <xdr:cNvSpPr/>
      </xdr:nvSpPr>
      <xdr:spPr>
        <a:xfrm>
          <a:off x="2849880" y="769620"/>
          <a:ext cx="1821180" cy="34290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1b</a:t>
          </a:r>
          <a:r>
            <a:rPr lang="en-US" sz="1000"/>
            <a:t>: Million</a:t>
          </a:r>
          <a:r>
            <a:rPr lang="en-US" sz="1000" baseline="0"/>
            <a:t> Gallons:</a:t>
          </a:r>
        </a:p>
        <a:p>
          <a:pPr algn="ctr">
            <a:lnSpc>
              <a:spcPts val="1100"/>
            </a:lnSpc>
          </a:pPr>
          <a:r>
            <a:rPr lang="en-US" sz="1000" baseline="0"/>
            <a:t>Performance Indicators</a:t>
          </a:r>
          <a:endParaRPr lang="en-US" sz="1000"/>
        </a:p>
      </xdr:txBody>
    </xdr:sp>
    <xdr:clientData/>
  </xdr:twoCellAnchor>
  <xdr:twoCellAnchor>
    <xdr:from>
      <xdr:col>9</xdr:col>
      <xdr:colOff>32385</xdr:colOff>
      <xdr:row>1</xdr:row>
      <xdr:rowOff>57150</xdr:rowOff>
    </xdr:from>
    <xdr:to>
      <xdr:col>12</xdr:col>
      <xdr:colOff>79992</xdr:colOff>
      <xdr:row>2</xdr:row>
      <xdr:rowOff>108</xdr:rowOff>
    </xdr:to>
    <xdr:sp macro="" textlink="">
      <xdr:nvSpPr>
        <xdr:cNvPr id="17" name="Rounded Rectangle 16">
          <a:hlinkClick xmlns:r="http://schemas.openxmlformats.org/officeDocument/2006/relationships" r:id="rId9"/>
          <a:extLst>
            <a:ext uri="{FF2B5EF4-FFF2-40B4-BE49-F238E27FC236}">
              <a16:creationId xmlns:a16="http://schemas.microsoft.com/office/drawing/2014/main" id="{26BA7F73-48E0-FC51-02F2-AC76C166F7E3}"/>
            </a:ext>
          </a:extLst>
        </xdr:cNvPr>
        <xdr:cNvSpPr/>
      </xdr:nvSpPr>
      <xdr:spPr>
        <a:xfrm>
          <a:off x="5996940" y="754380"/>
          <a:ext cx="204978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2a</a:t>
          </a:r>
          <a:r>
            <a:rPr lang="en-US" sz="1000"/>
            <a:t>: Megalitres:</a:t>
          </a:r>
        </a:p>
        <a:p>
          <a:pPr algn="ctr">
            <a:lnSpc>
              <a:spcPts val="1100"/>
            </a:lnSpc>
          </a:pPr>
          <a:r>
            <a:rPr lang="en-US" sz="1000" baseline="0"/>
            <a:t> Reporting Worksheet</a:t>
          </a:r>
          <a:endParaRPr lang="en-US" sz="1000"/>
        </a:p>
      </xdr:txBody>
    </xdr:sp>
    <xdr:clientData/>
  </xdr:twoCellAnchor>
  <xdr:twoCellAnchor>
    <xdr:from>
      <xdr:col>12</xdr:col>
      <xdr:colOff>255270</xdr:colOff>
      <xdr:row>1</xdr:row>
      <xdr:rowOff>64770</xdr:rowOff>
    </xdr:from>
    <xdr:to>
      <xdr:col>15</xdr:col>
      <xdr:colOff>17145</xdr:colOff>
      <xdr:row>1</xdr:row>
      <xdr:rowOff>352065</xdr:rowOff>
    </xdr:to>
    <xdr:sp macro="" textlink="">
      <xdr:nvSpPr>
        <xdr:cNvPr id="18" name="Rounded Rectangle 17">
          <a:hlinkClick xmlns:r="http://schemas.openxmlformats.org/officeDocument/2006/relationships" r:id="rId10"/>
          <a:extLst>
            <a:ext uri="{FF2B5EF4-FFF2-40B4-BE49-F238E27FC236}">
              <a16:creationId xmlns:a16="http://schemas.microsoft.com/office/drawing/2014/main" id="{1B0D455F-E564-36E6-9042-B082DBDA2676}"/>
            </a:ext>
          </a:extLst>
        </xdr:cNvPr>
        <xdr:cNvSpPr/>
      </xdr:nvSpPr>
      <xdr:spPr>
        <a:xfrm>
          <a:off x="8206740" y="762000"/>
          <a:ext cx="176022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2b</a:t>
          </a:r>
          <a:r>
            <a:rPr lang="en-US" sz="1000"/>
            <a:t>: Megalitres:</a:t>
          </a:r>
        </a:p>
        <a:p>
          <a:pPr algn="ctr">
            <a:lnSpc>
              <a:spcPts val="1100"/>
            </a:lnSpc>
          </a:pPr>
          <a:r>
            <a:rPr lang="en-US" sz="1000" baseline="0"/>
            <a:t>Reporting Worksheet</a:t>
          </a:r>
          <a:endParaRPr lang="en-US" sz="1000"/>
        </a:p>
      </xdr:txBody>
    </xdr:sp>
    <xdr:clientData/>
  </xdr:twoCellAnchor>
  <xdr:twoCellAnchor>
    <xdr:from>
      <xdr:col>1</xdr:col>
      <xdr:colOff>207645</xdr:colOff>
      <xdr:row>94</xdr:row>
      <xdr:rowOff>79699</xdr:rowOff>
    </xdr:from>
    <xdr:to>
      <xdr:col>4</xdr:col>
      <xdr:colOff>491629</xdr:colOff>
      <xdr:row>96</xdr:row>
      <xdr:rowOff>136784</xdr:rowOff>
    </xdr:to>
    <xdr:sp macro="" textlink="">
      <xdr:nvSpPr>
        <xdr:cNvPr id="19" name="TextBox 18">
          <a:extLst>
            <a:ext uri="{FF2B5EF4-FFF2-40B4-BE49-F238E27FC236}">
              <a16:creationId xmlns:a16="http://schemas.microsoft.com/office/drawing/2014/main" id="{EEC1A4F6-97B1-964A-9B4C-44519C90A6D9}"/>
            </a:ext>
          </a:extLst>
        </xdr:cNvPr>
        <xdr:cNvSpPr txBox="1"/>
      </xdr:nvSpPr>
      <xdr:spPr>
        <a:xfrm>
          <a:off x="876300" y="17358049"/>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1b:</a:t>
          </a:r>
        </a:p>
      </xdr:txBody>
    </xdr:sp>
    <xdr:clientData/>
  </xdr:twoCellAnchor>
  <xdr:twoCellAnchor>
    <xdr:from>
      <xdr:col>1</xdr:col>
      <xdr:colOff>396242</xdr:colOff>
      <xdr:row>164</xdr:row>
      <xdr:rowOff>120015</xdr:rowOff>
    </xdr:from>
    <xdr:to>
      <xdr:col>5</xdr:col>
      <xdr:colOff>34757</xdr:colOff>
      <xdr:row>167</xdr:row>
      <xdr:rowOff>9144</xdr:rowOff>
    </xdr:to>
    <xdr:sp macro="" textlink="">
      <xdr:nvSpPr>
        <xdr:cNvPr id="20" name="TextBox 19">
          <a:extLst>
            <a:ext uri="{FF2B5EF4-FFF2-40B4-BE49-F238E27FC236}">
              <a16:creationId xmlns:a16="http://schemas.microsoft.com/office/drawing/2014/main" id="{3134EBE6-9963-6D30-F981-4A1259CDC143}"/>
            </a:ext>
          </a:extLst>
        </xdr:cNvPr>
        <xdr:cNvSpPr txBox="1"/>
      </xdr:nvSpPr>
      <xdr:spPr>
        <a:xfrm>
          <a:off x="1074422" y="2965704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2a:</a:t>
          </a:r>
        </a:p>
      </xdr:txBody>
    </xdr:sp>
    <xdr:clientData/>
  </xdr:twoCellAnchor>
  <xdr:twoCellAnchor>
    <xdr:from>
      <xdr:col>1</xdr:col>
      <xdr:colOff>207645</xdr:colOff>
      <xdr:row>248</xdr:row>
      <xdr:rowOff>3810</xdr:rowOff>
    </xdr:from>
    <xdr:to>
      <xdr:col>4</xdr:col>
      <xdr:colOff>491629</xdr:colOff>
      <xdr:row>250</xdr:row>
      <xdr:rowOff>57002</xdr:rowOff>
    </xdr:to>
    <xdr:sp macro="" textlink="">
      <xdr:nvSpPr>
        <xdr:cNvPr id="21" name="TextBox 20">
          <a:extLst>
            <a:ext uri="{FF2B5EF4-FFF2-40B4-BE49-F238E27FC236}">
              <a16:creationId xmlns:a16="http://schemas.microsoft.com/office/drawing/2014/main" id="{283C3B53-18B0-65A2-71A3-6688CD93FB63}"/>
            </a:ext>
          </a:extLst>
        </xdr:cNvPr>
        <xdr:cNvSpPr txBox="1"/>
      </xdr:nvSpPr>
      <xdr:spPr>
        <a:xfrm>
          <a:off x="876300" y="4424172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2b:</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0</xdr:colOff>
      <xdr:row>1</xdr:row>
      <xdr:rowOff>209550</xdr:rowOff>
    </xdr:from>
    <xdr:to>
      <xdr:col>18</xdr:col>
      <xdr:colOff>112407</xdr:colOff>
      <xdr:row>2</xdr:row>
      <xdr:rowOff>15717</xdr:rowOff>
    </xdr:to>
    <xdr:sp macro="" textlink="">
      <xdr:nvSpPr>
        <xdr:cNvPr id="5" name="Text Box 474">
          <a:extLst>
            <a:ext uri="{FF2B5EF4-FFF2-40B4-BE49-F238E27FC236}">
              <a16:creationId xmlns:a16="http://schemas.microsoft.com/office/drawing/2014/main" id="{BB0CA5C5-EFAA-3E32-ABF8-E6E2A4BA92D2}"/>
            </a:ext>
          </a:extLst>
        </xdr:cNvPr>
        <xdr:cNvSpPr txBox="1">
          <a:spLocks noChangeArrowheads="1"/>
        </xdr:cNvSpPr>
      </xdr:nvSpPr>
      <xdr:spPr bwMode="auto">
        <a:xfrm>
          <a:off x="8061960" y="304800"/>
          <a:ext cx="192786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93345</xdr:colOff>
      <xdr:row>1</xdr:row>
      <xdr:rowOff>32385</xdr:rowOff>
    </xdr:from>
    <xdr:to>
      <xdr:col>18</xdr:col>
      <xdr:colOff>80243</xdr:colOff>
      <xdr:row>1</xdr:row>
      <xdr:rowOff>236220</xdr:rowOff>
    </xdr:to>
    <xdr:sp macro="" textlink="">
      <xdr:nvSpPr>
        <xdr:cNvPr id="6" name="Text Box 706">
          <a:extLst>
            <a:ext uri="{FF2B5EF4-FFF2-40B4-BE49-F238E27FC236}">
              <a16:creationId xmlns:a16="http://schemas.microsoft.com/office/drawing/2014/main" id="{4EB6B4A6-5CB5-D42C-A614-85A9B5C5A6DA}"/>
            </a:ext>
          </a:extLst>
        </xdr:cNvPr>
        <xdr:cNvSpPr txBox="1">
          <a:spLocks noChangeArrowheads="1"/>
        </xdr:cNvSpPr>
      </xdr:nvSpPr>
      <xdr:spPr bwMode="auto">
        <a:xfrm>
          <a:off x="930402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66675</xdr:rowOff>
    </xdr:from>
    <xdr:to>
      <xdr:col>2</xdr:col>
      <xdr:colOff>295275</xdr:colOff>
      <xdr:row>1</xdr:row>
      <xdr:rowOff>428625</xdr:rowOff>
    </xdr:to>
    <xdr:pic>
      <xdr:nvPicPr>
        <xdr:cNvPr id="4818737" name="Picture 71">
          <a:hlinkClick xmlns:r="http://schemas.openxmlformats.org/officeDocument/2006/relationships" r:id="rId1"/>
          <a:extLst>
            <a:ext uri="{FF2B5EF4-FFF2-40B4-BE49-F238E27FC236}">
              <a16:creationId xmlns:a16="http://schemas.microsoft.com/office/drawing/2014/main" id="{27558945-74BA-76F1-F36F-446178BD61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71450"/>
          <a:ext cx="333375" cy="3619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628650</xdr:colOff>
      <xdr:row>1</xdr:row>
      <xdr:rowOff>38100</xdr:rowOff>
    </xdr:from>
    <xdr:to>
      <xdr:col>6</xdr:col>
      <xdr:colOff>29054</xdr:colOff>
      <xdr:row>2</xdr:row>
      <xdr:rowOff>0</xdr:rowOff>
    </xdr:to>
    <xdr:sp macro="" textlink="">
      <xdr:nvSpPr>
        <xdr:cNvPr id="2" name="TextBox 1">
          <a:hlinkClick xmlns:r="http://schemas.openxmlformats.org/officeDocument/2006/relationships" r:id="rId3"/>
          <a:extLst>
            <a:ext uri="{FF2B5EF4-FFF2-40B4-BE49-F238E27FC236}">
              <a16:creationId xmlns:a16="http://schemas.microsoft.com/office/drawing/2014/main" id="{FDEFEC3A-8B65-EF76-BC43-37BE992D3DEA}"/>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omments" Target="../comments1.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ctrlProp" Target="../ctrlProps/ctrlProp4.xml"/><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47951-87BD-4761-B776-B73798241FD7}">
  <sheetPr codeName="Sheet4">
    <tabColor theme="3" tint="0.79998168889431442"/>
    <pageSetUpPr fitToPage="1"/>
  </sheetPr>
  <dimension ref="A1:IU69"/>
  <sheetViews>
    <sheetView showRowColHeaders="0" tabSelected="1" zoomScaleNormal="100" workbookViewId="0">
      <pane ySplit="3" topLeftCell="A4" activePane="bottomLeft" state="frozen"/>
      <selection pane="bottomLeft" activeCell="D20" sqref="D20:G20"/>
    </sheetView>
  </sheetViews>
  <sheetFormatPr defaultColWidth="0" defaultRowHeight="12.75" zeroHeight="1"/>
  <cols>
    <col min="1" max="1" width="1.7109375" style="245" customWidth="1"/>
    <col min="2" max="2" width="1.5703125" style="245" customWidth="1"/>
    <col min="3" max="3" width="20.7109375" style="245" customWidth="1"/>
    <col min="4" max="4" width="12.28515625" style="245" customWidth="1"/>
    <col min="5" max="5" width="13.7109375" style="245" customWidth="1"/>
    <col min="6" max="6" width="11.7109375" style="245" customWidth="1"/>
    <col min="7" max="7" width="20" style="245" customWidth="1"/>
    <col min="8" max="8" width="1" style="245" customWidth="1"/>
    <col min="9" max="9" width="3.7109375" style="245" customWidth="1"/>
    <col min="10" max="10" width="14.28515625" style="245" customWidth="1"/>
    <col min="11" max="11" width="2" style="245" customWidth="1"/>
    <col min="12" max="12" width="10.85546875" style="245" customWidth="1"/>
    <col min="13" max="13" width="8.7109375" style="245" customWidth="1"/>
    <col min="14" max="14" width="9" style="245" customWidth="1"/>
    <col min="15" max="15" width="12.5703125" style="245" customWidth="1"/>
    <col min="16" max="16" width="1.5703125" style="245" customWidth="1"/>
    <col min="17" max="17" width="1.7109375" style="245" customWidth="1"/>
    <col min="18" max="18" width="1.42578125" style="245" customWidth="1"/>
    <col min="19" max="19" width="9.140625" style="245" hidden="1" customWidth="1"/>
    <col min="20" max="20" width="10" style="245" hidden="1" customWidth="1"/>
    <col min="21" max="255" width="8.85546875" style="245" hidden="1" customWidth="1"/>
    <col min="256" max="16384" width="3.28515625" style="245" hidden="1"/>
  </cols>
  <sheetData>
    <row r="1" spans="1:21" s="64" customFormat="1" ht="8.25" customHeight="1" thickBot="1">
      <c r="A1" s="284">
        <v>4.2</v>
      </c>
      <c r="B1" s="283"/>
      <c r="C1" s="283"/>
      <c r="D1" s="283"/>
      <c r="E1" s="283"/>
      <c r="F1" s="283"/>
      <c r="G1" s="283"/>
      <c r="H1" s="283"/>
      <c r="I1" s="283"/>
      <c r="J1" s="283"/>
      <c r="K1" s="283"/>
      <c r="L1" s="283"/>
      <c r="M1" s="283"/>
      <c r="N1" s="283"/>
      <c r="O1" s="283"/>
      <c r="P1" s="283"/>
      <c r="Q1" s="283"/>
      <c r="R1" s="283"/>
    </row>
    <row r="2" spans="1:21" s="244" customFormat="1" ht="42.6" customHeight="1" thickTop="1">
      <c r="A2" s="285"/>
      <c r="B2" s="670" t="s">
        <v>753</v>
      </c>
      <c r="C2" s="671"/>
      <c r="D2" s="671"/>
      <c r="E2" s="671"/>
      <c r="F2" s="671"/>
      <c r="G2" s="671"/>
      <c r="H2" s="671"/>
      <c r="I2" s="671"/>
      <c r="J2" s="671"/>
      <c r="K2" s="671"/>
      <c r="L2" s="671"/>
      <c r="M2" s="671"/>
      <c r="N2" s="671"/>
      <c r="O2" s="671"/>
      <c r="P2" s="671"/>
      <c r="Q2" s="672"/>
      <c r="R2" s="285"/>
    </row>
    <row r="3" spans="1:21" s="64" customFormat="1" ht="5.25" customHeight="1">
      <c r="A3" s="283"/>
      <c r="B3" s="541"/>
      <c r="C3" s="268"/>
      <c r="D3" s="268"/>
      <c r="E3" s="268"/>
      <c r="F3" s="268"/>
      <c r="G3" s="268"/>
      <c r="H3" s="268"/>
      <c r="I3" s="268"/>
      <c r="J3" s="268"/>
      <c r="K3" s="268"/>
      <c r="L3" s="268"/>
      <c r="M3" s="268"/>
      <c r="N3" s="268"/>
      <c r="O3" s="268"/>
      <c r="P3" s="268"/>
      <c r="Q3" s="542"/>
      <c r="R3" s="283"/>
      <c r="U3" s="64" t="s">
        <v>458</v>
      </c>
    </row>
    <row r="4" spans="1:21" s="64" customFormat="1" ht="13.15" customHeight="1">
      <c r="A4" s="283"/>
      <c r="B4" s="543"/>
      <c r="C4" s="659" t="s">
        <v>330</v>
      </c>
      <c r="D4" s="659"/>
      <c r="E4" s="659"/>
      <c r="F4" s="659"/>
      <c r="G4" s="659"/>
      <c r="H4" s="659"/>
      <c r="I4" s="659"/>
      <c r="J4" s="659"/>
      <c r="K4" s="659"/>
      <c r="L4" s="659"/>
      <c r="M4" s="659"/>
      <c r="N4" s="659"/>
      <c r="O4" s="659"/>
      <c r="P4" s="291"/>
      <c r="Q4" s="544"/>
      <c r="R4" s="283"/>
      <c r="U4" s="64" t="s">
        <v>393</v>
      </c>
    </row>
    <row r="5" spans="1:21" s="64" customFormat="1">
      <c r="A5" s="283"/>
      <c r="B5" s="543"/>
      <c r="C5" s="659"/>
      <c r="D5" s="659"/>
      <c r="E5" s="659"/>
      <c r="F5" s="659"/>
      <c r="G5" s="659"/>
      <c r="H5" s="659"/>
      <c r="I5" s="659"/>
      <c r="J5" s="659"/>
      <c r="K5" s="659"/>
      <c r="L5" s="659"/>
      <c r="M5" s="659"/>
      <c r="N5" s="659"/>
      <c r="O5" s="659"/>
      <c r="P5" s="291"/>
      <c r="Q5" s="544"/>
      <c r="R5" s="283"/>
      <c r="U5" s="64" t="s">
        <v>394</v>
      </c>
    </row>
    <row r="6" spans="1:21" s="64" customFormat="1" ht="36.6" customHeight="1">
      <c r="A6" s="283"/>
      <c r="B6" s="543"/>
      <c r="C6" s="674" t="s">
        <v>661</v>
      </c>
      <c r="D6" s="674"/>
      <c r="E6" s="674"/>
      <c r="F6" s="674"/>
      <c r="G6" s="674"/>
      <c r="H6" s="674"/>
      <c r="I6" s="674"/>
      <c r="J6" s="674"/>
      <c r="K6" s="674"/>
      <c r="L6" s="674"/>
      <c r="M6" s="674"/>
      <c r="N6" s="674"/>
      <c r="O6" s="674"/>
      <c r="P6" s="290"/>
      <c r="Q6" s="545"/>
      <c r="R6" s="283"/>
      <c r="U6" s="64" t="s">
        <v>395</v>
      </c>
    </row>
    <row r="7" spans="1:21" s="64" customFormat="1" ht="16.149999999999999" customHeight="1">
      <c r="A7" s="283"/>
      <c r="B7" s="546"/>
      <c r="C7" s="659" t="s">
        <v>338</v>
      </c>
      <c r="D7" s="659"/>
      <c r="E7" s="659"/>
      <c r="F7" s="659"/>
      <c r="G7" s="659"/>
      <c r="H7" s="659"/>
      <c r="I7" s="659"/>
      <c r="J7" s="659"/>
      <c r="K7" s="659"/>
      <c r="L7" s="659"/>
      <c r="M7" s="659"/>
      <c r="N7" s="659"/>
      <c r="O7" s="659"/>
      <c r="P7" s="290"/>
      <c r="Q7" s="545"/>
      <c r="R7" s="283"/>
      <c r="U7" s="64" t="s">
        <v>396</v>
      </c>
    </row>
    <row r="8" spans="1:21" s="64" customFormat="1" ht="14.45" customHeight="1">
      <c r="A8" s="283"/>
      <c r="B8" s="541"/>
      <c r="C8" s="268"/>
      <c r="D8" s="268"/>
      <c r="E8" s="268"/>
      <c r="F8" s="268"/>
      <c r="G8" s="268"/>
      <c r="H8" s="268"/>
      <c r="I8" s="268"/>
      <c r="J8" s="268"/>
      <c r="K8" s="268"/>
      <c r="L8" s="268"/>
      <c r="M8" s="268"/>
      <c r="N8" s="268"/>
      <c r="O8" s="268"/>
      <c r="P8" s="268"/>
      <c r="Q8" s="542"/>
      <c r="R8" s="283"/>
      <c r="U8" s="64" t="s">
        <v>397</v>
      </c>
    </row>
    <row r="9" spans="1:21" s="64" customFormat="1" ht="5.25" customHeight="1">
      <c r="A9" s="283"/>
      <c r="B9" s="541"/>
      <c r="C9" s="268"/>
      <c r="D9" s="268"/>
      <c r="E9" s="268"/>
      <c r="F9" s="268"/>
      <c r="G9" s="268"/>
      <c r="H9" s="268"/>
      <c r="I9" s="268"/>
      <c r="J9" s="268"/>
      <c r="K9" s="268"/>
      <c r="L9" s="268"/>
      <c r="M9" s="268"/>
      <c r="N9" s="268"/>
      <c r="O9" s="268"/>
      <c r="P9" s="268"/>
      <c r="Q9" s="542"/>
      <c r="R9" s="283"/>
      <c r="U9" s="64" t="s">
        <v>398</v>
      </c>
    </row>
    <row r="10" spans="1:21" s="64" customFormat="1" ht="14.25" customHeight="1">
      <c r="A10" s="283"/>
      <c r="B10" s="541"/>
      <c r="C10" s="666" t="s">
        <v>329</v>
      </c>
      <c r="D10" s="666"/>
      <c r="E10" s="666"/>
      <c r="F10" s="666"/>
      <c r="G10" s="666"/>
      <c r="H10" s="268"/>
      <c r="I10" s="268"/>
      <c r="J10" s="666" t="s">
        <v>357</v>
      </c>
      <c r="K10" s="666"/>
      <c r="L10" s="666"/>
      <c r="M10" s="666"/>
      <c r="N10" s="666"/>
      <c r="O10" s="666"/>
      <c r="P10" s="268"/>
      <c r="Q10" s="542"/>
      <c r="R10" s="283"/>
      <c r="U10" s="64" t="s">
        <v>399</v>
      </c>
    </row>
    <row r="11" spans="1:21" s="64" customFormat="1" ht="8.25" customHeight="1">
      <c r="A11" s="283"/>
      <c r="B11" s="541"/>
      <c r="C11" s="268"/>
      <c r="D11" s="268"/>
      <c r="E11" s="268"/>
      <c r="F11" s="268"/>
      <c r="G11" s="268"/>
      <c r="H11" s="268"/>
      <c r="I11" s="268"/>
      <c r="J11" s="268"/>
      <c r="K11" s="268"/>
      <c r="L11" s="268"/>
      <c r="M11" s="268"/>
      <c r="N11" s="268"/>
      <c r="O11" s="268"/>
      <c r="P11" s="268"/>
      <c r="Q11" s="542"/>
      <c r="R11" s="283"/>
      <c r="U11" s="64" t="s">
        <v>400</v>
      </c>
    </row>
    <row r="12" spans="1:21" s="64" customFormat="1" ht="15.6" customHeight="1">
      <c r="A12" s="283"/>
      <c r="B12" s="541"/>
      <c r="C12" s="272" t="s">
        <v>324</v>
      </c>
      <c r="D12" s="660" t="s">
        <v>767</v>
      </c>
      <c r="E12" s="661"/>
      <c r="F12" s="661"/>
      <c r="G12" s="662"/>
      <c r="H12" s="268"/>
      <c r="I12" s="268"/>
      <c r="J12" s="624" t="s">
        <v>332</v>
      </c>
      <c r="K12" s="268"/>
      <c r="L12" s="268"/>
      <c r="M12" s="294" t="s">
        <v>333</v>
      </c>
      <c r="N12" s="268"/>
      <c r="O12" s="268"/>
      <c r="P12" s="268"/>
      <c r="Q12" s="542"/>
      <c r="R12" s="283"/>
      <c r="U12" s="64" t="s">
        <v>401</v>
      </c>
    </row>
    <row r="13" spans="1:21" s="64" customFormat="1" ht="3" customHeight="1">
      <c r="A13" s="283"/>
      <c r="B13" s="541"/>
      <c r="C13" s="268"/>
      <c r="D13" s="276"/>
      <c r="E13" s="276"/>
      <c r="F13" s="276"/>
      <c r="G13" s="276"/>
      <c r="H13" s="268"/>
      <c r="I13" s="268"/>
      <c r="J13" s="268"/>
      <c r="K13" s="249"/>
      <c r="L13" s="268"/>
      <c r="M13" s="268"/>
      <c r="N13" s="268"/>
      <c r="O13" s="268"/>
      <c r="P13" s="268"/>
      <c r="Q13" s="542"/>
      <c r="R13" s="283"/>
      <c r="U13" s="64" t="s">
        <v>402</v>
      </c>
    </row>
    <row r="14" spans="1:21" s="64" customFormat="1" ht="15.6" customHeight="1">
      <c r="A14" s="283"/>
      <c r="B14" s="541"/>
      <c r="C14" s="272" t="s">
        <v>327</v>
      </c>
      <c r="D14" s="660" t="s">
        <v>768</v>
      </c>
      <c r="E14" s="661"/>
      <c r="F14" s="661"/>
      <c r="G14" s="662"/>
      <c r="H14" s="268"/>
      <c r="I14" s="268"/>
      <c r="J14" s="288"/>
      <c r="K14" s="249"/>
      <c r="L14" s="268" t="s">
        <v>170</v>
      </c>
      <c r="M14" s="268"/>
      <c r="N14" s="268"/>
      <c r="O14" s="268"/>
      <c r="P14" s="268"/>
      <c r="Q14" s="542"/>
      <c r="R14" s="283"/>
      <c r="U14" s="64" t="s">
        <v>403</v>
      </c>
    </row>
    <row r="15" spans="1:21" s="64" customFormat="1" ht="3" customHeight="1">
      <c r="A15" s="283"/>
      <c r="B15" s="541"/>
      <c r="C15" s="268"/>
      <c r="D15" s="276"/>
      <c r="E15" s="276"/>
      <c r="F15" s="276"/>
      <c r="G15" s="276"/>
      <c r="H15" s="268"/>
      <c r="I15" s="268"/>
      <c r="J15" s="281"/>
      <c r="K15" s="249"/>
      <c r="L15" s="268"/>
      <c r="M15" s="271"/>
      <c r="N15" s="273"/>
      <c r="O15" s="268"/>
      <c r="P15" s="268"/>
      <c r="Q15" s="542"/>
      <c r="R15" s="283"/>
      <c r="U15" s="64" t="s">
        <v>404</v>
      </c>
    </row>
    <row r="16" spans="1:21" s="64" customFormat="1" ht="15.6" customHeight="1">
      <c r="A16" s="283"/>
      <c r="B16" s="541"/>
      <c r="C16" s="272" t="s">
        <v>756</v>
      </c>
      <c r="D16" s="640" t="s">
        <v>769</v>
      </c>
      <c r="E16" s="639"/>
      <c r="F16" s="268"/>
      <c r="G16" s="268"/>
      <c r="H16" s="268"/>
      <c r="I16" s="268"/>
      <c r="J16" s="286"/>
      <c r="K16" s="249"/>
      <c r="L16" s="268" t="s">
        <v>164</v>
      </c>
      <c r="M16" s="271"/>
      <c r="N16" s="273"/>
      <c r="O16" s="268"/>
      <c r="P16" s="268"/>
      <c r="Q16" s="542"/>
      <c r="R16" s="283"/>
      <c r="U16" s="64" t="s">
        <v>405</v>
      </c>
    </row>
    <row r="17" spans="1:21" s="64" customFormat="1" ht="3" customHeight="1">
      <c r="A17" s="283"/>
      <c r="B17" s="541"/>
      <c r="C17" s="268"/>
      <c r="D17" s="276"/>
      <c r="E17" s="276"/>
      <c r="F17" s="276"/>
      <c r="G17" s="276"/>
      <c r="H17" s="268"/>
      <c r="I17" s="268"/>
      <c r="J17" s="268"/>
      <c r="K17" s="249"/>
      <c r="L17" s="268"/>
      <c r="M17" s="271"/>
      <c r="N17" s="273"/>
      <c r="O17" s="268"/>
      <c r="P17" s="268"/>
      <c r="Q17" s="542"/>
      <c r="R17" s="283"/>
      <c r="U17" s="64" t="s">
        <v>406</v>
      </c>
    </row>
    <row r="18" spans="1:21" s="64" customFormat="1" ht="15.75" customHeight="1">
      <c r="A18" s="283"/>
      <c r="B18" s="541"/>
      <c r="C18" s="272" t="s">
        <v>325</v>
      </c>
      <c r="D18" s="660" t="s">
        <v>765</v>
      </c>
      <c r="E18" s="661"/>
      <c r="F18" s="661"/>
      <c r="G18" s="662"/>
      <c r="H18" s="268"/>
      <c r="I18" s="268"/>
      <c r="J18" s="287"/>
      <c r="K18" s="249"/>
      <c r="L18" s="268" t="s">
        <v>210</v>
      </c>
      <c r="M18" s="271"/>
      <c r="N18" s="273"/>
      <c r="O18" s="268"/>
      <c r="P18" s="268"/>
      <c r="Q18" s="542"/>
      <c r="R18" s="283"/>
      <c r="U18" s="64" t="s">
        <v>407</v>
      </c>
    </row>
    <row r="19" spans="1:21" s="64" customFormat="1" ht="3" customHeight="1">
      <c r="A19" s="283"/>
      <c r="B19" s="541"/>
      <c r="C19" s="272"/>
      <c r="D19" s="276"/>
      <c r="E19" s="276"/>
      <c r="F19" s="276"/>
      <c r="G19" s="276"/>
      <c r="H19" s="268"/>
      <c r="I19" s="249"/>
      <c r="J19" s="249"/>
      <c r="K19" s="249"/>
      <c r="L19" s="249"/>
      <c r="M19" s="249"/>
      <c r="N19" s="249"/>
      <c r="O19" s="249"/>
      <c r="P19" s="268"/>
      <c r="Q19" s="542"/>
      <c r="R19" s="283"/>
      <c r="U19" s="64" t="s">
        <v>408</v>
      </c>
    </row>
    <row r="20" spans="1:21" s="64" customFormat="1" ht="15.6" customHeight="1">
      <c r="A20" s="283"/>
      <c r="B20" s="541"/>
      <c r="C20" s="272" t="s">
        <v>326</v>
      </c>
      <c r="D20" s="667" t="s">
        <v>762</v>
      </c>
      <c r="E20" s="668"/>
      <c r="F20" s="668"/>
      <c r="G20" s="669"/>
      <c r="H20" s="268"/>
      <c r="I20" s="249"/>
      <c r="J20" s="249"/>
      <c r="K20" s="249"/>
      <c r="L20" s="249"/>
      <c r="M20" s="249"/>
      <c r="N20" s="249"/>
      <c r="O20" s="249"/>
      <c r="P20" s="268"/>
      <c r="Q20" s="542"/>
      <c r="R20" s="283"/>
      <c r="U20" s="64" t="s">
        <v>409</v>
      </c>
    </row>
    <row r="21" spans="1:21" s="64" customFormat="1" ht="3" customHeight="1">
      <c r="A21" s="283"/>
      <c r="B21" s="541"/>
      <c r="C21" s="272"/>
      <c r="D21" s="276"/>
      <c r="E21" s="276"/>
      <c r="F21" s="276"/>
      <c r="G21" s="276"/>
      <c r="H21" s="268"/>
      <c r="I21" s="249"/>
      <c r="J21" s="249"/>
      <c r="K21" s="249"/>
      <c r="L21" s="268"/>
      <c r="M21" s="271"/>
      <c r="N21" s="273"/>
      <c r="O21" s="268"/>
      <c r="P21" s="268"/>
      <c r="Q21" s="542"/>
      <c r="R21" s="283"/>
      <c r="U21" s="64" t="s">
        <v>410</v>
      </c>
    </row>
    <row r="22" spans="1:21" s="64" customFormat="1" ht="15.6" customHeight="1">
      <c r="A22" s="283"/>
      <c r="B22" s="541"/>
      <c r="C22" s="272" t="s">
        <v>322</v>
      </c>
      <c r="D22" s="667" t="s">
        <v>401</v>
      </c>
      <c r="E22" s="668"/>
      <c r="F22" s="669"/>
      <c r="G22" s="268"/>
      <c r="H22" s="268"/>
      <c r="I22" s="249"/>
      <c r="J22" s="674" t="s">
        <v>331</v>
      </c>
      <c r="K22" s="292"/>
      <c r="L22" s="268" t="s">
        <v>202</v>
      </c>
      <c r="M22" s="271"/>
      <c r="N22" s="273" t="s">
        <v>201</v>
      </c>
      <c r="O22" s="268"/>
      <c r="P22" s="268"/>
      <c r="Q22" s="542"/>
      <c r="R22" s="283"/>
      <c r="U22" s="64" t="s">
        <v>411</v>
      </c>
    </row>
    <row r="23" spans="1:21" s="64" customFormat="1" ht="3" customHeight="1">
      <c r="A23" s="283"/>
      <c r="B23" s="541"/>
      <c r="C23" s="272"/>
      <c r="D23" s="276"/>
      <c r="E23" s="276"/>
      <c r="F23" s="276"/>
      <c r="G23" s="276"/>
      <c r="H23" s="268"/>
      <c r="I23" s="249"/>
      <c r="J23" s="674"/>
      <c r="K23" s="292"/>
      <c r="L23" s="268"/>
      <c r="M23" s="271"/>
      <c r="N23" s="273"/>
      <c r="O23" s="268"/>
      <c r="P23" s="268"/>
      <c r="Q23" s="542"/>
      <c r="R23" s="283"/>
      <c r="U23" s="64" t="s">
        <v>412</v>
      </c>
    </row>
    <row r="24" spans="1:21" s="64" customFormat="1" ht="15.6" customHeight="1">
      <c r="A24" s="283"/>
      <c r="B24" s="541"/>
      <c r="C24" s="272" t="s">
        <v>323</v>
      </c>
      <c r="D24" s="667" t="s">
        <v>764</v>
      </c>
      <c r="E24" s="669"/>
      <c r="F24" s="268"/>
      <c r="G24" s="268"/>
      <c r="H24" s="268"/>
      <c r="I24" s="249"/>
      <c r="J24" s="674"/>
      <c r="K24" s="292"/>
      <c r="L24" s="293">
        <v>2.5000000000000001E-3</v>
      </c>
      <c r="M24" s="288"/>
      <c r="N24" s="288"/>
      <c r="O24" s="268"/>
      <c r="P24" s="268"/>
      <c r="Q24" s="542"/>
      <c r="R24" s="283"/>
      <c r="U24" s="64" t="s">
        <v>413</v>
      </c>
    </row>
    <row r="25" spans="1:21" s="64" customFormat="1" ht="2.4500000000000002" customHeight="1">
      <c r="A25" s="283"/>
      <c r="B25" s="541"/>
      <c r="C25" s="272"/>
      <c r="D25" s="268"/>
      <c r="E25" s="268"/>
      <c r="F25" s="268"/>
      <c r="G25" s="268"/>
      <c r="H25" s="268"/>
      <c r="I25" s="249"/>
      <c r="J25" s="674"/>
      <c r="K25" s="292"/>
      <c r="L25" s="268"/>
      <c r="M25" s="271"/>
      <c r="N25" s="273"/>
      <c r="O25" s="268"/>
      <c r="P25" s="268"/>
      <c r="Q25" s="542"/>
      <c r="R25" s="283"/>
      <c r="U25" s="64" t="s">
        <v>414</v>
      </c>
    </row>
    <row r="26" spans="1:21" s="64" customFormat="1" ht="15.6" customHeight="1">
      <c r="A26" s="283"/>
      <c r="B26" s="541"/>
      <c r="C26" s="272" t="s">
        <v>356</v>
      </c>
      <c r="D26" s="499">
        <v>2020</v>
      </c>
      <c r="E26" s="499" t="s">
        <v>763</v>
      </c>
      <c r="F26" s="268"/>
      <c r="G26" s="268"/>
      <c r="H26" s="268"/>
      <c r="I26" s="249"/>
      <c r="J26" s="249"/>
      <c r="K26" s="249"/>
      <c r="L26" s="268"/>
      <c r="M26" s="271"/>
      <c r="N26" s="273"/>
      <c r="O26" s="268"/>
      <c r="P26" s="268"/>
      <c r="Q26" s="542"/>
      <c r="R26" s="283"/>
      <c r="U26" s="64" t="s">
        <v>415</v>
      </c>
    </row>
    <row r="27" spans="1:21" s="64" customFormat="1" ht="3" customHeight="1">
      <c r="A27" s="283"/>
      <c r="B27" s="541"/>
      <c r="C27" s="272"/>
      <c r="D27" s="268"/>
      <c r="E27" s="268"/>
      <c r="F27" s="268"/>
      <c r="G27" s="268"/>
      <c r="H27" s="268"/>
      <c r="I27" s="249"/>
      <c r="J27" s="249"/>
      <c r="K27" s="249"/>
      <c r="L27" s="268"/>
      <c r="M27" s="271"/>
      <c r="N27" s="273"/>
      <c r="O27" s="268"/>
      <c r="P27" s="268"/>
      <c r="Q27" s="542"/>
      <c r="R27" s="283"/>
      <c r="U27" s="64" t="s">
        <v>416</v>
      </c>
    </row>
    <row r="28" spans="1:21" s="64" customFormat="1" ht="15.6" customHeight="1">
      <c r="A28" s="283"/>
      <c r="B28" s="541"/>
      <c r="C28" s="272" t="s">
        <v>328</v>
      </c>
      <c r="D28" s="500"/>
      <c r="E28" s="289" t="s">
        <v>644</v>
      </c>
      <c r="F28" s="268"/>
      <c r="G28" s="268"/>
      <c r="H28" s="268"/>
      <c r="I28" s="249"/>
      <c r="J28" s="249"/>
      <c r="K28" s="249"/>
      <c r="L28" s="268"/>
      <c r="M28" s="271"/>
      <c r="N28" s="273"/>
      <c r="O28" s="268"/>
      <c r="P28" s="268"/>
      <c r="Q28" s="542"/>
      <c r="R28" s="283"/>
      <c r="U28" s="64" t="s">
        <v>417</v>
      </c>
    </row>
    <row r="29" spans="1:21" s="64" customFormat="1" ht="3" customHeight="1">
      <c r="A29" s="283"/>
      <c r="B29" s="541"/>
      <c r="C29" s="272"/>
      <c r="D29" s="501"/>
      <c r="E29" s="268"/>
      <c r="F29" s="268"/>
      <c r="G29" s="268"/>
      <c r="H29" s="268"/>
      <c r="I29" s="249"/>
      <c r="J29" s="249"/>
      <c r="K29" s="249"/>
      <c r="L29" s="268"/>
      <c r="M29" s="271"/>
      <c r="N29" s="273"/>
      <c r="O29" s="268"/>
      <c r="P29" s="268"/>
      <c r="Q29" s="542"/>
      <c r="R29" s="283"/>
      <c r="U29" s="64" t="s">
        <v>418</v>
      </c>
    </row>
    <row r="30" spans="1:21" s="64" customFormat="1" ht="15.6" customHeight="1">
      <c r="A30" s="283"/>
      <c r="B30" s="541"/>
      <c r="C30" s="272" t="s">
        <v>658</v>
      </c>
      <c r="D30" s="500"/>
      <c r="E30" s="289" t="s">
        <v>644</v>
      </c>
      <c r="F30" s="268"/>
      <c r="G30" s="268"/>
      <c r="H30" s="268"/>
      <c r="I30" s="249"/>
      <c r="J30" s="249"/>
      <c r="K30" s="249"/>
      <c r="L30" s="268"/>
      <c r="M30" s="271"/>
      <c r="N30" s="273"/>
      <c r="O30" s="268"/>
      <c r="P30" s="268"/>
      <c r="Q30" s="542"/>
      <c r="R30" s="283"/>
      <c r="U30" s="64" t="s">
        <v>419</v>
      </c>
    </row>
    <row r="31" spans="1:21" s="64" customFormat="1" ht="3" customHeight="1">
      <c r="A31" s="283"/>
      <c r="B31" s="541"/>
      <c r="C31" s="272"/>
      <c r="D31" s="289"/>
      <c r="E31" s="289"/>
      <c r="F31" s="268"/>
      <c r="G31" s="268"/>
      <c r="H31" s="268"/>
      <c r="I31" s="249"/>
      <c r="J31" s="249"/>
      <c r="K31" s="249"/>
      <c r="L31" s="268"/>
      <c r="M31" s="271"/>
      <c r="N31" s="273"/>
      <c r="O31" s="268"/>
      <c r="P31" s="268"/>
      <c r="Q31" s="542"/>
      <c r="R31" s="283"/>
      <c r="U31" s="64" t="s">
        <v>422</v>
      </c>
    </row>
    <row r="32" spans="1:21" s="64" customFormat="1" ht="15.6" customHeight="1">
      <c r="A32" s="283"/>
      <c r="B32" s="541"/>
      <c r="C32" s="272" t="s">
        <v>659</v>
      </c>
      <c r="D32" s="617">
        <v>44202</v>
      </c>
      <c r="E32" s="289"/>
      <c r="F32" s="268"/>
      <c r="G32" s="268"/>
      <c r="H32" s="268"/>
      <c r="I32" s="249"/>
      <c r="J32" s="249"/>
      <c r="K32" s="249"/>
      <c r="L32" s="268"/>
      <c r="M32" s="271"/>
      <c r="N32" s="273"/>
      <c r="O32" s="268"/>
      <c r="P32" s="268"/>
      <c r="Q32" s="542"/>
      <c r="R32" s="283"/>
      <c r="U32" s="64" t="s">
        <v>426</v>
      </c>
    </row>
    <row r="33" spans="1:21" s="64" customFormat="1" ht="3" customHeight="1">
      <c r="A33" s="283"/>
      <c r="B33" s="541"/>
      <c r="C33" s="274"/>
      <c r="D33" s="268"/>
      <c r="E33" s="268"/>
      <c r="F33" s="268"/>
      <c r="G33" s="268"/>
      <c r="H33" s="268"/>
      <c r="I33" s="249"/>
      <c r="J33" s="249"/>
      <c r="K33" s="249"/>
      <c r="L33" s="268"/>
      <c r="M33" s="249"/>
      <c r="N33" s="249"/>
      <c r="O33" s="268"/>
      <c r="P33" s="268"/>
      <c r="Q33" s="542"/>
      <c r="R33" s="283"/>
      <c r="U33" s="64" t="s">
        <v>423</v>
      </c>
    </row>
    <row r="34" spans="1:21" s="64" customFormat="1" ht="15.6" customHeight="1">
      <c r="A34" s="283"/>
      <c r="B34" s="541"/>
      <c r="C34" s="272" t="s">
        <v>720</v>
      </c>
      <c r="D34" s="663" t="s">
        <v>55</v>
      </c>
      <c r="E34" s="664"/>
      <c r="F34" s="665"/>
      <c r="G34" s="268"/>
      <c r="H34" s="268"/>
      <c r="I34" s="268"/>
      <c r="J34" s="268"/>
      <c r="K34" s="268"/>
      <c r="L34" s="268"/>
      <c r="M34" s="271"/>
      <c r="N34" s="273"/>
      <c r="O34" s="268"/>
      <c r="P34" s="268"/>
      <c r="Q34" s="542"/>
      <c r="R34" s="283"/>
      <c r="U34" s="64" t="s">
        <v>424</v>
      </c>
    </row>
    <row r="35" spans="1:21" s="64" customFormat="1" ht="3" customHeight="1">
      <c r="A35" s="283"/>
      <c r="B35" s="541"/>
      <c r="C35" s="290"/>
      <c r="D35" s="292"/>
      <c r="E35" s="292"/>
      <c r="F35" s="292"/>
      <c r="G35" s="268"/>
      <c r="H35" s="268"/>
      <c r="I35" s="268"/>
      <c r="J35" s="268"/>
      <c r="K35" s="268"/>
      <c r="L35" s="268"/>
      <c r="M35" s="271"/>
      <c r="N35" s="273"/>
      <c r="O35" s="268"/>
      <c r="P35" s="268"/>
      <c r="Q35" s="542"/>
      <c r="R35" s="283"/>
      <c r="U35" s="64" t="s">
        <v>425</v>
      </c>
    </row>
    <row r="36" spans="1:21" s="64" customFormat="1" ht="15.6" customHeight="1">
      <c r="A36" s="283"/>
      <c r="B36" s="547"/>
      <c r="C36" s="295" t="s">
        <v>334</v>
      </c>
      <c r="D36" s="675"/>
      <c r="E36" s="676"/>
      <c r="F36" s="276"/>
      <c r="G36" s="275"/>
      <c r="H36" s="268"/>
      <c r="I36" s="268"/>
      <c r="J36" s="268"/>
      <c r="K36" s="268"/>
      <c r="L36" s="268"/>
      <c r="M36" s="268"/>
      <c r="N36" s="268"/>
      <c r="O36" s="268"/>
      <c r="P36" s="268"/>
      <c r="Q36" s="542"/>
      <c r="R36" s="283"/>
      <c r="U36" s="64" t="s">
        <v>427</v>
      </c>
    </row>
    <row r="37" spans="1:21" s="64" customFormat="1" ht="25.15" customHeight="1">
      <c r="A37" s="283"/>
      <c r="B37" s="548"/>
      <c r="C37" s="276"/>
      <c r="D37" s="673" t="s">
        <v>339</v>
      </c>
      <c r="E37" s="673"/>
      <c r="F37" s="673"/>
      <c r="G37" s="673"/>
      <c r="H37" s="673"/>
      <c r="I37" s="673"/>
      <c r="J37" s="673"/>
      <c r="K37" s="673"/>
      <c r="L37" s="673"/>
      <c r="M37" s="673"/>
      <c r="N37" s="673"/>
      <c r="O37" s="673"/>
      <c r="P37" s="514"/>
      <c r="Q37" s="542"/>
      <c r="R37" s="283"/>
      <c r="U37" s="64" t="s">
        <v>420</v>
      </c>
    </row>
    <row r="38" spans="1:21" s="64" customFormat="1" ht="3.75" customHeight="1">
      <c r="A38" s="283"/>
      <c r="B38" s="548"/>
      <c r="C38" s="276"/>
      <c r="D38" s="268"/>
      <c r="E38" s="268"/>
      <c r="F38" s="268"/>
      <c r="G38" s="268"/>
      <c r="H38" s="268"/>
      <c r="I38" s="268"/>
      <c r="J38" s="268"/>
      <c r="K38" s="268"/>
      <c r="L38" s="268"/>
      <c r="M38" s="268"/>
      <c r="N38" s="268"/>
      <c r="O38" s="268"/>
      <c r="P38" s="268"/>
      <c r="Q38" s="542"/>
      <c r="R38" s="283"/>
      <c r="U38" s="64" t="s">
        <v>421</v>
      </c>
    </row>
    <row r="39" spans="1:21" s="64" customFormat="1" ht="22.5" customHeight="1">
      <c r="A39" s="283"/>
      <c r="B39" s="548"/>
      <c r="C39" s="276"/>
      <c r="D39" s="658"/>
      <c r="E39" s="658"/>
      <c r="F39" s="658"/>
      <c r="G39" s="658"/>
      <c r="H39" s="658"/>
      <c r="I39" s="658"/>
      <c r="J39" s="658"/>
      <c r="K39" s="658"/>
      <c r="L39" s="658"/>
      <c r="M39" s="658"/>
      <c r="N39" s="658"/>
      <c r="O39" s="658"/>
      <c r="P39" s="514"/>
      <c r="Q39" s="542"/>
      <c r="R39" s="283"/>
      <c r="U39" s="64" t="s">
        <v>428</v>
      </c>
    </row>
    <row r="40" spans="1:21" s="64" customFormat="1" ht="3.75" customHeight="1">
      <c r="A40" s="283"/>
      <c r="B40" s="548"/>
      <c r="C40" s="276"/>
      <c r="D40" s="268"/>
      <c r="E40" s="268"/>
      <c r="F40" s="268"/>
      <c r="G40" s="268"/>
      <c r="H40" s="268"/>
      <c r="I40" s="268"/>
      <c r="J40" s="268"/>
      <c r="K40" s="268"/>
      <c r="L40" s="268"/>
      <c r="M40" s="268"/>
      <c r="N40" s="268"/>
      <c r="O40" s="268"/>
      <c r="P40" s="268"/>
      <c r="Q40" s="542"/>
      <c r="R40" s="283"/>
      <c r="U40" s="64" t="s">
        <v>429</v>
      </c>
    </row>
    <row r="41" spans="1:21" s="64" customFormat="1" ht="22.5" customHeight="1">
      <c r="A41" s="283"/>
      <c r="B41" s="548"/>
      <c r="C41" s="276"/>
      <c r="D41" s="658"/>
      <c r="E41" s="658"/>
      <c r="F41" s="658"/>
      <c r="G41" s="658"/>
      <c r="H41" s="658"/>
      <c r="I41" s="658"/>
      <c r="J41" s="658"/>
      <c r="K41" s="658"/>
      <c r="L41" s="658"/>
      <c r="M41" s="658"/>
      <c r="N41" s="658"/>
      <c r="O41" s="658"/>
      <c r="P41" s="514"/>
      <c r="Q41" s="542"/>
      <c r="R41" s="283"/>
      <c r="U41" s="64" t="s">
        <v>430</v>
      </c>
    </row>
    <row r="42" spans="1:21" s="64" customFormat="1" ht="3.75" customHeight="1">
      <c r="A42" s="283"/>
      <c r="B42" s="548"/>
      <c r="C42" s="276"/>
      <c r="D42" s="268"/>
      <c r="E42" s="268"/>
      <c r="F42" s="268"/>
      <c r="G42" s="268"/>
      <c r="H42" s="268"/>
      <c r="I42" s="268"/>
      <c r="J42" s="268"/>
      <c r="K42" s="268"/>
      <c r="L42" s="268"/>
      <c r="M42" s="268"/>
      <c r="N42" s="268"/>
      <c r="O42" s="268"/>
      <c r="P42" s="268"/>
      <c r="Q42" s="542"/>
      <c r="R42" s="283"/>
      <c r="U42" s="64" t="s">
        <v>431</v>
      </c>
    </row>
    <row r="43" spans="1:21" s="64" customFormat="1" ht="22.5" customHeight="1">
      <c r="A43" s="283"/>
      <c r="B43" s="548"/>
      <c r="C43" s="276"/>
      <c r="D43" s="658"/>
      <c r="E43" s="658"/>
      <c r="F43" s="658"/>
      <c r="G43" s="658"/>
      <c r="H43" s="658"/>
      <c r="I43" s="658"/>
      <c r="J43" s="658"/>
      <c r="K43" s="658"/>
      <c r="L43" s="658"/>
      <c r="M43" s="658"/>
      <c r="N43" s="658"/>
      <c r="O43" s="658"/>
      <c r="P43" s="514"/>
      <c r="Q43" s="542"/>
      <c r="R43" s="283"/>
      <c r="U43" s="64" t="s">
        <v>432</v>
      </c>
    </row>
    <row r="44" spans="1:21" s="64" customFormat="1" ht="21" customHeight="1">
      <c r="A44" s="283"/>
      <c r="B44" s="548"/>
      <c r="C44" s="276"/>
      <c r="D44" s="514"/>
      <c r="E44" s="514"/>
      <c r="F44" s="514"/>
      <c r="G44" s="514"/>
      <c r="H44" s="514"/>
      <c r="I44" s="514"/>
      <c r="J44" s="514"/>
      <c r="K44" s="514"/>
      <c r="L44" s="514"/>
      <c r="M44" s="514"/>
      <c r="N44" s="514"/>
      <c r="O44" s="514"/>
      <c r="P44" s="514"/>
      <c r="Q44" s="542"/>
      <c r="R44" s="283"/>
      <c r="U44" s="64" t="s">
        <v>433</v>
      </c>
    </row>
    <row r="45" spans="1:21" s="64" customFormat="1" ht="22.5" customHeight="1">
      <c r="A45" s="283"/>
      <c r="B45" s="548"/>
      <c r="C45" s="276"/>
      <c r="D45" s="658"/>
      <c r="E45" s="658"/>
      <c r="F45" s="658"/>
      <c r="G45" s="658"/>
      <c r="H45" s="658"/>
      <c r="I45" s="658"/>
      <c r="J45" s="658"/>
      <c r="K45" s="658"/>
      <c r="L45" s="658"/>
      <c r="M45" s="658"/>
      <c r="N45" s="658"/>
      <c r="O45" s="658"/>
      <c r="P45" s="514"/>
      <c r="Q45" s="542"/>
      <c r="R45" s="283"/>
      <c r="U45" s="64" t="s">
        <v>434</v>
      </c>
    </row>
    <row r="46" spans="1:21" s="64" customFormat="1" ht="19.149999999999999" customHeight="1">
      <c r="A46" s="283"/>
      <c r="B46" s="548"/>
      <c r="C46" s="276"/>
      <c r="D46" s="268"/>
      <c r="E46" s="268"/>
      <c r="F46" s="268"/>
      <c r="G46" s="268"/>
      <c r="H46" s="268"/>
      <c r="I46" s="268"/>
      <c r="J46" s="268"/>
      <c r="K46" s="268"/>
      <c r="L46" s="268"/>
      <c r="M46" s="268"/>
      <c r="N46" s="268"/>
      <c r="O46" s="268"/>
      <c r="P46" s="268"/>
      <c r="Q46" s="542"/>
      <c r="R46" s="283"/>
      <c r="U46" s="64" t="s">
        <v>435</v>
      </c>
    </row>
    <row r="47" spans="1:21" s="64" customFormat="1" ht="27.6" customHeight="1">
      <c r="A47" s="283"/>
      <c r="B47" s="548"/>
      <c r="C47" s="276"/>
      <c r="D47" s="268"/>
      <c r="E47" s="268"/>
      <c r="F47" s="268"/>
      <c r="G47" s="268"/>
      <c r="H47" s="268"/>
      <c r="I47" s="268"/>
      <c r="J47" s="268"/>
      <c r="K47" s="268"/>
      <c r="L47" s="268"/>
      <c r="M47" s="268"/>
      <c r="N47" s="268"/>
      <c r="O47" s="268"/>
      <c r="P47" s="268"/>
      <c r="Q47" s="542"/>
      <c r="R47" s="283"/>
      <c r="U47" s="64" t="s">
        <v>436</v>
      </c>
    </row>
    <row r="48" spans="1:21" s="64" customFormat="1" ht="27.6" customHeight="1">
      <c r="A48" s="283"/>
      <c r="B48" s="548"/>
      <c r="C48" s="276"/>
      <c r="D48" s="268"/>
      <c r="E48" s="268"/>
      <c r="F48" s="268"/>
      <c r="G48" s="268"/>
      <c r="H48" s="268"/>
      <c r="I48" s="268"/>
      <c r="J48" s="268"/>
      <c r="K48" s="268"/>
      <c r="L48" s="268"/>
      <c r="M48" s="268"/>
      <c r="N48" s="268"/>
      <c r="O48" s="268"/>
      <c r="P48" s="268"/>
      <c r="Q48" s="542"/>
      <c r="R48" s="283"/>
      <c r="U48" s="64" t="s">
        <v>437</v>
      </c>
    </row>
    <row r="49" spans="1:21" s="64" customFormat="1" ht="27.6" customHeight="1">
      <c r="A49" s="283"/>
      <c r="B49" s="548"/>
      <c r="C49" s="276"/>
      <c r="D49" s="268"/>
      <c r="E49" s="268"/>
      <c r="F49" s="268"/>
      <c r="G49" s="268"/>
      <c r="H49" s="268"/>
      <c r="I49" s="268"/>
      <c r="J49" s="268"/>
      <c r="K49" s="268"/>
      <c r="L49" s="268"/>
      <c r="M49" s="268"/>
      <c r="N49" s="268"/>
      <c r="O49" s="268"/>
      <c r="P49" s="268"/>
      <c r="Q49" s="542"/>
      <c r="R49" s="283"/>
      <c r="U49" s="64" t="s">
        <v>438</v>
      </c>
    </row>
    <row r="50" spans="1:21" s="64" customFormat="1" ht="27.6" customHeight="1">
      <c r="A50" s="283"/>
      <c r="B50" s="548"/>
      <c r="C50" s="276"/>
      <c r="D50" s="268"/>
      <c r="E50" s="268"/>
      <c r="F50" s="268"/>
      <c r="G50" s="268"/>
      <c r="H50" s="268"/>
      <c r="I50" s="268"/>
      <c r="J50" s="268"/>
      <c r="K50" s="268"/>
      <c r="L50" s="268"/>
      <c r="M50" s="268"/>
      <c r="N50" s="268"/>
      <c r="O50" s="268"/>
      <c r="P50" s="268"/>
      <c r="Q50" s="542"/>
      <c r="R50" s="283"/>
      <c r="U50" s="64" t="s">
        <v>439</v>
      </c>
    </row>
    <row r="51" spans="1:21" s="64" customFormat="1" ht="22.5" customHeight="1">
      <c r="A51" s="283"/>
      <c r="B51" s="548"/>
      <c r="C51" s="277"/>
      <c r="D51" s="276"/>
      <c r="E51" s="514"/>
      <c r="F51" s="514"/>
      <c r="G51" s="514"/>
      <c r="H51" s="514"/>
      <c r="I51" s="514"/>
      <c r="J51" s="514"/>
      <c r="K51" s="514"/>
      <c r="L51" s="277" t="s">
        <v>337</v>
      </c>
      <c r="M51" s="278" t="s">
        <v>200</v>
      </c>
      <c r="N51" s="514"/>
      <c r="O51" s="514"/>
      <c r="P51" s="514"/>
      <c r="Q51" s="542"/>
      <c r="R51" s="283"/>
      <c r="U51" s="64" t="s">
        <v>440</v>
      </c>
    </row>
    <row r="52" spans="1:21" s="64" customFormat="1" ht="5.25" customHeight="1" thickBot="1">
      <c r="A52" s="283"/>
      <c r="B52" s="549"/>
      <c r="C52" s="550"/>
      <c r="D52" s="550"/>
      <c r="E52" s="550"/>
      <c r="F52" s="550"/>
      <c r="G52" s="550"/>
      <c r="H52" s="550"/>
      <c r="I52" s="550"/>
      <c r="J52" s="550"/>
      <c r="K52" s="550"/>
      <c r="L52" s="550"/>
      <c r="M52" s="550"/>
      <c r="N52" s="550"/>
      <c r="O52" s="550"/>
      <c r="P52" s="550"/>
      <c r="Q52" s="551"/>
      <c r="R52" s="283"/>
      <c r="U52" s="64" t="s">
        <v>441</v>
      </c>
    </row>
    <row r="53" spans="1:21" ht="13.5" customHeight="1" thickTop="1">
      <c r="A53" s="282"/>
      <c r="B53" s="282"/>
      <c r="C53" s="282"/>
      <c r="D53" s="282"/>
      <c r="E53" s="282"/>
      <c r="F53" s="282"/>
      <c r="G53" s="282"/>
      <c r="H53" s="282"/>
      <c r="I53" s="282"/>
      <c r="J53" s="282"/>
      <c r="K53" s="282"/>
      <c r="L53" s="282"/>
      <c r="M53" s="282"/>
      <c r="N53" s="282"/>
      <c r="O53" s="282"/>
      <c r="P53" s="282"/>
      <c r="Q53" s="282"/>
      <c r="R53" s="282"/>
      <c r="U53" s="245" t="s">
        <v>442</v>
      </c>
    </row>
    <row r="54" spans="1:21" hidden="1">
      <c r="A54" s="282"/>
      <c r="B54" s="282"/>
      <c r="C54" s="282"/>
      <c r="D54" s="282"/>
      <c r="E54" s="282"/>
      <c r="F54" s="282"/>
      <c r="G54" s="282"/>
      <c r="H54" s="282"/>
      <c r="I54" s="282"/>
      <c r="J54" s="282"/>
      <c r="K54" s="282"/>
      <c r="L54" s="282"/>
      <c r="M54" s="282"/>
      <c r="N54" s="282"/>
      <c r="O54" s="282"/>
      <c r="P54" s="282"/>
      <c r="Q54" s="282"/>
      <c r="R54" s="282"/>
      <c r="U54" s="245" t="s">
        <v>443</v>
      </c>
    </row>
    <row r="55" spans="1:21" hidden="1">
      <c r="A55" s="282"/>
      <c r="B55" s="282"/>
      <c r="C55" s="282"/>
      <c r="D55" s="282"/>
      <c r="E55" s="282"/>
      <c r="F55" s="282"/>
      <c r="G55" s="282"/>
      <c r="H55" s="282"/>
      <c r="I55" s="282"/>
      <c r="J55" s="282"/>
      <c r="K55" s="282"/>
      <c r="L55" s="282"/>
      <c r="M55" s="282"/>
      <c r="N55" s="282"/>
      <c r="O55" s="282"/>
      <c r="P55" s="282"/>
      <c r="Q55" s="282"/>
      <c r="R55" s="282"/>
      <c r="U55" s="245" t="s">
        <v>444</v>
      </c>
    </row>
    <row r="56" spans="1:21" hidden="1">
      <c r="A56" s="282"/>
      <c r="B56" s="282"/>
      <c r="C56" s="282"/>
      <c r="D56" s="282"/>
      <c r="E56" s="282"/>
      <c r="F56" s="282"/>
      <c r="G56" s="282"/>
      <c r="H56" s="282"/>
      <c r="I56" s="282"/>
      <c r="J56" s="282"/>
      <c r="K56" s="282"/>
      <c r="L56" s="282"/>
      <c r="M56" s="282"/>
      <c r="N56" s="282"/>
      <c r="O56" s="282"/>
      <c r="P56" s="282"/>
      <c r="Q56" s="282"/>
      <c r="R56" s="282"/>
      <c r="U56" s="245" t="s">
        <v>445</v>
      </c>
    </row>
    <row r="57" spans="1:21" hidden="1">
      <c r="A57" s="282"/>
      <c r="B57" s="282"/>
      <c r="C57" s="282"/>
      <c r="D57" s="282"/>
      <c r="E57" s="282"/>
      <c r="F57" s="282"/>
      <c r="G57" s="282"/>
      <c r="H57" s="282"/>
      <c r="I57" s="282"/>
      <c r="J57" s="282"/>
      <c r="K57" s="282"/>
      <c r="L57" s="282"/>
      <c r="M57" s="282"/>
      <c r="N57" s="282"/>
      <c r="O57" s="282"/>
      <c r="P57" s="282"/>
      <c r="Q57" s="282"/>
      <c r="R57" s="282"/>
      <c r="U57" s="245" t="s">
        <v>446</v>
      </c>
    </row>
    <row r="58" spans="1:21" hidden="1">
      <c r="A58" s="282"/>
      <c r="B58" s="282"/>
      <c r="C58" s="282"/>
      <c r="D58" s="282"/>
      <c r="E58" s="282"/>
      <c r="F58" s="282"/>
      <c r="G58" s="282"/>
      <c r="H58" s="282"/>
      <c r="I58" s="282"/>
      <c r="J58" s="282"/>
      <c r="K58" s="282"/>
      <c r="L58" s="282"/>
      <c r="M58" s="282"/>
      <c r="N58" s="282"/>
      <c r="O58" s="282"/>
      <c r="P58" s="282"/>
      <c r="Q58" s="282"/>
      <c r="R58" s="282"/>
      <c r="U58" s="245" t="s">
        <v>447</v>
      </c>
    </row>
    <row r="59" spans="1:21" hidden="1">
      <c r="A59" s="282"/>
      <c r="B59" s="282"/>
      <c r="C59" s="282"/>
      <c r="D59" s="282"/>
      <c r="E59" s="282"/>
      <c r="F59" s="282"/>
      <c r="G59" s="282"/>
      <c r="H59" s="282"/>
      <c r="I59" s="282"/>
      <c r="J59" s="282"/>
      <c r="K59" s="282"/>
      <c r="L59" s="282"/>
      <c r="M59" s="282"/>
      <c r="N59" s="282"/>
      <c r="O59" s="282"/>
      <c r="P59" s="282"/>
      <c r="Q59" s="282"/>
      <c r="R59" s="282"/>
      <c r="U59" s="245" t="s">
        <v>448</v>
      </c>
    </row>
    <row r="60" spans="1:21" hidden="1">
      <c r="U60" s="245" t="s">
        <v>449</v>
      </c>
    </row>
    <row r="61" spans="1:21" hidden="1">
      <c r="U61" s="245" t="s">
        <v>450</v>
      </c>
    </row>
    <row r="62" spans="1:21" hidden="1">
      <c r="U62" s="245" t="s">
        <v>451</v>
      </c>
    </row>
    <row r="63" spans="1:21" hidden="1">
      <c r="U63" s="245" t="s">
        <v>452</v>
      </c>
    </row>
    <row r="64" spans="1:21" hidden="1">
      <c r="U64" s="245" t="s">
        <v>453</v>
      </c>
    </row>
    <row r="65" spans="21:21" hidden="1">
      <c r="U65" s="245" t="s">
        <v>454</v>
      </c>
    </row>
    <row r="66" spans="21:21" hidden="1">
      <c r="U66" s="245" t="s">
        <v>455</v>
      </c>
    </row>
    <row r="67" spans="21:21" hidden="1">
      <c r="U67" s="245" t="s">
        <v>456</v>
      </c>
    </row>
    <row r="68" spans="21:21" hidden="1">
      <c r="U68" s="245" t="s">
        <v>457</v>
      </c>
    </row>
    <row r="69" spans="21:21" hidden="1">
      <c r="U69" s="245" t="s">
        <v>665</v>
      </c>
    </row>
  </sheetData>
  <sheetProtection password="8B16" sheet="1" objects="1" scenarios="1"/>
  <mergeCells count="20">
    <mergeCell ref="B2:Q2"/>
    <mergeCell ref="D18:G18"/>
    <mergeCell ref="D37:O37"/>
    <mergeCell ref="D20:G20"/>
    <mergeCell ref="D14:G14"/>
    <mergeCell ref="C6:O6"/>
    <mergeCell ref="C4:O5"/>
    <mergeCell ref="D36:E36"/>
    <mergeCell ref="D24:E24"/>
    <mergeCell ref="J22:J25"/>
    <mergeCell ref="D39:O39"/>
    <mergeCell ref="D43:O43"/>
    <mergeCell ref="C7:O7"/>
    <mergeCell ref="D12:G12"/>
    <mergeCell ref="D45:O45"/>
    <mergeCell ref="D41:O41"/>
    <mergeCell ref="D34:F34"/>
    <mergeCell ref="C10:G10"/>
    <mergeCell ref="J10:O10"/>
    <mergeCell ref="D22:F22"/>
  </mergeCells>
  <phoneticPr fontId="0" type="noConversion"/>
  <conditionalFormatting sqref="D28">
    <cfRule type="expression" dxfId="95" priority="10" stopIfTrue="1">
      <formula>$E$26="Calendar Year"</formula>
    </cfRule>
  </conditionalFormatting>
  <conditionalFormatting sqref="E28">
    <cfRule type="expression" dxfId="94" priority="8" stopIfTrue="1">
      <formula>$E$26="Calendar Year"</formula>
    </cfRule>
  </conditionalFormatting>
  <conditionalFormatting sqref="C28">
    <cfRule type="expression" dxfId="93" priority="7" stopIfTrue="1">
      <formula>$E$26="Calendar Year"</formula>
    </cfRule>
  </conditionalFormatting>
  <conditionalFormatting sqref="C30">
    <cfRule type="expression" dxfId="92" priority="4" stopIfTrue="1">
      <formula>$E$26="Calendar Year"</formula>
    </cfRule>
  </conditionalFormatting>
  <conditionalFormatting sqref="D30">
    <cfRule type="expression" dxfId="91" priority="3" stopIfTrue="1">
      <formula>$E$26="Calendar Year"</formula>
    </cfRule>
  </conditionalFormatting>
  <conditionalFormatting sqref="E30:E32 D31">
    <cfRule type="expression" dxfId="90" priority="2" stopIfTrue="1">
      <formula>$E$26="Calendar Year"</formula>
    </cfRule>
  </conditionalFormatting>
  <dataValidations count="3">
    <dataValidation type="list" allowBlank="1" showInputMessage="1" showErrorMessage="1" sqref="E26" xr:uid="{BD02CA30-358A-41CD-A4B2-73ED8262AD77}">
      <formula1>"Select Type...,Calendar Year,Financial Year"</formula1>
    </dataValidation>
    <dataValidation type="list" allowBlank="1" showInputMessage="1" showErrorMessage="1" errorTitle="Water Balance Units" error="You have not entered a valid option" promptTitle="Water Balance Units" prompt="Please choose from the following units" sqref="D34" xr:uid="{83E3571C-B8B5-4AA1-8C0F-C9EC0733669E}">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D22:F22" xr:uid="{76811301-6A8F-4F74-8C26-DAF7160A3954}">
      <formula1>$U$3:$U$69</formula1>
    </dataValidation>
  </dataValidations>
  <hyperlinks>
    <hyperlink ref="M51" r:id="rId1" xr:uid="{DAFD9814-3944-4E10-B54F-AB263EF3B094}"/>
    <hyperlink ref="M12" location="'Reporting Worksheet'!A1" display="Reporting Worksheet" xr:uid="{F6ABF582-8794-4062-80B3-FF0878EE20AB}"/>
  </hyperlinks>
  <printOptions horizontalCentered="1" verticalCentered="1"/>
  <pageMargins left="0.41" right="0.47" top="0.76" bottom="0.75" header="0.5" footer="0.5"/>
  <pageSetup scale="72" orientation="landscape" r:id="rId2"/>
  <headerFooter alignWithMargins="0">
    <oddFooter>&amp;CAWWA Free Water Audit Software v5.0&amp;R&amp;A   &amp;P</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806510" r:id="rId5" name="Option Button 4718">
              <controlPr defaultSize="0" autoFill="0" autoLine="0" autoPict="0">
                <anchor moveWithCells="1">
                  <from>
                    <xdr:col>12</xdr:col>
                    <xdr:colOff>352425</xdr:colOff>
                    <xdr:row>22</xdr:row>
                    <xdr:rowOff>28575</xdr:rowOff>
                  </from>
                  <to>
                    <xdr:col>13</xdr:col>
                    <xdr:colOff>9525</xdr:colOff>
                    <xdr:row>24</xdr:row>
                    <xdr:rowOff>9525</xdr:rowOff>
                  </to>
                </anchor>
              </controlPr>
            </control>
          </mc:Choice>
        </mc:AlternateContent>
        <mc:AlternateContent xmlns:mc="http://schemas.openxmlformats.org/markup-compatibility/2006">
          <mc:Choice Requires="x14">
            <control shapeId="806511" r:id="rId6" name="Option Button 4719">
              <controlPr defaultSize="0" autoFill="0" autoLine="0" autoPict="0">
                <anchor moveWithCells="1">
                  <from>
                    <xdr:col>12</xdr:col>
                    <xdr:colOff>95250</xdr:colOff>
                    <xdr:row>23</xdr:row>
                    <xdr:rowOff>0</xdr:rowOff>
                  </from>
                  <to>
                    <xdr:col>12</xdr:col>
                    <xdr:colOff>276225</xdr:colOff>
                    <xdr:row>23</xdr:row>
                    <xdr:rowOff>190500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D2E72-CB1F-4EB7-8E3C-B81E82CA923C}">
  <sheetPr codeName="Sheet5">
    <tabColor theme="3" tint="0.79998168889431442"/>
    <pageSetUpPr fitToPage="1"/>
  </sheetPr>
  <dimension ref="A1:IU129"/>
  <sheetViews>
    <sheetView showGridLines="0" zoomScaleNormal="100" workbookViewId="0">
      <pane ySplit="6" topLeftCell="A66" activePane="bottomLeft" state="frozen"/>
      <selection activeCell="B2" sqref="B2:O2"/>
      <selection pane="bottomLeft" activeCell="I50" sqref="I50"/>
    </sheetView>
  </sheetViews>
  <sheetFormatPr defaultColWidth="0" defaultRowHeight="12.75" zeroHeight="1"/>
  <cols>
    <col min="1" max="1" width="1.140625" style="73" customWidth="1"/>
    <col min="2" max="2" width="1.85546875" style="73" customWidth="1"/>
    <col min="3" max="3" width="57.85546875" style="73" customWidth="1"/>
    <col min="4" max="4" width="7.5703125" style="73" customWidth="1"/>
    <col min="5" max="5" width="3.5703125" style="74" customWidth="1"/>
    <col min="6" max="6" width="0.7109375" style="73" customWidth="1"/>
    <col min="7" max="7" width="17.85546875" style="73" customWidth="1"/>
    <col min="8" max="8" width="0.7109375" style="73" customWidth="1"/>
    <col min="9" max="9" width="22.42578125" style="73" customWidth="1"/>
    <col min="10" max="10" width="3.5703125" style="73" customWidth="1"/>
    <col min="11" max="11" width="0.7109375" style="73" customWidth="1"/>
    <col min="12" max="12" width="7.28515625" style="73" customWidth="1"/>
    <col min="13" max="13" width="9" style="73" customWidth="1"/>
    <col min="14" max="14" width="8" style="73" customWidth="1"/>
    <col min="15" max="15" width="6" style="73" customWidth="1"/>
    <col min="16" max="16" width="8.7109375" style="73" customWidth="1"/>
    <col min="17" max="17" width="2.28515625" style="73" customWidth="1"/>
    <col min="18" max="18" width="6.7109375" style="73" hidden="1" customWidth="1"/>
    <col min="19" max="19" width="11.7109375" style="73" hidden="1" customWidth="1"/>
    <col min="20" max="20" width="12.28515625" style="73" hidden="1" customWidth="1"/>
    <col min="21" max="21" width="15.28515625" style="73" hidden="1" customWidth="1"/>
    <col min="22" max="22" width="10.140625" style="73" hidden="1" customWidth="1"/>
    <col min="23" max="24" width="8.85546875" style="73" hidden="1" customWidth="1"/>
    <col min="25" max="25" width="11.42578125" style="73" hidden="1" customWidth="1"/>
    <col min="26" max="255" width="8.85546875" style="73" hidden="1" customWidth="1"/>
    <col min="256" max="16384" width="1.28515625" style="73" hidden="1"/>
  </cols>
  <sheetData>
    <row r="1" spans="1:23" s="70" customFormat="1" ht="6.75" customHeight="1" thickBot="1">
      <c r="A1" s="283"/>
      <c r="B1" s="283"/>
      <c r="C1" s="283"/>
      <c r="D1" s="283"/>
      <c r="E1" s="380"/>
      <c r="F1" s="283"/>
      <c r="G1" s="283"/>
      <c r="H1" s="283"/>
      <c r="I1" s="283"/>
      <c r="J1" s="283"/>
      <c r="K1" s="283"/>
      <c r="L1" s="283"/>
      <c r="M1" s="283"/>
      <c r="N1" s="283"/>
      <c r="O1" s="283"/>
      <c r="P1" s="283"/>
      <c r="Q1" s="283"/>
    </row>
    <row r="2" spans="1:23" s="64" customFormat="1" ht="42" customHeight="1" thickTop="1">
      <c r="A2" s="283"/>
      <c r="B2" s="703" t="s">
        <v>315</v>
      </c>
      <c r="C2" s="704"/>
      <c r="D2" s="704"/>
      <c r="E2" s="704"/>
      <c r="F2" s="704"/>
      <c r="G2" s="704"/>
      <c r="H2" s="704"/>
      <c r="I2" s="704"/>
      <c r="J2" s="704"/>
      <c r="K2" s="704"/>
      <c r="L2" s="704"/>
      <c r="M2" s="704"/>
      <c r="N2" s="704"/>
      <c r="O2" s="704"/>
      <c r="P2" s="705"/>
      <c r="Q2" s="283"/>
    </row>
    <row r="3" spans="1:23" s="64" customFormat="1" ht="8.25" customHeight="1">
      <c r="A3" s="283"/>
      <c r="B3" s="523"/>
      <c r="C3" s="161"/>
      <c r="D3" s="162"/>
      <c r="E3" s="163"/>
      <c r="F3" s="162"/>
      <c r="G3" s="164"/>
      <c r="H3" s="164"/>
      <c r="I3" s="164"/>
      <c r="J3" s="164"/>
      <c r="K3" s="164"/>
      <c r="L3" s="164"/>
      <c r="M3" s="164"/>
      <c r="N3" s="164"/>
      <c r="O3" s="164"/>
      <c r="P3" s="524"/>
      <c r="Q3" s="283"/>
    </row>
    <row r="4" spans="1:23" s="64" customFormat="1">
      <c r="A4" s="282"/>
      <c r="B4" s="523"/>
      <c r="C4" s="225" t="s">
        <v>165</v>
      </c>
      <c r="D4" s="712" t="str">
        <f>IF(ISBLANK(Instructions!D18),"&lt;&lt; Please enter system details and contact information on the Instructions tab &gt;&gt;",Instructions!D18&amp;IF(ISBLANK(Instructions!D36),"","  ("&amp;Instructions!D36&amp;")"))</f>
        <v>Suez Water DE</v>
      </c>
      <c r="E4" s="713"/>
      <c r="F4" s="713"/>
      <c r="G4" s="713"/>
      <c r="H4" s="713"/>
      <c r="I4" s="713"/>
      <c r="J4" s="713"/>
      <c r="K4" s="713"/>
      <c r="L4" s="713"/>
      <c r="M4" s="714"/>
      <c r="N4" s="164"/>
      <c r="O4" s="164"/>
      <c r="P4" s="524"/>
      <c r="Q4" s="283"/>
    </row>
    <row r="5" spans="1:23" s="64" customFormat="1">
      <c r="A5" s="283"/>
      <c r="B5" s="523"/>
      <c r="C5" s="225" t="s">
        <v>166</v>
      </c>
      <c r="D5" s="708">
        <f>IF(ISBLANK(Instructions!D26),"",Instructions!D26)</f>
        <v>2020</v>
      </c>
      <c r="E5" s="709"/>
      <c r="F5" s="162"/>
      <c r="G5" s="710" t="str">
        <f>IF(ISBLANK(Instructions!D26),"",IF(Instructions!E26="Calendar Year","1/"&amp;Instructions!D26&amp;" - "&amp;"12/"&amp;Instructions!D26,IF(OR(ISBLANK(Instructions!D28),ISBLANK(Instructions!D30)),"",MONTH(Instructions!D28)&amp;"/"&amp;YEAR(Instructions!D28)&amp;" - "&amp;MONTH(Instructions!D30)&amp;"/"&amp;YEAR(Instructions!D30))))</f>
        <v>1/2020 - 12/2020</v>
      </c>
      <c r="H5" s="711"/>
      <c r="I5" s="164"/>
      <c r="J5" s="164"/>
      <c r="K5" s="164"/>
      <c r="L5" s="164"/>
      <c r="M5" s="164"/>
      <c r="N5" s="164"/>
      <c r="O5" s="164"/>
      <c r="P5" s="524"/>
      <c r="Q5" s="283"/>
    </row>
    <row r="6" spans="1:23" s="64" customFormat="1" ht="3.75" customHeight="1">
      <c r="A6" s="283"/>
      <c r="B6" s="523"/>
      <c r="C6" s="165"/>
      <c r="D6" s="162"/>
      <c r="E6" s="163"/>
      <c r="F6" s="162"/>
      <c r="G6" s="164"/>
      <c r="H6" s="164"/>
      <c r="I6" s="164"/>
      <c r="J6" s="164"/>
      <c r="K6" s="164"/>
      <c r="L6" s="164"/>
      <c r="M6" s="164"/>
      <c r="N6" s="164"/>
      <c r="O6" s="164"/>
      <c r="P6" s="524"/>
      <c r="Q6" s="283"/>
    </row>
    <row r="7" spans="1:23" s="64" customFormat="1" ht="18" customHeight="1">
      <c r="A7" s="283"/>
      <c r="B7" s="523"/>
      <c r="C7" s="707"/>
      <c r="D7" s="707"/>
      <c r="E7" s="707"/>
      <c r="F7" s="707"/>
      <c r="G7" s="707"/>
      <c r="H7" s="707"/>
      <c r="I7" s="707"/>
      <c r="J7" s="707"/>
      <c r="K7" s="707"/>
      <c r="L7" s="707"/>
      <c r="M7" s="707"/>
      <c r="N7" s="707"/>
      <c r="O7" s="707"/>
      <c r="P7" s="524"/>
      <c r="Q7" s="283"/>
    </row>
    <row r="8" spans="1:23" s="64" customFormat="1" ht="13.5" customHeight="1">
      <c r="A8" s="283"/>
      <c r="B8" s="523"/>
      <c r="C8" s="707"/>
      <c r="D8" s="707"/>
      <c r="E8" s="707"/>
      <c r="F8" s="707"/>
      <c r="G8" s="707"/>
      <c r="H8" s="707"/>
      <c r="I8" s="707"/>
      <c r="J8" s="707"/>
      <c r="K8" s="707"/>
      <c r="L8" s="707"/>
      <c r="M8" s="707"/>
      <c r="N8" s="707"/>
      <c r="O8" s="707"/>
      <c r="P8" s="524"/>
      <c r="Q8" s="283"/>
    </row>
    <row r="9" spans="1:23" s="64" customFormat="1" ht="15" customHeight="1">
      <c r="A9" s="283"/>
      <c r="B9" s="523"/>
      <c r="C9" s="519"/>
      <c r="D9" s="519"/>
      <c r="E9" s="525"/>
      <c r="F9" s="519"/>
      <c r="G9" s="526" t="str">
        <f>IF(ISBLANK(Instructions!D34),"PLEASE CHOOSE REPORTING UNITS FROM THE INSTRUCTIONS SHEET BEFORE ENTERING DATA","All volumes to be entered as: "&amp;UPPER(Instructions!$D$34)&amp;" PER YEAR")</f>
        <v>All volumes to be entered as: MILLION GALLONS (US) PER YEAR</v>
      </c>
      <c r="H9" s="519"/>
      <c r="I9" s="519"/>
      <c r="J9" s="519"/>
      <c r="K9" s="519"/>
      <c r="L9" s="519"/>
      <c r="M9" s="519"/>
      <c r="N9" s="519"/>
      <c r="O9" s="519"/>
      <c r="P9" s="524"/>
      <c r="Q9" s="283"/>
      <c r="S9" s="373"/>
      <c r="T9" s="373"/>
    </row>
    <row r="10" spans="1:23" s="64" customFormat="1" ht="3" customHeight="1">
      <c r="A10" s="283"/>
      <c r="B10" s="523"/>
      <c r="C10" s="166"/>
      <c r="D10" s="167"/>
      <c r="E10" s="168"/>
      <c r="F10" s="167"/>
      <c r="G10" s="166"/>
      <c r="H10" s="166"/>
      <c r="I10" s="166"/>
      <c r="J10" s="166"/>
      <c r="K10" s="166"/>
      <c r="L10" s="166"/>
      <c r="M10" s="166"/>
      <c r="N10" s="166"/>
      <c r="O10" s="166"/>
      <c r="P10" s="524"/>
      <c r="Q10" s="283"/>
    </row>
    <row r="11" spans="1:23" s="64" customFormat="1" ht="3" customHeight="1">
      <c r="A11" s="283"/>
      <c r="B11" s="523"/>
      <c r="C11" s="164"/>
      <c r="D11" s="162"/>
      <c r="E11" s="163"/>
      <c r="F11" s="162"/>
      <c r="G11" s="164"/>
      <c r="H11" s="164"/>
      <c r="I11" s="164"/>
      <c r="J11" s="164"/>
      <c r="K11" s="164"/>
      <c r="L11" s="164"/>
      <c r="M11" s="164"/>
      <c r="N11" s="164"/>
      <c r="O11" s="164"/>
      <c r="P11" s="524"/>
      <c r="Q11" s="283"/>
    </row>
    <row r="12" spans="1:23" s="64" customFormat="1" ht="24.6" customHeight="1">
      <c r="A12" s="283"/>
      <c r="B12" s="523"/>
      <c r="C12" s="677"/>
      <c r="D12" s="677"/>
      <c r="E12" s="677"/>
      <c r="F12" s="677"/>
      <c r="G12" s="677"/>
      <c r="H12" s="584"/>
      <c r="I12" s="637"/>
      <c r="J12" s="169" t="s">
        <v>743</v>
      </c>
      <c r="K12" s="169"/>
      <c r="L12" s="169"/>
      <c r="M12" s="169"/>
      <c r="N12" s="169"/>
      <c r="O12" s="169"/>
      <c r="P12" s="638"/>
      <c r="Q12" s="283"/>
    </row>
    <row r="13" spans="1:23" s="64" customFormat="1" ht="17.45" customHeight="1">
      <c r="A13" s="283"/>
      <c r="B13" s="523"/>
      <c r="C13" s="162" t="s">
        <v>246</v>
      </c>
      <c r="D13" s="687" t="s">
        <v>297</v>
      </c>
      <c r="E13" s="687"/>
      <c r="F13" s="687"/>
      <c r="G13" s="687"/>
      <c r="H13" s="687"/>
      <c r="I13" s="687"/>
      <c r="J13" s="687"/>
      <c r="K13" s="515"/>
      <c r="L13" s="169" t="s">
        <v>202</v>
      </c>
      <c r="M13" s="169"/>
      <c r="N13" s="169" t="s">
        <v>201</v>
      </c>
      <c r="O13" s="169"/>
      <c r="P13" s="524"/>
      <c r="Q13" s="283"/>
      <c r="R13" s="231" t="s">
        <v>313</v>
      </c>
      <c r="T13" s="134" t="s">
        <v>296</v>
      </c>
      <c r="U13" s="134" t="s">
        <v>295</v>
      </c>
      <c r="W13" s="230" t="s">
        <v>305</v>
      </c>
    </row>
    <row r="14" spans="1:23" s="64" customFormat="1" ht="2.25" customHeight="1" thickBot="1">
      <c r="A14" s="283"/>
      <c r="B14" s="523"/>
      <c r="C14" s="162"/>
      <c r="D14" s="162"/>
      <c r="E14" s="162"/>
      <c r="F14" s="162"/>
      <c r="G14" s="162"/>
      <c r="H14" s="162"/>
      <c r="I14" s="162"/>
      <c r="J14" s="162"/>
      <c r="K14" s="162"/>
      <c r="L14" s="169"/>
      <c r="M14" s="169"/>
      <c r="N14" s="169"/>
      <c r="O14" s="169"/>
      <c r="P14" s="524"/>
      <c r="Q14" s="283"/>
      <c r="S14" s="132"/>
    </row>
    <row r="15" spans="1:23" s="64" customFormat="1">
      <c r="A15" s="283"/>
      <c r="B15" s="523"/>
      <c r="C15" s="170" t="s">
        <v>131</v>
      </c>
      <c r="D15" s="171"/>
      <c r="E15" s="580">
        <v>7</v>
      </c>
      <c r="F15" s="172"/>
      <c r="G15" s="360">
        <v>5243.759</v>
      </c>
      <c r="H15" s="173"/>
      <c r="I15" s="174" t="str">
        <f>IF(Instructions!$D$34="million gallons (US)","MG/Yr",IF(Instructions!$D$34="Megalitres (thousand cubic metres)","ML/Yr",IF(Instructions!$D$34="acre-feet","acre-ft/yr","")))</f>
        <v>MG/Yr</v>
      </c>
      <c r="J15" s="580"/>
      <c r="K15" s="174"/>
      <c r="L15" s="393"/>
      <c r="M15" s="356"/>
      <c r="N15" s="685"/>
      <c r="O15" s="686"/>
      <c r="P15" s="527" t="str">
        <f>IF(Instructions!$D$34="million gallons (US)","MG/Yr",IF(Instructions!$D$34="Megalitres (thousand cubic metres)","ML/Yr",IF(Instructions!$D$34="acre-feet","acre-ft/yr","")))</f>
        <v>MG/Yr</v>
      </c>
      <c r="Q15" s="283"/>
      <c r="R15" s="385">
        <v>1</v>
      </c>
      <c r="S15" s="388">
        <f>IF(G15&gt;0,IF(R15=1,L15*G15,N15),0)</f>
        <v>0</v>
      </c>
      <c r="T15" s="389">
        <f>$T$19/$T$18*G15</f>
        <v>33.177900962216007</v>
      </c>
      <c r="U15" s="389">
        <f>$T$19/$T$18*ABS(S15)</f>
        <v>0</v>
      </c>
      <c r="V15" s="133"/>
    </row>
    <row r="16" spans="1:23" s="64" customFormat="1">
      <c r="A16" s="283"/>
      <c r="B16" s="523"/>
      <c r="C16" s="170" t="s">
        <v>4</v>
      </c>
      <c r="D16" s="162"/>
      <c r="E16" s="580">
        <v>9</v>
      </c>
      <c r="F16" s="172"/>
      <c r="G16" s="360">
        <v>233.6473</v>
      </c>
      <c r="H16" s="173"/>
      <c r="I16" s="174" t="str">
        <f>IF(Instructions!$D$34="million gallons (US)","MG/Yr",IF(Instructions!$D$34="Megalitres (thousand cubic metres)","ML/Yr",IF(Instructions!$D$34="acre-feet","acre-ft/yr","")))</f>
        <v>MG/Yr</v>
      </c>
      <c r="J16" s="582"/>
      <c r="K16" s="174"/>
      <c r="L16" s="393"/>
      <c r="M16" s="356"/>
      <c r="N16" s="685"/>
      <c r="O16" s="686"/>
      <c r="P16" s="527" t="str">
        <f>IF(Instructions!$D$34="million gallons (US)","MG/Yr",IF(Instructions!$D$34="Megalitres (thousand cubic metres)","ML/Yr",IF(Instructions!$D$34="acre-feet","acre-ft/yr","")))</f>
        <v>MG/Yr</v>
      </c>
      <c r="Q16" s="283"/>
      <c r="R16" s="386">
        <v>1</v>
      </c>
      <c r="S16" s="388">
        <f>IF(G16&gt;0,IF(R16=1,L16*G16,N16),0)</f>
        <v>0</v>
      </c>
      <c r="T16" s="389">
        <f>$T$19/$T$18*G16</f>
        <v>1.4783148843204219</v>
      </c>
      <c r="U16" s="389">
        <f>$T$19/$T$18*ABS(S16)</f>
        <v>0</v>
      </c>
    </row>
    <row r="17" spans="1:28" s="64" customFormat="1" ht="13.15" customHeight="1" thickBot="1">
      <c r="A17" s="283"/>
      <c r="B17" s="523"/>
      <c r="C17" s="170" t="s">
        <v>5</v>
      </c>
      <c r="D17" s="162"/>
      <c r="E17" s="580">
        <v>2</v>
      </c>
      <c r="F17" s="172"/>
      <c r="G17" s="360">
        <v>54.335000000000001</v>
      </c>
      <c r="H17" s="173"/>
      <c r="I17" s="174" t="str">
        <f>IF(Instructions!$D$34="million gallons (US)","MG/Yr",IF(Instructions!$D$34="Megalitres (thousand cubic metres)","ML/Yr",IF(Instructions!$D$34="acre-feet","acre-ft/yr","")))</f>
        <v>MG/Yr</v>
      </c>
      <c r="J17" s="580"/>
      <c r="K17" s="174"/>
      <c r="L17" s="393"/>
      <c r="M17" s="357"/>
      <c r="N17" s="685"/>
      <c r="O17" s="686"/>
      <c r="P17" s="527" t="str">
        <f>IF(Instructions!$D$34="million gallons (US)","MG/Yr",IF(Instructions!$D$34="Megalitres (thousand cubic metres)","ML/Yr",IF(Instructions!$D$34="acre-feet","acre-ft/yr","")))</f>
        <v>MG/Yr</v>
      </c>
      <c r="Q17" s="283"/>
      <c r="R17" s="387">
        <v>1</v>
      </c>
      <c r="S17" s="388">
        <f>IF(G17&gt;0,IF(R17=1,L17*G17,N17),0)</f>
        <v>0</v>
      </c>
      <c r="T17" s="389">
        <f>$T$19/$T$18*G17</f>
        <v>0.34378415346357577</v>
      </c>
      <c r="U17" s="389">
        <f>$T$19/$T$18*ABS(S17)</f>
        <v>0</v>
      </c>
    </row>
    <row r="18" spans="1:28" s="64" customFormat="1" ht="14.45" customHeight="1">
      <c r="A18" s="283"/>
      <c r="B18" s="523"/>
      <c r="C18" s="175"/>
      <c r="D18" s="175"/>
      <c r="E18" s="176"/>
      <c r="F18" s="172"/>
      <c r="G18" s="358"/>
      <c r="H18" s="173"/>
      <c r="I18" s="169"/>
      <c r="J18" s="518" t="s">
        <v>282</v>
      </c>
      <c r="K18" s="169"/>
      <c r="L18" s="528"/>
      <c r="M18" s="164"/>
      <c r="N18" s="164"/>
      <c r="O18" s="164"/>
      <c r="P18" s="524"/>
      <c r="Q18" s="283"/>
      <c r="S18" s="390"/>
      <c r="T18" s="389">
        <f>G15+G16+G17+IF(G15&gt;0,ABS(S15),0)+IF(G16&gt;0,ABS(S16),0)+IF(G17&gt;0,(ABS(S17)),)</f>
        <v>5531.7412999999997</v>
      </c>
      <c r="U18" s="391"/>
    </row>
    <row r="19" spans="1:28" s="64" customFormat="1" ht="15">
      <c r="A19" s="283"/>
      <c r="B19" s="523"/>
      <c r="C19" s="226" t="s">
        <v>245</v>
      </c>
      <c r="D19" s="177"/>
      <c r="E19" s="176"/>
      <c r="F19" s="172"/>
      <c r="G19" s="211">
        <f>IF(G15&gt;0,IF(R15=1,G15/(1+L15),G15-N15),0)+IF(G16&gt;0,IF(R16=1,G16/(1+L16),G16-N16),0)-IF(G17&gt;0,IF(R17=1,G17/(1+L17),G17-N17),0)</f>
        <v>5423.0712999999996</v>
      </c>
      <c r="H19" s="178"/>
      <c r="I19" s="174" t="str">
        <f>IF(Instructions!$D$34="million gallons (US)","MG/Yr",IF(Instructions!$D$34="Megalitres (thousand cubic metres)","ML/Yr",IF(Instructions!$D$34="acre-feet","acre-ft/yr","")))</f>
        <v>MG/Yr</v>
      </c>
      <c r="J19" s="518" t="s">
        <v>283</v>
      </c>
      <c r="K19" s="174"/>
      <c r="L19" s="528"/>
      <c r="M19" s="164"/>
      <c r="N19" s="169"/>
      <c r="O19" s="518"/>
      <c r="P19" s="524"/>
      <c r="Q19" s="283"/>
      <c r="S19" s="392"/>
      <c r="T19" s="392">
        <f>GradingAssessment!D27</f>
        <v>35</v>
      </c>
      <c r="U19" s="392" t="s">
        <v>298</v>
      </c>
    </row>
    <row r="20" spans="1:28" s="64" customFormat="1" ht="5.25" customHeight="1">
      <c r="A20" s="283"/>
      <c r="B20" s="523"/>
      <c r="C20" s="179"/>
      <c r="D20" s="179"/>
      <c r="E20" s="180"/>
      <c r="F20" s="179"/>
      <c r="G20" s="166"/>
      <c r="H20" s="166"/>
      <c r="I20" s="166"/>
      <c r="J20" s="166"/>
      <c r="K20" s="166"/>
      <c r="L20" s="181"/>
      <c r="M20" s="181"/>
      <c r="N20" s="181"/>
      <c r="O20" s="166"/>
      <c r="P20" s="524"/>
      <c r="Q20" s="283"/>
    </row>
    <row r="21" spans="1:28" s="64" customFormat="1" ht="6" customHeight="1">
      <c r="A21" s="283"/>
      <c r="B21" s="523"/>
      <c r="C21" s="172"/>
      <c r="D21" s="172"/>
      <c r="E21" s="176" t="s">
        <v>28</v>
      </c>
      <c r="F21" s="172"/>
      <c r="G21" s="164"/>
      <c r="H21" s="164"/>
      <c r="I21" s="164"/>
      <c r="J21" s="164"/>
      <c r="K21" s="164"/>
      <c r="L21" s="169"/>
      <c r="M21" s="169"/>
      <c r="N21" s="169"/>
      <c r="O21" s="164"/>
      <c r="P21" s="524"/>
      <c r="Q21" s="283"/>
    </row>
    <row r="22" spans="1:28" s="64" customFormat="1">
      <c r="A22" s="283"/>
      <c r="B22" s="523"/>
      <c r="C22" s="162" t="s">
        <v>247</v>
      </c>
      <c r="D22" s="162"/>
      <c r="E22" s="182"/>
      <c r="F22" s="162"/>
      <c r="G22" s="162"/>
      <c r="H22" s="162"/>
      <c r="I22" s="162"/>
      <c r="J22" s="162"/>
      <c r="K22" s="162"/>
      <c r="L22" s="162"/>
      <c r="M22" s="162"/>
      <c r="N22" s="162"/>
      <c r="O22" s="162"/>
      <c r="P22" s="524"/>
      <c r="Q22" s="283"/>
    </row>
    <row r="23" spans="1:28" s="64" customFormat="1">
      <c r="A23" s="283"/>
      <c r="B23" s="523"/>
      <c r="C23" s="170" t="s">
        <v>132</v>
      </c>
      <c r="D23" s="175"/>
      <c r="E23" s="580">
        <v>9</v>
      </c>
      <c r="F23" s="172"/>
      <c r="G23" s="360">
        <v>4440.5469999999996</v>
      </c>
      <c r="H23" s="173"/>
      <c r="I23" s="174" t="str">
        <f>IF(Instructions!$D$34="million gallons (US)","MG/Yr",IF(Instructions!$D$34="Megalitres (thousand cubic metres)","ML/Yr",IF(Instructions!$D$34="acre-feet","acre-ft/yr","")))</f>
        <v>MG/Yr</v>
      </c>
      <c r="J23" s="174"/>
      <c r="K23" s="174"/>
      <c r="L23" s="518"/>
      <c r="M23" s="164"/>
      <c r="N23" s="164"/>
      <c r="O23" s="164"/>
      <c r="P23" s="524"/>
      <c r="Q23" s="283"/>
      <c r="R23" s="71"/>
      <c r="S23" s="71"/>
      <c r="U23" s="373"/>
      <c r="V23" s="373"/>
      <c r="W23" s="373"/>
    </row>
    <row r="24" spans="1:28" s="64" customFormat="1">
      <c r="A24" s="283"/>
      <c r="B24" s="523"/>
      <c r="C24" s="170" t="s">
        <v>133</v>
      </c>
      <c r="D24" s="175"/>
      <c r="E24" s="580" t="s">
        <v>66</v>
      </c>
      <c r="F24" s="172"/>
      <c r="G24" s="360"/>
      <c r="H24" s="173"/>
      <c r="I24" s="174" t="str">
        <f>IF(Instructions!$D$34="million gallons (US)","MG/Yr",IF(Instructions!$D$34="Megalitres (thousand cubic metres)","ML/Yr",IF(Instructions!$D$34="acre-feet","acre-ft/yr","")))</f>
        <v>MG/Yr</v>
      </c>
      <c r="J24" s="174"/>
      <c r="K24" s="174"/>
      <c r="L24" s="518"/>
      <c r="M24" s="164"/>
      <c r="N24" s="170"/>
      <c r="O24" s="170"/>
      <c r="P24" s="524"/>
      <c r="Q24" s="283"/>
      <c r="R24" s="71"/>
      <c r="S24" s="71"/>
    </row>
    <row r="25" spans="1:28" s="64" customFormat="1" ht="13.15" customHeight="1">
      <c r="A25" s="283"/>
      <c r="B25" s="523"/>
      <c r="C25" s="170" t="s">
        <v>134</v>
      </c>
      <c r="D25" s="175"/>
      <c r="E25" s="580">
        <v>8</v>
      </c>
      <c r="F25" s="172"/>
      <c r="G25" s="360">
        <v>53.983330000000002</v>
      </c>
      <c r="H25" s="173"/>
      <c r="I25" s="174" t="str">
        <f>IF(Instructions!$D$34="million gallons (US)","MG/Yr",IF(Instructions!$D$34="Megalitres (thousand cubic metres)","ML/Yr",IF(Instructions!$D$34="acre-feet","acre-ft/yr","")))</f>
        <v>MG/Yr</v>
      </c>
      <c r="J25" s="174"/>
      <c r="K25" s="174"/>
      <c r="L25" s="169" t="s">
        <v>202</v>
      </c>
      <c r="M25" s="517"/>
      <c r="N25" s="164" t="s">
        <v>201</v>
      </c>
      <c r="O25" s="164"/>
      <c r="P25" s="524"/>
      <c r="Q25" s="283"/>
      <c r="R25" s="71"/>
      <c r="S25" s="71"/>
      <c r="AA25" s="381" t="s">
        <v>352</v>
      </c>
      <c r="AB25" s="382"/>
    </row>
    <row r="26" spans="1:28" s="64" customFormat="1" ht="15" customHeight="1">
      <c r="A26" s="283"/>
      <c r="B26" s="523"/>
      <c r="C26" s="170" t="s">
        <v>135</v>
      </c>
      <c r="D26" s="175"/>
      <c r="E26" s="580"/>
      <c r="F26" s="172"/>
      <c r="G26" s="361">
        <f>IF(OR(R26=1,AND(R26=2,N26=0)),L26*$G$19,N26)</f>
        <v>67.788391250000004</v>
      </c>
      <c r="H26" s="173"/>
      <c r="I26" s="174" t="str">
        <f>IF(Instructions!$D$34="million gallons (US)","MG/Yr",IF(Instructions!$D$34="Megalitres (thousand cubic metres)","ML/Yr",IF(Instructions!$D$34="acre-feet","acre-ft/yr","")))</f>
        <v>MG/Yr</v>
      </c>
      <c r="J26" s="174"/>
      <c r="K26" s="174"/>
      <c r="L26" s="359">
        <v>1.2500000000000001E-2</v>
      </c>
      <c r="M26" s="356"/>
      <c r="N26" s="685"/>
      <c r="O26" s="686"/>
      <c r="P26" s="527" t="str">
        <f>IF(Instructions!$D$34="million gallons (US)","MG/Yr",IF(Instructions!$D$34="Megalitres (thousand cubic metres)","ML/Yr",IF(Instructions!$D$34="acre-feet","acre-ft/yr","")))</f>
        <v>MG/Yr</v>
      </c>
      <c r="Q26" s="283"/>
      <c r="R26" s="72">
        <v>1</v>
      </c>
      <c r="S26" s="71"/>
      <c r="T26" s="64" t="s">
        <v>302</v>
      </c>
      <c r="AA26" s="382"/>
      <c r="AB26" s="382"/>
    </row>
    <row r="27" spans="1:28" s="64" customFormat="1" ht="2.25" customHeight="1">
      <c r="A27" s="283"/>
      <c r="B27" s="523"/>
      <c r="C27" s="170"/>
      <c r="D27" s="170"/>
      <c r="E27" s="175"/>
      <c r="F27" s="175"/>
      <c r="G27" s="175"/>
      <c r="H27" s="175"/>
      <c r="I27" s="174"/>
      <c r="J27" s="174"/>
      <c r="K27" s="174"/>
      <c r="L27" s="174"/>
      <c r="M27" s="174"/>
      <c r="N27" s="174">
        <v>24061</v>
      </c>
      <c r="O27" s="174"/>
      <c r="P27" s="524"/>
      <c r="Q27" s="283"/>
      <c r="R27" s="73"/>
      <c r="S27" s="71"/>
      <c r="AA27" s="382"/>
      <c r="AB27" s="382"/>
    </row>
    <row r="28" spans="1:28" s="64" customFormat="1" ht="15" customHeight="1">
      <c r="A28" s="283"/>
      <c r="B28" s="523"/>
      <c r="C28" s="679" t="str">
        <f>IF(R26=1,"       Default option selected for Unbilled unmetered - a grading of 5 is applied but not displayed",IF(R26=2,IF(N26&gt;0.0125*G19,"               Unbilled Unmetered volume entered is greater than the recommended default value",IF(N26=0,"Enter a positive value, otherwise a default percentage of 1.25% (of billed metered) is applied and a grading of 5 is applied but not displayed",""))))</f>
        <v xml:space="preserve">       Default option selected for Unbilled unmetered - a grading of 5 is applied but not displayed</v>
      </c>
      <c r="D28" s="679"/>
      <c r="E28" s="679"/>
      <c r="F28" s="679"/>
      <c r="G28" s="679"/>
      <c r="H28" s="679"/>
      <c r="I28" s="679"/>
      <c r="J28" s="679"/>
      <c r="K28" s="679"/>
      <c r="L28" s="679"/>
      <c r="M28" s="174"/>
      <c r="N28" s="174"/>
      <c r="O28" s="174"/>
      <c r="P28" s="524"/>
      <c r="Q28" s="283"/>
      <c r="R28" s="73"/>
      <c r="S28" s="71"/>
      <c r="AA28" s="382"/>
      <c r="AB28" s="382"/>
    </row>
    <row r="29" spans="1:28" s="64" customFormat="1" ht="2.25" customHeight="1">
      <c r="A29" s="283"/>
      <c r="B29" s="523"/>
      <c r="C29" s="175"/>
      <c r="D29" s="175"/>
      <c r="E29" s="169"/>
      <c r="F29" s="183"/>
      <c r="G29" s="173"/>
      <c r="H29" s="173"/>
      <c r="I29" s="169"/>
      <c r="J29" s="169"/>
      <c r="K29" s="169"/>
      <c r="L29" s="164"/>
      <c r="M29" s="164"/>
      <c r="N29" s="517"/>
      <c r="O29" s="164"/>
      <c r="P29" s="524"/>
      <c r="Q29" s="283"/>
      <c r="R29" s="73"/>
      <c r="S29" s="71"/>
      <c r="AA29" s="382"/>
      <c r="AB29" s="382"/>
    </row>
    <row r="30" spans="1:28" s="64" customFormat="1" ht="15" customHeight="1">
      <c r="A30" s="283"/>
      <c r="B30" s="523"/>
      <c r="C30" s="226" t="s">
        <v>244</v>
      </c>
      <c r="D30" s="177"/>
      <c r="E30" s="184"/>
      <c r="F30" s="172"/>
      <c r="G30" s="363">
        <f>SUM(G23:G26)</f>
        <v>4562.3187212499997</v>
      </c>
      <c r="H30" s="178"/>
      <c r="I30" s="174" t="str">
        <f>IF(Instructions!$D$34="million gallons (US)","MG/Yr",IF(Instructions!$D$34="Megalitres (thousand cubic metres)","ML/Yr",IF(Instructions!$D$34="acre-feet","acre-ft/yr","")))</f>
        <v>MG/Yr</v>
      </c>
      <c r="J30" s="174"/>
      <c r="K30" s="174"/>
      <c r="L30" s="164"/>
      <c r="M30" s="164"/>
      <c r="N30" s="518"/>
      <c r="O30" s="518"/>
      <c r="P30" s="524"/>
      <c r="Q30" s="283"/>
      <c r="R30" s="73"/>
      <c r="S30" s="71"/>
      <c r="AA30" s="382"/>
      <c r="AB30" s="382"/>
    </row>
    <row r="31" spans="1:28" s="64" customFormat="1" ht="2.25" customHeight="1">
      <c r="A31" s="283"/>
      <c r="B31" s="523"/>
      <c r="C31" s="175"/>
      <c r="D31" s="175"/>
      <c r="E31" s="529"/>
      <c r="F31" s="178"/>
      <c r="G31" s="164"/>
      <c r="H31" s="178"/>
      <c r="I31" s="187"/>
      <c r="J31" s="187"/>
      <c r="K31" s="187"/>
      <c r="L31" s="164"/>
      <c r="M31" s="164"/>
      <c r="N31" s="530"/>
      <c r="O31" s="518"/>
      <c r="P31" s="524"/>
      <c r="Q31" s="283"/>
      <c r="R31" s="73"/>
      <c r="S31" s="71"/>
      <c r="AA31" s="382"/>
      <c r="AB31" s="382"/>
    </row>
    <row r="32" spans="1:28" s="64" customFormat="1" ht="15" customHeight="1">
      <c r="A32" s="283"/>
      <c r="B32" s="523"/>
      <c r="C32" s="692" t="str">
        <f>IF(AND(G30&gt;=G19,(G30&lt;&gt;0)),"               Check input values; WATER SUPPLIED should be greater than AUTHORIZED CONSUMPTION","")</f>
        <v/>
      </c>
      <c r="D32" s="692"/>
      <c r="E32" s="692"/>
      <c r="F32" s="692"/>
      <c r="G32" s="692"/>
      <c r="H32" s="692"/>
      <c r="I32" s="692"/>
      <c r="J32" s="692"/>
      <c r="K32" s="692"/>
      <c r="L32" s="692"/>
      <c r="M32" s="164"/>
      <c r="N32" s="530"/>
      <c r="O32" s="518"/>
      <c r="P32" s="524"/>
      <c r="Q32" s="283"/>
      <c r="R32" s="73"/>
      <c r="S32" s="71"/>
      <c r="T32" s="64" t="s">
        <v>301</v>
      </c>
      <c r="AA32" s="382"/>
      <c r="AB32" s="382"/>
    </row>
    <row r="33" spans="1:28" s="64" customFormat="1" ht="3" customHeight="1">
      <c r="A33" s="283"/>
      <c r="B33" s="523"/>
      <c r="C33" s="179"/>
      <c r="D33" s="179"/>
      <c r="E33" s="185"/>
      <c r="F33" s="179"/>
      <c r="G33" s="166"/>
      <c r="H33" s="166"/>
      <c r="I33" s="166"/>
      <c r="J33" s="164"/>
      <c r="K33" s="164"/>
      <c r="L33" s="169"/>
      <c r="M33" s="169"/>
      <c r="N33" s="169"/>
      <c r="O33" s="164"/>
      <c r="P33" s="524"/>
      <c r="Q33" s="283"/>
      <c r="R33" s="73"/>
      <c r="S33" s="71"/>
      <c r="AA33" s="382"/>
      <c r="AB33" s="382"/>
    </row>
    <row r="34" spans="1:28" s="64" customFormat="1" ht="6" customHeight="1">
      <c r="A34" s="283"/>
      <c r="B34" s="523"/>
      <c r="C34" s="172"/>
      <c r="D34" s="172"/>
      <c r="E34" s="184"/>
      <c r="F34" s="172"/>
      <c r="G34" s="164"/>
      <c r="H34" s="164"/>
      <c r="I34" s="164"/>
      <c r="J34" s="164"/>
      <c r="K34" s="164"/>
      <c r="L34" s="169"/>
      <c r="M34" s="169"/>
      <c r="N34" s="169"/>
      <c r="O34" s="164"/>
      <c r="P34" s="524"/>
      <c r="Q34" s="283"/>
      <c r="R34" s="73"/>
      <c r="S34" s="71"/>
      <c r="AA34" s="382"/>
      <c r="AB34" s="382"/>
    </row>
    <row r="35" spans="1:28" s="64" customFormat="1" ht="15" customHeight="1">
      <c r="A35" s="283"/>
      <c r="B35" s="523"/>
      <c r="C35" s="162" t="s">
        <v>248</v>
      </c>
      <c r="D35" s="162"/>
      <c r="E35" s="184"/>
      <c r="F35" s="162"/>
      <c r="G35" s="363">
        <f>G19-G30</f>
        <v>860.75257874999988</v>
      </c>
      <c r="H35" s="164"/>
      <c r="I35" s="174" t="str">
        <f>IF(Instructions!$D$34="million gallons (US)","MG/Yr",IF(Instructions!$D$34="Megalitres (thousand cubic metres)","ML/Yr",IF(Instructions!$D$34="acre-feet","acre-ft/yr","")))</f>
        <v>MG/Yr</v>
      </c>
      <c r="J35" s="174"/>
      <c r="K35" s="174"/>
      <c r="L35" s="164"/>
      <c r="M35" s="706"/>
      <c r="N35" s="164"/>
      <c r="O35" s="164"/>
      <c r="P35" s="524"/>
      <c r="Q35" s="283"/>
      <c r="R35" s="73"/>
      <c r="S35" s="71"/>
      <c r="AA35" s="382"/>
      <c r="AB35" s="382"/>
    </row>
    <row r="36" spans="1:28" s="64" customFormat="1" ht="5.25" customHeight="1">
      <c r="A36" s="283"/>
      <c r="B36" s="523"/>
      <c r="C36" s="162"/>
      <c r="D36" s="162"/>
      <c r="E36" s="184"/>
      <c r="F36" s="162"/>
      <c r="G36" s="164"/>
      <c r="H36" s="164"/>
      <c r="I36" s="164"/>
      <c r="J36" s="164"/>
      <c r="K36" s="164"/>
      <c r="L36" s="164"/>
      <c r="M36" s="706"/>
      <c r="N36" s="164"/>
      <c r="O36" s="164"/>
      <c r="P36" s="524"/>
      <c r="Q36" s="283"/>
      <c r="R36" s="73"/>
      <c r="S36" s="71"/>
      <c r="AA36" s="382"/>
      <c r="AB36" s="382"/>
    </row>
    <row r="37" spans="1:28" s="64" customFormat="1">
      <c r="A37" s="283"/>
      <c r="B37" s="523"/>
      <c r="C37" s="186" t="s">
        <v>120</v>
      </c>
      <c r="D37" s="175"/>
      <c r="E37" s="184"/>
      <c r="F37" s="175"/>
      <c r="G37" s="164"/>
      <c r="H37" s="164"/>
      <c r="I37" s="187"/>
      <c r="J37" s="187"/>
      <c r="K37" s="187"/>
      <c r="L37" s="169" t="s">
        <v>202</v>
      </c>
      <c r="M37" s="517"/>
      <c r="N37" s="164" t="s">
        <v>201</v>
      </c>
      <c r="O37" s="164"/>
      <c r="P37" s="524"/>
      <c r="Q37" s="283"/>
      <c r="R37" s="73"/>
      <c r="S37" s="71"/>
      <c r="AA37" s="382"/>
      <c r="AB37" s="382"/>
    </row>
    <row r="38" spans="1:28" s="64" customFormat="1" ht="15" customHeight="1">
      <c r="A38" s="283"/>
      <c r="B38" s="523"/>
      <c r="C38" s="170" t="s">
        <v>136</v>
      </c>
      <c r="D38" s="175"/>
      <c r="E38" s="580"/>
      <c r="F38" s="175"/>
      <c r="G38" s="361">
        <f>IF(OR(R38=1,AND(R38=2,N38=0)),L38*$G$19,N38)</f>
        <v>13.557678249999999</v>
      </c>
      <c r="H38" s="188"/>
      <c r="I38" s="174" t="str">
        <f>IF(Instructions!$D$34="million gallons (US)","MG/Yr",IF(Instructions!$D$34="Megalitres (thousand cubic metres)","ML/Yr",IF(Instructions!$D$34="acre-feet","acre-ft/yr","")))</f>
        <v>MG/Yr</v>
      </c>
      <c r="J38" s="174"/>
      <c r="K38" s="174"/>
      <c r="L38" s="359">
        <v>2.5000000000000001E-3</v>
      </c>
      <c r="M38" s="362"/>
      <c r="N38" s="685"/>
      <c r="O38" s="691"/>
      <c r="P38" s="527" t="str">
        <f>IF(Instructions!$D$34="million gallons (US)","MG/Yr",IF(Instructions!$D$34="Megalitres (thousand cubic metres)","ML/Yr",IF(Instructions!$D$34="acre-feet","acre-ft/yr","")))</f>
        <v>MG/Yr</v>
      </c>
      <c r="Q38" s="283"/>
      <c r="R38" s="72">
        <v>1</v>
      </c>
      <c r="S38" s="71"/>
      <c r="T38" s="64" t="s">
        <v>303</v>
      </c>
      <c r="AA38" s="382"/>
      <c r="AB38" s="382"/>
    </row>
    <row r="39" spans="1:28" s="64" customFormat="1" ht="2.25" customHeight="1">
      <c r="A39" s="283"/>
      <c r="B39" s="523"/>
      <c r="C39" s="164"/>
      <c r="D39" s="164"/>
      <c r="E39" s="164"/>
      <c r="F39" s="164"/>
      <c r="G39" s="164"/>
      <c r="H39" s="164"/>
      <c r="I39" s="164"/>
      <c r="J39" s="164"/>
      <c r="K39" s="164"/>
      <c r="L39" s="164"/>
      <c r="M39" s="173"/>
      <c r="N39" s="173"/>
      <c r="O39" s="164"/>
      <c r="P39" s="524"/>
      <c r="Q39" s="283"/>
      <c r="R39" s="72"/>
      <c r="S39" s="71"/>
      <c r="AA39" s="382"/>
      <c r="AB39" s="382"/>
    </row>
    <row r="40" spans="1:28" s="64" customFormat="1" ht="15" customHeight="1">
      <c r="A40" s="283"/>
      <c r="B40" s="523"/>
      <c r="C40" s="688" t="str">
        <f>IF(R38=1,"                Default option selected for unauthorized consumption - a grading of 5 is applied but not displayed                ",IF(R38=2,IF(N38&gt;0.0025*G19,"Unauthorized consumption volume entered is greater than the recommended default value",IF(N38=0,"Enter a positive value, otherwise a default percentage of 0.25% is applied and a grading of 5 is applied but not displayed",""))))</f>
        <v xml:space="preserve">                Default option selected for unauthorized consumption - a grading of 5 is applied but not displayed                </v>
      </c>
      <c r="D40" s="689"/>
      <c r="E40" s="689"/>
      <c r="F40" s="689"/>
      <c r="G40" s="689"/>
      <c r="H40" s="689"/>
      <c r="I40" s="689"/>
      <c r="J40" s="689"/>
      <c r="K40" s="689"/>
      <c r="L40" s="689"/>
      <c r="M40" s="173"/>
      <c r="N40" s="173"/>
      <c r="O40" s="164"/>
      <c r="P40" s="524"/>
      <c r="Q40" s="283"/>
      <c r="R40" s="72"/>
      <c r="S40" s="71"/>
      <c r="AA40" s="382"/>
      <c r="AB40" s="382"/>
    </row>
    <row r="41" spans="1:28" s="64" customFormat="1" ht="2.25" customHeight="1">
      <c r="A41" s="283"/>
      <c r="B41" s="523"/>
      <c r="C41" s="170"/>
      <c r="D41" s="175"/>
      <c r="E41" s="175"/>
      <c r="F41" s="175"/>
      <c r="G41" s="189"/>
      <c r="H41" s="175"/>
      <c r="I41" s="174"/>
      <c r="J41" s="174"/>
      <c r="K41" s="174"/>
      <c r="L41" s="164"/>
      <c r="M41" s="173"/>
      <c r="N41" s="173"/>
      <c r="O41" s="164"/>
      <c r="P41" s="524"/>
      <c r="Q41" s="283"/>
      <c r="R41" s="72"/>
      <c r="S41" s="71"/>
      <c r="AA41" s="382"/>
      <c r="AB41" s="382"/>
    </row>
    <row r="42" spans="1:28" s="64" customFormat="1" ht="15" customHeight="1">
      <c r="A42" s="283"/>
      <c r="B42" s="523"/>
      <c r="C42" s="170" t="s">
        <v>137</v>
      </c>
      <c r="D42" s="175"/>
      <c r="E42" s="581">
        <v>6</v>
      </c>
      <c r="F42" s="175"/>
      <c r="G42" s="364">
        <f>IF(R42=1,((G23+G25)/(1-L42))-(G23+G25),N42)</f>
        <v>0</v>
      </c>
      <c r="H42" s="188"/>
      <c r="I42" s="174" t="str">
        <f>IF(Instructions!$D$34="million gallons (US)","MG/Yr",IF(Instructions!$D$34="Megalitres (thousand cubic metres)","ML/Yr",IF(Instructions!$D$34="acre-feet","acre-ft/yr","")))</f>
        <v>MG/Yr</v>
      </c>
      <c r="J42" s="174"/>
      <c r="K42" s="174"/>
      <c r="L42" s="365">
        <v>0</v>
      </c>
      <c r="M42" s="362"/>
      <c r="N42" s="699"/>
      <c r="O42" s="700"/>
      <c r="P42" s="527" t="str">
        <f>IF(Instructions!$D$34="million gallons (US)","MG/Yr",IF(Instructions!$D$34="Megalitres (thousand cubic metres)","ML/Yr",IF(Instructions!$D$34="acre-feet","acre-ft/yr","")))</f>
        <v>MG/Yr</v>
      </c>
      <c r="Q42" s="283"/>
      <c r="R42" s="72">
        <v>1</v>
      </c>
      <c r="S42" s="71"/>
      <c r="T42" s="64" t="s">
        <v>353</v>
      </c>
      <c r="AA42" s="382"/>
      <c r="AB42" s="382"/>
    </row>
    <row r="43" spans="1:28" s="64" customFormat="1">
      <c r="A43" s="283"/>
      <c r="B43" s="523"/>
      <c r="C43" s="170" t="s">
        <v>3</v>
      </c>
      <c r="D43" s="175"/>
      <c r="E43" s="580"/>
      <c r="F43" s="175"/>
      <c r="G43" s="366">
        <f>IF(R43=1,L43*$G$23,N43)</f>
        <v>11.101367499999999</v>
      </c>
      <c r="H43" s="188"/>
      <c r="I43" s="174" t="str">
        <f>IF(Instructions!$D$34="million gallons (US)","MG/Yr",IF(Instructions!$D$34="Megalitres (thousand cubic metres)","ML/Yr",IF(Instructions!$D$34="acre-feet","acre-ft/yr","")))</f>
        <v>MG/Yr</v>
      </c>
      <c r="J43" s="174"/>
      <c r="K43" s="174"/>
      <c r="L43" s="359">
        <v>2.5000000000000001E-3</v>
      </c>
      <c r="M43" s="362"/>
      <c r="N43" s="685"/>
      <c r="O43" s="691"/>
      <c r="P43" s="527" t="str">
        <f>IF(Instructions!$D$34="million gallons (US)","MG/Yr",IF(Instructions!$D$34="Megalitres (thousand cubic metres)","ML/Yr",IF(Instructions!$D$34="acre-feet","acre-ft/yr","")))</f>
        <v>MG/Yr</v>
      </c>
      <c r="Q43" s="283"/>
      <c r="R43" s="72">
        <v>1</v>
      </c>
      <c r="S43" s="71"/>
    </row>
    <row r="44" spans="1:28" s="64" customFormat="1" ht="2.25" customHeight="1">
      <c r="A44" s="283"/>
      <c r="B44" s="523"/>
      <c r="C44" s="170"/>
      <c r="D44" s="175"/>
      <c r="E44" s="175"/>
      <c r="F44" s="175"/>
      <c r="G44" s="175"/>
      <c r="H44" s="175"/>
      <c r="I44" s="175"/>
      <c r="J44" s="175"/>
      <c r="K44" s="175"/>
      <c r="L44" s="164"/>
      <c r="M44" s="173"/>
      <c r="N44" s="406"/>
      <c r="O44" s="406"/>
      <c r="P44" s="527"/>
      <c r="Q44" s="283"/>
      <c r="R44" s="73"/>
      <c r="S44" s="71"/>
    </row>
    <row r="45" spans="1:28" s="64" customFormat="1">
      <c r="A45" s="283"/>
      <c r="B45" s="523"/>
      <c r="C45" s="702" t="str">
        <f>IF(OR(G19=0,E43="n/a"),"",IF(OR(ISBLANK(G43),G43=0),"Systematic data handling errors are likely, please enter a positive, non-zero value; otherwise grade = 1 (not displayed)",IF(R43=1,"                   Default option selected for Systematic data handling errors - a grading of 5 is applied but not displayed","")))</f>
        <v xml:space="preserve">                   Default option selected for Systematic data handling errors - a grading of 5 is applied but not displayed</v>
      </c>
      <c r="D45" s="702"/>
      <c r="E45" s="702"/>
      <c r="F45" s="702"/>
      <c r="G45" s="702"/>
      <c r="H45" s="702"/>
      <c r="I45" s="702"/>
      <c r="J45" s="702"/>
      <c r="K45" s="702"/>
      <c r="L45" s="702"/>
      <c r="M45" s="173"/>
      <c r="N45" s="407"/>
      <c r="O45" s="407"/>
      <c r="P45" s="524"/>
      <c r="Q45" s="283"/>
      <c r="R45" s="73"/>
      <c r="S45" s="71"/>
    </row>
    <row r="46" spans="1:28" s="64" customFormat="1" ht="2.25" customHeight="1">
      <c r="A46" s="283"/>
      <c r="B46" s="523"/>
      <c r="C46" s="170"/>
      <c r="D46" s="175"/>
      <c r="E46" s="175"/>
      <c r="F46" s="175"/>
      <c r="G46" s="175"/>
      <c r="H46" s="175"/>
      <c r="I46" s="175"/>
      <c r="J46" s="175"/>
      <c r="K46" s="175"/>
      <c r="L46" s="164"/>
      <c r="M46" s="173"/>
      <c r="N46" s="407"/>
      <c r="O46" s="407"/>
      <c r="P46" s="524"/>
      <c r="Q46" s="283"/>
      <c r="R46" s="73"/>
      <c r="S46" s="71"/>
    </row>
    <row r="47" spans="1:28" s="64" customFormat="1" ht="15">
      <c r="A47" s="283"/>
      <c r="B47" s="523"/>
      <c r="C47" s="175" t="s">
        <v>98</v>
      </c>
      <c r="D47" s="175"/>
      <c r="E47" s="190"/>
      <c r="F47" s="175"/>
      <c r="G47" s="363">
        <f>G38+G42+G43</f>
        <v>24.659045749999997</v>
      </c>
      <c r="H47" s="175"/>
      <c r="I47" s="174" t="str">
        <f>IF(Instructions!$D$34="million gallons (US)","MG/Yr",IF(Instructions!$D$34="Megalitres (thousand cubic metres)","ML/Yr",IF(Instructions!$D$34="acre-feet","acre-ft/yr","")))</f>
        <v>MG/Yr</v>
      </c>
      <c r="J47" s="174"/>
      <c r="K47" s="174"/>
      <c r="L47" s="164"/>
      <c r="M47" s="164"/>
      <c r="N47" s="407"/>
      <c r="O47" s="407"/>
      <c r="P47" s="524"/>
      <c r="Q47" s="283"/>
    </row>
    <row r="48" spans="1:28" s="64" customFormat="1" ht="2.25" customHeight="1">
      <c r="A48" s="283"/>
      <c r="B48" s="523"/>
      <c r="C48" s="175"/>
      <c r="D48" s="191"/>
      <c r="E48" s="191"/>
      <c r="F48" s="191"/>
      <c r="G48" s="164"/>
      <c r="H48" s="191"/>
      <c r="I48" s="178"/>
      <c r="J48" s="178"/>
      <c r="K48" s="178"/>
      <c r="L48" s="173"/>
      <c r="M48" s="164"/>
      <c r="N48" s="407"/>
      <c r="O48" s="407"/>
      <c r="P48" s="524"/>
      <c r="Q48" s="283"/>
    </row>
    <row r="49" spans="1:17" s="64" customFormat="1" ht="15" customHeight="1">
      <c r="A49" s="283"/>
      <c r="B49" s="523"/>
      <c r="C49" s="690" t="str">
        <f>IF(AND(G47&gt;=G35,(G47&lt;&gt;0)),"Check input values; APPARENT LOSSES should be less than WATER LOSSES","")</f>
        <v/>
      </c>
      <c r="D49" s="690"/>
      <c r="E49" s="690"/>
      <c r="F49" s="690"/>
      <c r="G49" s="690"/>
      <c r="H49" s="690"/>
      <c r="I49" s="690"/>
      <c r="J49" s="690"/>
      <c r="K49" s="690"/>
      <c r="L49" s="690"/>
      <c r="M49" s="164"/>
      <c r="N49" s="407"/>
      <c r="O49" s="407"/>
      <c r="P49" s="524"/>
      <c r="Q49" s="283"/>
    </row>
    <row r="50" spans="1:17" s="64" customFormat="1" ht="2.25" customHeight="1">
      <c r="A50" s="283"/>
      <c r="B50" s="523"/>
      <c r="C50" s="175"/>
      <c r="D50" s="191"/>
      <c r="E50" s="192"/>
      <c r="F50" s="191"/>
      <c r="G50" s="164"/>
      <c r="H50" s="191"/>
      <c r="I50" s="178"/>
      <c r="J50" s="178"/>
      <c r="K50" s="178"/>
      <c r="L50" s="173"/>
      <c r="M50" s="164"/>
      <c r="N50" s="407"/>
      <c r="O50" s="407"/>
      <c r="P50" s="524"/>
      <c r="Q50" s="283"/>
    </row>
    <row r="51" spans="1:17" s="64" customFormat="1" ht="15" customHeight="1">
      <c r="A51" s="283"/>
      <c r="B51" s="523"/>
      <c r="C51" s="186" t="s">
        <v>67</v>
      </c>
      <c r="D51" s="191"/>
      <c r="E51" s="190"/>
      <c r="F51" s="191"/>
      <c r="G51" s="187"/>
      <c r="H51" s="164"/>
      <c r="I51" s="187"/>
      <c r="J51" s="187"/>
      <c r="K51" s="187"/>
      <c r="L51" s="164"/>
      <c r="M51" s="164"/>
      <c r="N51" s="407"/>
      <c r="O51" s="407"/>
      <c r="P51" s="524"/>
      <c r="Q51" s="283"/>
    </row>
    <row r="52" spans="1:17" s="64" customFormat="1" ht="15">
      <c r="A52" s="283"/>
      <c r="B52" s="523"/>
      <c r="C52" s="175" t="s">
        <v>126</v>
      </c>
      <c r="D52" s="191"/>
      <c r="E52" s="190"/>
      <c r="F52" s="191"/>
      <c r="G52" s="363">
        <f>G35-G47</f>
        <v>836.09353299999987</v>
      </c>
      <c r="H52" s="191"/>
      <c r="I52" s="174" t="str">
        <f>IF(Instructions!$D$34="million gallons (US)","MG/Yr",IF(Instructions!$D$34="Megalitres (thousand cubic metres)","ML/Yr",IF(Instructions!$D$34="acre-feet","acre-ft/yr","")))</f>
        <v>MG/Yr</v>
      </c>
      <c r="J52" s="174"/>
      <c r="K52" s="174"/>
      <c r="L52" s="164"/>
      <c r="M52" s="164"/>
      <c r="N52" s="173"/>
      <c r="O52" s="164"/>
      <c r="P52" s="524"/>
      <c r="Q52" s="283"/>
    </row>
    <row r="53" spans="1:17" s="64" customFormat="1" ht="6.75" customHeight="1">
      <c r="A53" s="283"/>
      <c r="B53" s="523"/>
      <c r="C53" s="175"/>
      <c r="D53" s="191"/>
      <c r="E53" s="190"/>
      <c r="F53" s="191"/>
      <c r="G53" s="178"/>
      <c r="H53" s="191"/>
      <c r="I53" s="169"/>
      <c r="J53" s="169"/>
      <c r="K53" s="169"/>
      <c r="L53" s="164"/>
      <c r="M53" s="164"/>
      <c r="N53" s="173"/>
      <c r="O53" s="164"/>
      <c r="P53" s="524"/>
      <c r="Q53" s="283"/>
    </row>
    <row r="54" spans="1:17" s="64" customFormat="1" ht="15">
      <c r="A54" s="283"/>
      <c r="B54" s="523"/>
      <c r="C54" s="226" t="s">
        <v>241</v>
      </c>
      <c r="D54" s="193"/>
      <c r="E54" s="190"/>
      <c r="F54" s="194"/>
      <c r="G54" s="363">
        <f>G47+G52</f>
        <v>860.75257874999988</v>
      </c>
      <c r="H54" s="173"/>
      <c r="I54" s="174" t="str">
        <f>IF(Instructions!$D$34="million gallons (US)","MG/Yr",IF(Instructions!$D$34="Megalitres (thousand cubic metres)","ML/Yr",IF(Instructions!$D$34="acre-feet","acre-ft/yr","")))</f>
        <v>MG/Yr</v>
      </c>
      <c r="J54" s="174"/>
      <c r="K54" s="174"/>
      <c r="L54" s="164"/>
      <c r="M54" s="164"/>
      <c r="N54" s="169"/>
      <c r="O54" s="518"/>
      <c r="P54" s="524"/>
      <c r="Q54" s="283"/>
    </row>
    <row r="55" spans="1:17" s="64" customFormat="1" ht="5.25" customHeight="1">
      <c r="A55" s="283"/>
      <c r="B55" s="523"/>
      <c r="C55" s="195"/>
      <c r="D55" s="196"/>
      <c r="E55" s="197"/>
      <c r="F55" s="196"/>
      <c r="G55" s="198"/>
      <c r="H55" s="198"/>
      <c r="I55" s="198"/>
      <c r="J55" s="198"/>
      <c r="K55" s="198"/>
      <c r="L55" s="181"/>
      <c r="M55" s="181"/>
      <c r="N55" s="181"/>
      <c r="O55" s="166"/>
      <c r="P55" s="524"/>
      <c r="Q55" s="283"/>
    </row>
    <row r="56" spans="1:17" s="64" customFormat="1" ht="6" customHeight="1">
      <c r="A56" s="283"/>
      <c r="B56" s="523"/>
      <c r="C56" s="175"/>
      <c r="D56" s="194"/>
      <c r="E56" s="199"/>
      <c r="F56" s="194"/>
      <c r="G56" s="173"/>
      <c r="H56" s="173"/>
      <c r="I56" s="173"/>
      <c r="J56" s="173"/>
      <c r="K56" s="173"/>
      <c r="L56" s="169"/>
      <c r="M56" s="169"/>
      <c r="N56" s="169"/>
      <c r="O56" s="164"/>
      <c r="P56" s="524"/>
      <c r="Q56" s="283"/>
    </row>
    <row r="57" spans="1:17" s="64" customFormat="1" ht="13.5" customHeight="1">
      <c r="A57" s="283"/>
      <c r="B57" s="523"/>
      <c r="C57" s="186" t="s">
        <v>20</v>
      </c>
      <c r="D57" s="191"/>
      <c r="E57" s="190"/>
      <c r="F57" s="191"/>
      <c r="G57" s="178"/>
      <c r="H57" s="191"/>
      <c r="I57" s="169"/>
      <c r="J57" s="169"/>
      <c r="K57" s="169"/>
      <c r="L57" s="164"/>
      <c r="M57" s="164"/>
      <c r="N57" s="173"/>
      <c r="O57" s="164"/>
      <c r="P57" s="524"/>
      <c r="Q57" s="283"/>
    </row>
    <row r="58" spans="1:17" s="64" customFormat="1" ht="13.5" customHeight="1">
      <c r="A58" s="283"/>
      <c r="B58" s="523"/>
      <c r="C58" s="227" t="s">
        <v>189</v>
      </c>
      <c r="D58" s="191"/>
      <c r="E58" s="190"/>
      <c r="F58" s="191"/>
      <c r="G58" s="363">
        <f>G35+G25+G26</f>
        <v>982.52429999999993</v>
      </c>
      <c r="H58" s="191"/>
      <c r="I58" s="174" t="str">
        <f>IF(Instructions!$D$34="million gallons (US)","MG/Yr",IF(Instructions!$D$34="Megalitres (thousand cubic metres)","ML/Yr",IF(Instructions!$D$34="acre-feet","acre-ft/yr","")))</f>
        <v>MG/Yr</v>
      </c>
      <c r="J58" s="174"/>
      <c r="K58" s="174"/>
      <c r="L58" s="164"/>
      <c r="M58" s="164"/>
      <c r="N58" s="173"/>
      <c r="O58" s="164"/>
      <c r="P58" s="524"/>
      <c r="Q58" s="283"/>
    </row>
    <row r="59" spans="1:17" s="64" customFormat="1" ht="13.5" customHeight="1">
      <c r="A59" s="283"/>
      <c r="B59" s="523"/>
      <c r="C59" s="200" t="s">
        <v>294</v>
      </c>
      <c r="D59" s="201"/>
      <c r="E59" s="201"/>
      <c r="F59" s="201"/>
      <c r="G59" s="201"/>
      <c r="H59" s="201"/>
      <c r="I59" s="201"/>
      <c r="J59" s="201"/>
      <c r="K59" s="201"/>
      <c r="L59" s="201"/>
      <c r="M59" s="201"/>
      <c r="N59" s="201"/>
      <c r="O59" s="201"/>
      <c r="P59" s="524"/>
      <c r="Q59" s="283"/>
    </row>
    <row r="60" spans="1:17" s="64" customFormat="1" ht="16.5" customHeight="1">
      <c r="A60" s="283"/>
      <c r="B60" s="523"/>
      <c r="C60" s="162" t="s">
        <v>167</v>
      </c>
      <c r="D60" s="162"/>
      <c r="E60" s="199"/>
      <c r="F60" s="162"/>
      <c r="G60" s="164"/>
      <c r="H60" s="164"/>
      <c r="I60" s="164"/>
      <c r="J60" s="164"/>
      <c r="K60" s="164"/>
      <c r="L60" s="164"/>
      <c r="M60" s="164"/>
      <c r="N60" s="164"/>
      <c r="O60" s="164"/>
      <c r="P60" s="524"/>
      <c r="Q60" s="283"/>
    </row>
    <row r="61" spans="1:17" s="64" customFormat="1" ht="5.25" customHeight="1">
      <c r="A61" s="283"/>
      <c r="B61" s="523"/>
      <c r="C61" s="162"/>
      <c r="D61" s="162"/>
      <c r="E61" s="199"/>
      <c r="F61" s="162"/>
      <c r="G61" s="164"/>
      <c r="H61" s="164"/>
      <c r="I61" s="164"/>
      <c r="J61" s="164"/>
      <c r="K61" s="164"/>
      <c r="L61" s="164"/>
      <c r="M61" s="164"/>
      <c r="N61" s="164"/>
      <c r="O61" s="164"/>
      <c r="P61" s="524"/>
      <c r="Q61" s="283"/>
    </row>
    <row r="62" spans="1:17" s="64" customFormat="1">
      <c r="A62" s="283"/>
      <c r="B62" s="523"/>
      <c r="C62" s="170" t="s">
        <v>138</v>
      </c>
      <c r="D62" s="162"/>
      <c r="E62" s="355">
        <v>9</v>
      </c>
      <c r="F62" s="162"/>
      <c r="G62" s="367">
        <v>551</v>
      </c>
      <c r="H62" s="202"/>
      <c r="I62" s="203" t="str">
        <f>IF(ISBLANK(Instructions!$D$34),"",IF(Instructions!$D$34="Megalitres (thousand cubic metres)","kilometers","miles"))</f>
        <v>miles</v>
      </c>
      <c r="J62" s="203"/>
      <c r="K62" s="203"/>
      <c r="L62" s="164"/>
      <c r="M62" s="164"/>
      <c r="N62" s="164"/>
      <c r="O62" s="164"/>
      <c r="P62" s="524"/>
      <c r="Q62" s="283"/>
    </row>
    <row r="63" spans="1:17" s="64" customFormat="1">
      <c r="A63" s="283"/>
      <c r="B63" s="523"/>
      <c r="C63" s="170" t="s">
        <v>284</v>
      </c>
      <c r="D63" s="162"/>
      <c r="E63" s="355">
        <v>6</v>
      </c>
      <c r="F63" s="162"/>
      <c r="G63" s="368">
        <v>40933</v>
      </c>
      <c r="H63" s="202"/>
      <c r="I63" s="187"/>
      <c r="J63" s="187"/>
      <c r="K63" s="187"/>
      <c r="L63" s="164"/>
      <c r="M63" s="164"/>
      <c r="N63" s="164"/>
      <c r="O63" s="164"/>
      <c r="P63" s="524"/>
      <c r="Q63" s="283"/>
    </row>
    <row r="64" spans="1:17" s="64" customFormat="1">
      <c r="A64" s="283"/>
      <c r="B64" s="523"/>
      <c r="C64" s="170" t="s">
        <v>388</v>
      </c>
      <c r="D64" s="162"/>
      <c r="E64" s="182"/>
      <c r="F64" s="162"/>
      <c r="G64" s="369">
        <f>IF(ISERROR(G63/G62),"",G63/G62)</f>
        <v>74.288566243194197</v>
      </c>
      <c r="H64" s="164"/>
      <c r="I64" s="203" t="str">
        <f>IF(ISBLANK(Instructions!$D$34),"",IF(Instructions!$D$34="Megalitres (thousand cubic metres)","conn./km","conn./mile")&amp; " main")</f>
        <v>conn./mile main</v>
      </c>
      <c r="J64" s="203"/>
      <c r="K64" s="203"/>
      <c r="L64" s="164"/>
      <c r="M64" s="164"/>
      <c r="N64" s="164"/>
      <c r="O64" s="164"/>
      <c r="P64" s="524"/>
      <c r="Q64" s="283"/>
    </row>
    <row r="65" spans="1:21" s="64" customFormat="1" ht="13.15" customHeight="1">
      <c r="A65" s="283"/>
      <c r="B65" s="523"/>
      <c r="C65" s="677" t="s">
        <v>359</v>
      </c>
      <c r="D65" s="162"/>
      <c r="E65" s="182"/>
      <c r="F65" s="182"/>
      <c r="G65" s="164"/>
      <c r="H65" s="164"/>
      <c r="I65" s="203"/>
      <c r="J65" s="203"/>
      <c r="K65" s="203"/>
      <c r="L65" s="164"/>
      <c r="M65" s="164"/>
      <c r="N65" s="164"/>
      <c r="O65" s="164"/>
      <c r="P65" s="524"/>
      <c r="Q65" s="283"/>
    </row>
    <row r="66" spans="1:21" s="64" customFormat="1" ht="13.15" customHeight="1">
      <c r="A66" s="283"/>
      <c r="B66" s="523"/>
      <c r="C66" s="677"/>
      <c r="D66" s="162"/>
      <c r="E66" s="182"/>
      <c r="F66" s="182"/>
      <c r="G66" s="370" t="s">
        <v>766</v>
      </c>
      <c r="H66" s="164"/>
      <c r="I66" s="203"/>
      <c r="J66" s="203"/>
      <c r="K66" s="203"/>
      <c r="L66" s="164"/>
      <c r="M66" s="164"/>
      <c r="N66" s="164"/>
      <c r="O66" s="164"/>
      <c r="P66" s="524"/>
      <c r="Q66" s="283"/>
      <c r="R66" s="101">
        <f>IF(G66="Yes",1,0)</f>
        <v>0</v>
      </c>
      <c r="S66" s="100" t="s">
        <v>291</v>
      </c>
      <c r="T66" s="100"/>
      <c r="U66" s="100"/>
    </row>
    <row r="67" spans="1:21" s="64" customFormat="1" ht="13.5" customHeight="1">
      <c r="A67" s="283"/>
      <c r="B67" s="523"/>
      <c r="C67" s="204" t="s">
        <v>285</v>
      </c>
      <c r="D67" s="162"/>
      <c r="E67" s="355">
        <v>4</v>
      </c>
      <c r="F67" s="162"/>
      <c r="G67" s="367">
        <v>35</v>
      </c>
      <c r="H67" s="162"/>
      <c r="I67" s="203" t="str">
        <f>IF(ISBLANK(Instructions!$D$34),"",IF(Instructions!D34="Megalitres (thousand cubic metres)","metres","ft"))</f>
        <v>ft</v>
      </c>
      <c r="J67" s="203"/>
      <c r="K67" s="203"/>
      <c r="L67" s="205"/>
      <c r="M67" s="205"/>
      <c r="N67" s="205"/>
      <c r="O67" s="205"/>
      <c r="P67" s="524"/>
      <c r="Q67" s="283"/>
      <c r="R67" s="101">
        <f>IF(G66="Yes",10,E67)</f>
        <v>4</v>
      </c>
      <c r="S67" s="100" t="s">
        <v>292</v>
      </c>
      <c r="T67" s="100"/>
      <c r="U67" s="100"/>
    </row>
    <row r="68" spans="1:21" s="64" customFormat="1" ht="14.45" customHeight="1">
      <c r="A68" s="283"/>
      <c r="B68" s="523"/>
      <c r="C68" s="689" t="str">
        <f>IF(G66="Yes","Average length of customer service line has been set to zero and a data grading score of 10 has been applied","")</f>
        <v/>
      </c>
      <c r="D68" s="689"/>
      <c r="E68" s="689"/>
      <c r="F68" s="689"/>
      <c r="G68" s="689"/>
      <c r="H68" s="689"/>
      <c r="I68" s="689"/>
      <c r="J68" s="689"/>
      <c r="K68" s="689"/>
      <c r="L68" s="689"/>
      <c r="M68" s="205"/>
      <c r="N68" s="205"/>
      <c r="O68" s="205"/>
      <c r="P68" s="524"/>
      <c r="Q68" s="283"/>
      <c r="R68" s="101">
        <f>IF(G66="Yes",0,G67)</f>
        <v>35</v>
      </c>
      <c r="S68" s="100" t="s">
        <v>293</v>
      </c>
      <c r="T68" s="100"/>
      <c r="U68" s="100"/>
    </row>
    <row r="69" spans="1:21" s="64" customFormat="1">
      <c r="A69" s="283"/>
      <c r="B69" s="523"/>
      <c r="C69" s="170" t="s">
        <v>139</v>
      </c>
      <c r="D69" s="162"/>
      <c r="E69" s="355">
        <v>4</v>
      </c>
      <c r="F69" s="162"/>
      <c r="G69" s="367">
        <v>66</v>
      </c>
      <c r="H69" s="206"/>
      <c r="I69" s="203" t="str">
        <f>IF(ISBLANK(Instructions!$D$34),"",IF(Instructions!D34="Megalitres (thousand cubic metres)","metres (head)","psi"))</f>
        <v>psi</v>
      </c>
      <c r="J69" s="203"/>
      <c r="K69" s="203"/>
      <c r="L69" s="164"/>
      <c r="M69" s="517"/>
      <c r="N69" s="164"/>
      <c r="O69" s="164"/>
      <c r="P69" s="524"/>
      <c r="Q69" s="283"/>
    </row>
    <row r="70" spans="1:21" s="64" customFormat="1" ht="3" customHeight="1">
      <c r="A70" s="283"/>
      <c r="B70" s="523"/>
      <c r="C70" s="170"/>
      <c r="D70" s="162"/>
      <c r="E70" s="162"/>
      <c r="F70" s="162"/>
      <c r="G70" s="162"/>
      <c r="H70" s="162"/>
      <c r="I70" s="203"/>
      <c r="J70" s="203"/>
      <c r="K70" s="203"/>
      <c r="L70" s="164"/>
      <c r="M70" s="517"/>
      <c r="N70" s="164"/>
      <c r="O70" s="164"/>
      <c r="P70" s="524"/>
      <c r="Q70" s="283"/>
    </row>
    <row r="71" spans="1:21" s="64" customFormat="1">
      <c r="A71" s="283"/>
      <c r="B71" s="523"/>
      <c r="C71" s="679" t="str">
        <f>IF(ISBLANK(G69),"",IF(OR(AND(R71=1,G69&lt;=25),AND(R71&lt;&gt;1,G69&lt;=40)),"Note: Average pressure this low will not allow for calculation of UARL",""))</f>
        <v/>
      </c>
      <c r="D71" s="679"/>
      <c r="E71" s="679"/>
      <c r="F71" s="679"/>
      <c r="G71" s="679"/>
      <c r="H71" s="679"/>
      <c r="I71" s="679"/>
      <c r="J71" s="679"/>
      <c r="K71" s="679"/>
      <c r="L71" s="679"/>
      <c r="M71" s="207"/>
      <c r="N71" s="164"/>
      <c r="O71" s="164"/>
      <c r="P71" s="524"/>
      <c r="Q71" s="283"/>
      <c r="R71" s="64">
        <f>IF(Instructions!D34="Megalitres (thousand cubic metres)",1,0)</f>
        <v>0</v>
      </c>
    </row>
    <row r="72" spans="1:21" s="64" customFormat="1" ht="2.25" customHeight="1">
      <c r="A72" s="283"/>
      <c r="B72" s="523"/>
      <c r="C72" s="167"/>
      <c r="D72" s="166"/>
      <c r="E72" s="166"/>
      <c r="F72" s="166"/>
      <c r="G72" s="166"/>
      <c r="H72" s="166"/>
      <c r="I72" s="166"/>
      <c r="J72" s="166"/>
      <c r="K72" s="166"/>
      <c r="L72" s="166"/>
      <c r="M72" s="166"/>
      <c r="N72" s="166"/>
      <c r="O72" s="166"/>
      <c r="P72" s="524"/>
      <c r="Q72" s="283"/>
    </row>
    <row r="73" spans="1:21" s="64" customFormat="1" ht="6" customHeight="1">
      <c r="A73" s="283"/>
      <c r="B73" s="523"/>
      <c r="C73" s="162"/>
      <c r="D73" s="162"/>
      <c r="E73" s="199"/>
      <c r="F73" s="162"/>
      <c r="G73" s="164"/>
      <c r="H73" s="164"/>
      <c r="I73" s="164"/>
      <c r="J73" s="164"/>
      <c r="K73" s="164"/>
      <c r="L73" s="164"/>
      <c r="M73" s="164"/>
      <c r="N73" s="164"/>
      <c r="O73" s="164"/>
      <c r="P73" s="524"/>
      <c r="Q73" s="283"/>
    </row>
    <row r="74" spans="1:21" s="64" customFormat="1" ht="13.5" customHeight="1">
      <c r="A74" s="283"/>
      <c r="B74" s="523"/>
      <c r="C74" s="162" t="s">
        <v>72</v>
      </c>
      <c r="D74" s="162"/>
      <c r="E74" s="199"/>
      <c r="F74" s="162"/>
      <c r="G74" s="208"/>
      <c r="H74" s="164"/>
      <c r="I74" s="164"/>
      <c r="J74" s="164"/>
      <c r="K74" s="164"/>
      <c r="L74" s="164"/>
      <c r="M74" s="164"/>
      <c r="N74" s="164"/>
      <c r="O74" s="164"/>
      <c r="P74" s="524"/>
      <c r="Q74" s="283"/>
    </row>
    <row r="75" spans="1:21" s="64" customFormat="1" ht="5.25" customHeight="1">
      <c r="A75" s="283"/>
      <c r="B75" s="523"/>
      <c r="C75" s="162"/>
      <c r="D75" s="162"/>
      <c r="E75" s="199"/>
      <c r="F75" s="162"/>
      <c r="G75" s="164"/>
      <c r="H75" s="164"/>
      <c r="I75" s="164"/>
      <c r="J75" s="164"/>
      <c r="K75" s="164"/>
      <c r="L75" s="164"/>
      <c r="M75" s="164"/>
      <c r="N75" s="164"/>
      <c r="O75" s="164"/>
      <c r="P75" s="524"/>
      <c r="Q75" s="283"/>
    </row>
    <row r="76" spans="1:21" s="64" customFormat="1" ht="14.25" customHeight="1">
      <c r="A76" s="283"/>
      <c r="B76" s="523"/>
      <c r="C76" s="170" t="s">
        <v>140</v>
      </c>
      <c r="D76" s="175"/>
      <c r="E76" s="355">
        <v>10</v>
      </c>
      <c r="F76" s="164"/>
      <c r="G76" s="371">
        <v>20745961</v>
      </c>
      <c r="H76" s="164"/>
      <c r="I76" s="203" t="s">
        <v>76</v>
      </c>
      <c r="J76" s="203"/>
      <c r="K76" s="203"/>
      <c r="L76" s="164"/>
      <c r="M76" s="164"/>
      <c r="N76" s="164"/>
      <c r="O76" s="164"/>
      <c r="P76" s="524"/>
      <c r="Q76" s="283"/>
    </row>
    <row r="77" spans="1:21" s="64" customFormat="1" ht="14.25" customHeight="1">
      <c r="A77" s="283"/>
      <c r="B77" s="523"/>
      <c r="C77" s="170" t="s">
        <v>129</v>
      </c>
      <c r="D77" s="175"/>
      <c r="E77" s="355">
        <v>8</v>
      </c>
      <c r="F77" s="164"/>
      <c r="G77" s="372">
        <v>5.55</v>
      </c>
      <c r="H77" s="164"/>
      <c r="I77" s="681" t="s">
        <v>188</v>
      </c>
      <c r="J77" s="682"/>
      <c r="K77" s="682"/>
      <c r="L77" s="683"/>
      <c r="M77" s="684"/>
      <c r="N77" s="701" t="str">
        <f>IF(AND(NOT(ISBLANK(G77)),ISBLANK(I77)),"&lt;--Enter units","")</f>
        <v/>
      </c>
      <c r="O77" s="701"/>
      <c r="P77" s="524"/>
      <c r="Q77" s="283"/>
      <c r="S77" s="373"/>
      <c r="T77" s="373"/>
      <c r="U77" s="373"/>
    </row>
    <row r="78" spans="1:21" s="64" customFormat="1" ht="13.5" customHeight="1">
      <c r="A78" s="283"/>
      <c r="B78" s="523"/>
      <c r="C78" s="170" t="s">
        <v>130</v>
      </c>
      <c r="D78" s="175"/>
      <c r="E78" s="355">
        <v>4</v>
      </c>
      <c r="F78" s="164"/>
      <c r="G78" s="372">
        <v>346.7</v>
      </c>
      <c r="H78" s="164"/>
      <c r="I78" s="174" t="str">
        <f>"$/"&amp;IF(Instructions!$D$34="million gallons (US)","Million gallons",IF(Instructions!$D$34="Megalitres (thousand cubic metres)","Megalitre",IF(Instructions!$D$34="acre-feet","acre-ft","")))</f>
        <v>$/Million gallons</v>
      </c>
      <c r="J78" s="174"/>
      <c r="K78" s="174"/>
      <c r="L78" s="164"/>
      <c r="M78" s="164"/>
      <c r="N78" s="208"/>
      <c r="O78" s="164"/>
      <c r="P78" s="524"/>
      <c r="Q78" s="283"/>
    </row>
    <row r="79" spans="1:21" s="64" customFormat="1" ht="2.25" customHeight="1">
      <c r="A79" s="283"/>
      <c r="B79" s="523"/>
      <c r="C79" s="162"/>
      <c r="D79" s="162"/>
      <c r="E79" s="209"/>
      <c r="F79" s="162"/>
      <c r="G79" s="164"/>
      <c r="H79" s="164"/>
      <c r="I79" s="164"/>
      <c r="J79" s="164"/>
      <c r="K79" s="164"/>
      <c r="L79" s="164"/>
      <c r="M79" s="164"/>
      <c r="N79" s="164"/>
      <c r="O79" s="164"/>
      <c r="P79" s="524"/>
      <c r="Q79" s="283"/>
    </row>
    <row r="80" spans="1:21" s="64" customFormat="1" ht="13.5" customHeight="1">
      <c r="A80" s="283"/>
      <c r="B80" s="523"/>
      <c r="C80" s="680" t="str">
        <f>IF(OR(ISBLANK(I77),ISBLANK(I78),ISBLANK(G78),ISBLANK(Instructions!D34)),"",IF(G77*INDEX(Sheet1!B2:D4,MATCH(Instructions!D34,Sheet1!A2:A4,0),MATCH(I77,Sheet1!B1:D1,0))/G78&gt;1,"","Retail costs are less than (or equal to) production costs; please review and correct if necessary"))</f>
        <v/>
      </c>
      <c r="D80" s="680"/>
      <c r="E80" s="680"/>
      <c r="F80" s="680"/>
      <c r="G80" s="680"/>
      <c r="H80" s="680"/>
      <c r="I80" s="680"/>
      <c r="J80" s="680"/>
      <c r="K80" s="680"/>
      <c r="L80" s="680"/>
      <c r="M80" s="680"/>
      <c r="N80" s="680"/>
      <c r="O80" s="164"/>
      <c r="P80" s="524"/>
      <c r="Q80" s="283"/>
      <c r="R80" s="64">
        <f>IF(OR(ISBLANK(I77),ISBLANK(I78),ISBLANK(G78)),"",IF(G77*INDEX(Sheet1!B2:D4,MATCH(Instructions!D34,Sheet1!A2:A4,0),MATCH(I77,Sheet1!B1:D1,0))/G78&gt;1,0,1))</f>
        <v>0</v>
      </c>
    </row>
    <row r="81" spans="1:18" s="64" customFormat="1" ht="2.25" customHeight="1">
      <c r="A81" s="283"/>
      <c r="B81" s="523"/>
      <c r="C81" s="167"/>
      <c r="D81" s="167"/>
      <c r="E81" s="168"/>
      <c r="F81" s="167"/>
      <c r="G81" s="166"/>
      <c r="H81" s="166"/>
      <c r="I81" s="166"/>
      <c r="J81" s="166"/>
      <c r="K81" s="166"/>
      <c r="L81" s="166"/>
      <c r="M81" s="166"/>
      <c r="N81" s="166"/>
      <c r="O81" s="166"/>
      <c r="P81" s="524"/>
      <c r="Q81" s="283"/>
    </row>
    <row r="82" spans="1:18" s="64" customFormat="1" ht="6" customHeight="1">
      <c r="A82" s="283"/>
      <c r="B82" s="523"/>
      <c r="C82" s="210"/>
      <c r="D82" s="162"/>
      <c r="E82" s="163"/>
      <c r="F82" s="162"/>
      <c r="G82" s="164"/>
      <c r="H82" s="164"/>
      <c r="I82" s="164"/>
      <c r="J82" s="164"/>
      <c r="K82" s="164"/>
      <c r="L82" s="164"/>
      <c r="M82" s="164"/>
      <c r="N82" s="164"/>
      <c r="O82" s="164"/>
      <c r="P82" s="524"/>
      <c r="Q82" s="283"/>
    </row>
    <row r="83" spans="1:18" s="102" customFormat="1" ht="21" customHeight="1">
      <c r="A83" s="376"/>
      <c r="B83" s="531"/>
      <c r="C83" s="85" t="s">
        <v>286</v>
      </c>
      <c r="D83" s="83"/>
      <c r="E83" s="84"/>
      <c r="F83" s="83"/>
      <c r="G83" s="83"/>
      <c r="H83" s="86"/>
      <c r="I83" s="86"/>
      <c r="J83" s="86"/>
      <c r="K83" s="86"/>
      <c r="L83" s="86"/>
      <c r="M83" s="87"/>
      <c r="N83" s="86"/>
      <c r="O83" s="86"/>
      <c r="P83" s="532"/>
      <c r="Q83" s="376"/>
    </row>
    <row r="84" spans="1:18" s="102" customFormat="1" ht="2.25" customHeight="1">
      <c r="A84" s="376"/>
      <c r="B84" s="531"/>
      <c r="C84" s="85"/>
      <c r="D84" s="83"/>
      <c r="E84" s="84"/>
      <c r="F84" s="83"/>
      <c r="G84" s="83"/>
      <c r="H84" s="86"/>
      <c r="I84" s="86"/>
      <c r="J84" s="86"/>
      <c r="K84" s="86"/>
      <c r="L84" s="86"/>
      <c r="M84" s="87"/>
      <c r="N84" s="86"/>
      <c r="O84" s="86"/>
      <c r="P84" s="532"/>
      <c r="Q84" s="376"/>
    </row>
    <row r="85" spans="1:18" s="103" customFormat="1" ht="22.5" customHeight="1">
      <c r="A85" s="377"/>
      <c r="B85" s="531"/>
      <c r="C85" s="693" t="str">
        <f>IF(ISERROR(GradingAssessment!M24),"",IF(GradingAssessment!M24&lt;=0,"*** YOUR SCORE IS: "&amp;ROUND(GradingAssessment!G24,0)&amp;" out of 100 ***",IF(GradingAssessment!M24&gt;0,"Add a grading value for "&amp;GradingAssessment!M24&amp;" parameter(s) to enable an audit score to be calculated")))</f>
        <v>*** YOUR SCORE IS: 70 out of 100 ***</v>
      </c>
      <c r="D85" s="694"/>
      <c r="E85" s="694"/>
      <c r="F85" s="694"/>
      <c r="G85" s="694"/>
      <c r="H85" s="694"/>
      <c r="I85" s="694"/>
      <c r="J85" s="694"/>
      <c r="K85" s="694"/>
      <c r="L85" s="694"/>
      <c r="M85" s="694"/>
      <c r="N85" s="694"/>
      <c r="O85" s="695"/>
      <c r="P85" s="533"/>
      <c r="Q85" s="377"/>
      <c r="R85" s="131">
        <f>GradingAssessment!M24</f>
        <v>0</v>
      </c>
    </row>
    <row r="86" spans="1:18" s="103" customFormat="1" ht="2.25" customHeight="1">
      <c r="A86" s="377"/>
      <c r="B86" s="531"/>
      <c r="C86" s="516"/>
      <c r="D86" s="88"/>
      <c r="E86" s="84"/>
      <c r="F86" s="89"/>
      <c r="G86" s="88"/>
      <c r="H86" s="90"/>
      <c r="I86" s="90"/>
      <c r="J86" s="90"/>
      <c r="K86" s="90"/>
      <c r="L86" s="90"/>
      <c r="M86" s="91"/>
      <c r="N86" s="90"/>
      <c r="O86" s="90"/>
      <c r="P86" s="533"/>
      <c r="Q86" s="377"/>
      <c r="R86" s="131"/>
    </row>
    <row r="87" spans="1:18" s="103" customFormat="1" ht="19.5" customHeight="1">
      <c r="A87" s="377"/>
      <c r="B87" s="531"/>
      <c r="C87" s="696" t="str">
        <f>IF(ISERROR(GradingAssessment!M24),"",IF(GradingAssessment!M24&lt;=0,"A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87" s="696"/>
      <c r="E87" s="696"/>
      <c r="F87" s="696"/>
      <c r="G87" s="696"/>
      <c r="H87" s="696"/>
      <c r="I87" s="696"/>
      <c r="J87" s="696"/>
      <c r="K87" s="696"/>
      <c r="L87" s="696"/>
      <c r="M87" s="696"/>
      <c r="N87" s="696"/>
      <c r="O87" s="696"/>
      <c r="P87" s="533"/>
      <c r="Q87" s="377"/>
      <c r="R87" s="131"/>
    </row>
    <row r="88" spans="1:18" s="97" customFormat="1" ht="21.75" customHeight="1">
      <c r="A88" s="378"/>
      <c r="B88" s="531"/>
      <c r="C88" s="105" t="s">
        <v>287</v>
      </c>
      <c r="D88" s="697"/>
      <c r="E88" s="698"/>
      <c r="F88" s="698"/>
      <c r="G88" s="698"/>
      <c r="H88" s="698"/>
      <c r="I88" s="698"/>
      <c r="J88" s="698"/>
      <c r="K88" s="698"/>
      <c r="L88" s="698"/>
      <c r="M88" s="698"/>
      <c r="N88" s="698"/>
      <c r="O88" s="698"/>
      <c r="P88" s="534"/>
      <c r="Q88" s="378"/>
    </row>
    <row r="89" spans="1:18" s="97" customFormat="1" ht="19.5" customHeight="1">
      <c r="A89" s="378"/>
      <c r="B89" s="531"/>
      <c r="C89" s="678" t="s">
        <v>237</v>
      </c>
      <c r="D89" s="678"/>
      <c r="E89" s="678"/>
      <c r="F89" s="678"/>
      <c r="G89" s="678"/>
      <c r="H89" s="678"/>
      <c r="I89" s="678"/>
      <c r="J89" s="678"/>
      <c r="K89" s="678"/>
      <c r="L89" s="678"/>
      <c r="M89" s="678"/>
      <c r="N89" s="678"/>
      <c r="O89" s="678"/>
      <c r="P89" s="534"/>
      <c r="Q89" s="378"/>
    </row>
    <row r="90" spans="1:18" s="97" customFormat="1" ht="15" customHeight="1">
      <c r="A90" s="378"/>
      <c r="B90" s="531"/>
      <c r="C90" s="92" t="str">
        <f ca="1">IF(ISERROR(GradingAssessment!M24),"","     1: "&amp;VLOOKUP(1,GradingAssessment!$I$4:$J$23,2,FALSE))</f>
        <v xml:space="preserve">     1: Volume from own sources</v>
      </c>
      <c r="D90" s="80"/>
      <c r="E90" s="81"/>
      <c r="F90" s="80"/>
      <c r="G90" s="82"/>
      <c r="H90" s="82"/>
      <c r="I90" s="82"/>
      <c r="J90" s="82"/>
      <c r="K90" s="82"/>
      <c r="L90" s="82"/>
      <c r="M90" s="82"/>
      <c r="N90" s="82"/>
      <c r="O90" s="82"/>
      <c r="P90" s="534"/>
      <c r="Q90" s="378"/>
    </row>
    <row r="91" spans="1:18" s="97" customFormat="1" ht="5.25" customHeight="1">
      <c r="A91" s="378"/>
      <c r="B91" s="531"/>
      <c r="C91" s="93"/>
      <c r="D91" s="80"/>
      <c r="E91" s="81"/>
      <c r="F91" s="80"/>
      <c r="G91" s="82"/>
      <c r="H91" s="82"/>
      <c r="I91" s="82"/>
      <c r="J91" s="82"/>
      <c r="K91" s="82"/>
      <c r="L91" s="82"/>
      <c r="M91" s="82"/>
      <c r="N91" s="82"/>
      <c r="O91" s="82"/>
      <c r="P91" s="534"/>
      <c r="Q91" s="378"/>
    </row>
    <row r="92" spans="1:18" s="97" customFormat="1" ht="15" customHeight="1">
      <c r="A92" s="378"/>
      <c r="B92" s="531"/>
      <c r="C92" s="92" t="str">
        <f ca="1">IF(ISERROR(GradingAssessment!M24),"","     2: "&amp;VLOOKUP(2,GradingAssessment!$I$4:$J$23,2,FALSE))</f>
        <v xml:space="preserve">     2: Variable production cost (applied to Real Losses)</v>
      </c>
      <c r="D92" s="80"/>
      <c r="E92" s="81"/>
      <c r="F92" s="80"/>
      <c r="G92" s="82"/>
      <c r="H92" s="82"/>
      <c r="I92" s="82"/>
      <c r="J92" s="82"/>
      <c r="K92" s="82"/>
      <c r="L92" s="82"/>
      <c r="M92" s="82"/>
      <c r="N92" s="82"/>
      <c r="O92" s="82"/>
      <c r="P92" s="534"/>
      <c r="Q92" s="378"/>
    </row>
    <row r="93" spans="1:18" s="97" customFormat="1" ht="5.25" customHeight="1">
      <c r="A93" s="378"/>
      <c r="B93" s="531"/>
      <c r="C93" s="93"/>
      <c r="D93" s="80"/>
      <c r="E93" s="81"/>
      <c r="F93" s="80"/>
      <c r="G93" s="82"/>
      <c r="H93" s="82"/>
      <c r="I93" s="82"/>
      <c r="J93" s="82"/>
      <c r="K93" s="82"/>
      <c r="L93" s="82"/>
      <c r="M93" s="82"/>
      <c r="N93" s="82"/>
      <c r="O93" s="82"/>
      <c r="P93" s="534"/>
      <c r="Q93" s="378"/>
    </row>
    <row r="94" spans="1:18" s="97" customFormat="1" ht="15" customHeight="1">
      <c r="A94" s="378"/>
      <c r="B94" s="531"/>
      <c r="C94" s="92" t="str">
        <f ca="1">IF(ISERROR(GradingAssessment!M24),"","     3: "&amp;VLOOKUP(3,GradingAssessment!$I$4:$J$23,2,FALSE))</f>
        <v xml:space="preserve">     3: Customer metering inaccuracies</v>
      </c>
      <c r="D94" s="80"/>
      <c r="E94" s="81"/>
      <c r="F94" s="80"/>
      <c r="G94" s="82"/>
      <c r="H94" s="82"/>
      <c r="I94" s="82"/>
      <c r="J94" s="82"/>
      <c r="K94" s="82"/>
      <c r="L94" s="82"/>
      <c r="M94" s="82"/>
      <c r="N94" s="82"/>
      <c r="O94" s="82"/>
      <c r="P94" s="534"/>
      <c r="Q94" s="378"/>
    </row>
    <row r="95" spans="1:18" s="97" customFormat="1" ht="14.25" customHeight="1" thickBot="1">
      <c r="A95" s="378"/>
      <c r="B95" s="535"/>
      <c r="C95" s="536"/>
      <c r="D95" s="537"/>
      <c r="E95" s="538"/>
      <c r="F95" s="537"/>
      <c r="G95" s="539"/>
      <c r="H95" s="539"/>
      <c r="I95" s="539"/>
      <c r="J95" s="539"/>
      <c r="K95" s="539"/>
      <c r="L95" s="539"/>
      <c r="M95" s="539"/>
      <c r="N95" s="539"/>
      <c r="O95" s="539"/>
      <c r="P95" s="540"/>
      <c r="Q95" s="378"/>
    </row>
    <row r="96" spans="1:18" s="104" customFormat="1" ht="6.6" customHeight="1" thickTop="1">
      <c r="A96" s="379"/>
      <c r="B96" s="379"/>
      <c r="C96" s="379"/>
      <c r="D96" s="379"/>
      <c r="E96" s="383"/>
      <c r="F96" s="379"/>
      <c r="G96" s="379"/>
      <c r="H96" s="379"/>
      <c r="I96" s="379"/>
      <c r="J96" s="379"/>
      <c r="K96" s="379"/>
      <c r="L96" s="379"/>
      <c r="M96" s="379"/>
      <c r="N96" s="379"/>
      <c r="O96" s="379"/>
      <c r="P96" s="379"/>
      <c r="Q96" s="379"/>
    </row>
    <row r="97" spans="1:17" s="104" customFormat="1" ht="16.5" hidden="1">
      <c r="A97" s="379"/>
      <c r="B97" s="82"/>
      <c r="C97" s="82"/>
      <c r="D97" s="82"/>
      <c r="E97" s="94"/>
      <c r="F97" s="82"/>
      <c r="G97" s="82"/>
      <c r="H97" s="82"/>
      <c r="I97" s="82"/>
      <c r="J97" s="82"/>
      <c r="K97" s="82"/>
      <c r="L97" s="82"/>
      <c r="M97" s="82"/>
      <c r="N97" s="82"/>
      <c r="O97" s="82"/>
      <c r="P97" s="82"/>
      <c r="Q97" s="379"/>
    </row>
    <row r="98" spans="1:17" s="104" customFormat="1" ht="16.5" hidden="1">
      <c r="A98" s="379"/>
      <c r="B98" s="82"/>
      <c r="C98" s="82"/>
      <c r="D98" s="82"/>
      <c r="E98" s="94"/>
      <c r="F98" s="82"/>
      <c r="G98" s="82"/>
      <c r="H98" s="82"/>
      <c r="I98" s="82"/>
      <c r="J98" s="82"/>
      <c r="K98" s="82"/>
      <c r="L98" s="82"/>
      <c r="M98" s="82"/>
      <c r="N98" s="82"/>
      <c r="O98" s="82"/>
      <c r="P98" s="82"/>
      <c r="Q98" s="379"/>
    </row>
    <row r="99" spans="1:17" s="104" customFormat="1" ht="16.5" hidden="1">
      <c r="A99" s="379"/>
      <c r="B99" s="82"/>
      <c r="C99" s="82"/>
      <c r="D99" s="82"/>
      <c r="E99" s="94"/>
      <c r="F99" s="82"/>
      <c r="G99" s="82"/>
      <c r="H99" s="82"/>
      <c r="I99" s="82"/>
      <c r="J99" s="82"/>
      <c r="K99" s="82"/>
      <c r="L99" s="82"/>
      <c r="M99" s="82"/>
      <c r="N99" s="82"/>
      <c r="O99" s="82"/>
      <c r="P99" s="82"/>
      <c r="Q99" s="379"/>
    </row>
    <row r="100" spans="1:17" hidden="1">
      <c r="G100" s="75"/>
      <c r="H100" s="75"/>
      <c r="I100" s="75"/>
      <c r="J100" s="75"/>
      <c r="K100" s="75"/>
    </row>
    <row r="129" ht="15" hidden="1" customHeight="1"/>
  </sheetData>
  <sheetProtection password="8B16" sheet="1" objects="1" scenarios="1"/>
  <mergeCells count="30">
    <mergeCell ref="C68:L68"/>
    <mergeCell ref="C65:C66"/>
    <mergeCell ref="B2:P2"/>
    <mergeCell ref="C28:L28"/>
    <mergeCell ref="M35:M36"/>
    <mergeCell ref="N26:O26"/>
    <mergeCell ref="C7:O8"/>
    <mergeCell ref="D5:E5"/>
    <mergeCell ref="G5:H5"/>
    <mergeCell ref="D4:M4"/>
    <mergeCell ref="C32:L32"/>
    <mergeCell ref="C85:O85"/>
    <mergeCell ref="C87:O87"/>
    <mergeCell ref="D88:O88"/>
    <mergeCell ref="N15:O15"/>
    <mergeCell ref="N42:O42"/>
    <mergeCell ref="N77:O77"/>
    <mergeCell ref="N38:O38"/>
    <mergeCell ref="N17:O17"/>
    <mergeCell ref="C45:L45"/>
    <mergeCell ref="C12:G12"/>
    <mergeCell ref="C89:O89"/>
    <mergeCell ref="C71:L71"/>
    <mergeCell ref="C80:N80"/>
    <mergeCell ref="I77:M77"/>
    <mergeCell ref="N16:O16"/>
    <mergeCell ref="D13:J13"/>
    <mergeCell ref="C40:L40"/>
    <mergeCell ref="C49:L49"/>
    <mergeCell ref="N43:O43"/>
  </mergeCells>
  <phoneticPr fontId="0" type="noConversion"/>
  <conditionalFormatting sqref="L9:O9 C9:F9">
    <cfRule type="expression" dxfId="89" priority="67" stopIfTrue="1">
      <formula>E15=""=TRUE</formula>
    </cfRule>
  </conditionalFormatting>
  <conditionalFormatting sqref="N38">
    <cfRule type="expression" dxfId="88" priority="80" stopIfTrue="1">
      <formula>$R$38=1</formula>
    </cfRule>
  </conditionalFormatting>
  <conditionalFormatting sqref="N42:O42">
    <cfRule type="expression" dxfId="87" priority="81" stopIfTrue="1">
      <formula>$R$42=1</formula>
    </cfRule>
  </conditionalFormatting>
  <conditionalFormatting sqref="L38">
    <cfRule type="expression" dxfId="86" priority="82" stopIfTrue="1">
      <formula>$R$38=2</formula>
    </cfRule>
  </conditionalFormatting>
  <conditionalFormatting sqref="G41">
    <cfRule type="expression" dxfId="85" priority="83" stopIfTrue="1">
      <formula>$R$38=2</formula>
    </cfRule>
  </conditionalFormatting>
  <conditionalFormatting sqref="F29">
    <cfRule type="expression" dxfId="84" priority="84" stopIfTrue="1">
      <formula>$R$26=2</formula>
    </cfRule>
  </conditionalFormatting>
  <conditionalFormatting sqref="N26">
    <cfRule type="expression" dxfId="83" priority="85" stopIfTrue="1">
      <formula>$R$26=1</formula>
    </cfRule>
  </conditionalFormatting>
  <conditionalFormatting sqref="L26">
    <cfRule type="expression" dxfId="82" priority="86" stopIfTrue="1">
      <formula>$R$26=2</formula>
    </cfRule>
  </conditionalFormatting>
  <conditionalFormatting sqref="C49:L49">
    <cfRule type="expression" dxfId="81" priority="87" stopIfTrue="1">
      <formula>AND($G$47&gt;=$G$35,($G$47&lt;&gt;0))</formula>
    </cfRule>
  </conditionalFormatting>
  <conditionalFormatting sqref="C71:L71">
    <cfRule type="expression" dxfId="80" priority="88" stopIfTrue="1">
      <formula>OR(AND(NOT(ISBLANK($G$69)),$R$71=1,$G$69&lt;=25),AND(NOT(ISBLANK($G$69)),$R$71&lt;&gt;1,$G$69&lt;=40))</formula>
    </cfRule>
  </conditionalFormatting>
  <conditionalFormatting sqref="C80:N80">
    <cfRule type="expression" dxfId="79" priority="89" stopIfTrue="1">
      <formula>$R$80=1</formula>
    </cfRule>
  </conditionalFormatting>
  <conditionalFormatting sqref="C28:L28">
    <cfRule type="expression" dxfId="78" priority="90" stopIfTrue="1">
      <formula>AND($R$26=2,$N$26&gt;0.125*$G$19)</formula>
    </cfRule>
    <cfRule type="expression" dxfId="77" priority="91" stopIfTrue="1">
      <formula>$R$26=1</formula>
    </cfRule>
    <cfRule type="expression" dxfId="76" priority="92" stopIfTrue="1">
      <formula>AND($R$26=2,$N$26=0)</formula>
    </cfRule>
  </conditionalFormatting>
  <conditionalFormatting sqref="C40:L40">
    <cfRule type="expression" dxfId="75" priority="93" stopIfTrue="1">
      <formula>AND($R$38=2,$N$38&gt;0.025*$G$19)</formula>
    </cfRule>
    <cfRule type="expression" dxfId="74" priority="94" stopIfTrue="1">
      <formula>OR($R$38=1,AND($R38=2,N38=0))</formula>
    </cfRule>
  </conditionalFormatting>
  <conditionalFormatting sqref="N77:O77">
    <cfRule type="expression" dxfId="73" priority="96" stopIfTrue="1">
      <formula>AND(NOT(ISBLANK($G$77)),ISBLANK($I$77))</formula>
    </cfRule>
  </conditionalFormatting>
  <conditionalFormatting sqref="L42">
    <cfRule type="expression" dxfId="72" priority="100" stopIfTrue="1">
      <formula>$R$42=2</formula>
    </cfRule>
    <cfRule type="expression" dxfId="71" priority="101" stopIfTrue="1">
      <formula>AND($R$42=1,ISBLANK(L42))</formula>
    </cfRule>
  </conditionalFormatting>
  <conditionalFormatting sqref="C45:L45">
    <cfRule type="expression" dxfId="70" priority="7" stopIfTrue="1">
      <formula>$R$43=1</formula>
    </cfRule>
    <cfRule type="expression" dxfId="69" priority="108" stopIfTrue="1">
      <formula>AND(NOT($E$43="n/a"),OR(ISBLANK($G$43),$G$43=0),$G$19&lt;&gt;0)</formula>
    </cfRule>
  </conditionalFormatting>
  <conditionalFormatting sqref="K9">
    <cfRule type="expression" dxfId="68" priority="111" stopIfTrue="1">
      <formula>N15=""=TRUE</formula>
    </cfRule>
  </conditionalFormatting>
  <conditionalFormatting sqref="H9:J9">
    <cfRule type="expression" dxfId="67" priority="114" stopIfTrue="1">
      <formula>L15=""=TRUE</formula>
    </cfRule>
  </conditionalFormatting>
  <conditionalFormatting sqref="L17">
    <cfRule type="expression" dxfId="66" priority="53" stopIfTrue="1">
      <formula>R17=2</formula>
    </cfRule>
  </conditionalFormatting>
  <conditionalFormatting sqref="N17:O17">
    <cfRule type="expression" dxfId="65" priority="52" stopIfTrue="1">
      <formula>$R$17=1</formula>
    </cfRule>
  </conditionalFormatting>
  <conditionalFormatting sqref="L16">
    <cfRule type="expression" dxfId="64" priority="51" stopIfTrue="1">
      <formula>R16=2</formula>
    </cfRule>
  </conditionalFormatting>
  <conditionalFormatting sqref="L15">
    <cfRule type="expression" dxfId="63" priority="50" stopIfTrue="1">
      <formula>R15=2</formula>
    </cfRule>
  </conditionalFormatting>
  <conditionalFormatting sqref="N16:O16">
    <cfRule type="expression" dxfId="62" priority="49" stopIfTrue="1">
      <formula>$R$16=1</formula>
    </cfRule>
  </conditionalFormatting>
  <conditionalFormatting sqref="N15:O15">
    <cfRule type="expression" dxfId="61" priority="48" stopIfTrue="1">
      <formula>$R$15=1</formula>
    </cfRule>
  </conditionalFormatting>
  <conditionalFormatting sqref="F86">
    <cfRule type="expression" dxfId="60" priority="43" stopIfTrue="1">
      <formula>"B106=0"</formula>
    </cfRule>
  </conditionalFormatting>
  <conditionalFormatting sqref="A85:A87 P85:IV87 D86 G86:O86">
    <cfRule type="expression" dxfId="59" priority="44" stopIfTrue="1">
      <formula>"M22=0"</formula>
    </cfRule>
  </conditionalFormatting>
  <conditionalFormatting sqref="G9">
    <cfRule type="expression" dxfId="58" priority="132" stopIfTrue="1">
      <formula>G12=""=TRUE</formula>
    </cfRule>
  </conditionalFormatting>
  <conditionalFormatting sqref="L43">
    <cfRule type="expression" dxfId="57" priority="19" stopIfTrue="1">
      <formula>$R$43=2</formula>
    </cfRule>
  </conditionalFormatting>
  <conditionalFormatting sqref="N43">
    <cfRule type="expression" dxfId="56" priority="18" stopIfTrue="1">
      <formula>$R$43=1</formula>
    </cfRule>
  </conditionalFormatting>
  <conditionalFormatting sqref="J15 L15 N15">
    <cfRule type="expression" dxfId="55" priority="16" stopIfTrue="1">
      <formula>$G$15&lt;=0</formula>
    </cfRule>
  </conditionalFormatting>
  <conditionalFormatting sqref="J16 L16 N16">
    <cfRule type="expression" dxfId="54" priority="15" stopIfTrue="1">
      <formula>$G$16&lt;=0</formula>
    </cfRule>
  </conditionalFormatting>
  <conditionalFormatting sqref="J17 L17 N17">
    <cfRule type="expression" dxfId="53" priority="13" stopIfTrue="1">
      <formula>$G$17&lt;=0</formula>
    </cfRule>
  </conditionalFormatting>
  <conditionalFormatting sqref="C67">
    <cfRule type="expression" dxfId="52" priority="136" stopIfTrue="1">
      <formula>$R$66=1</formula>
    </cfRule>
  </conditionalFormatting>
  <conditionalFormatting sqref="E67 I67">
    <cfRule type="expression" dxfId="51" priority="134" stopIfTrue="1">
      <formula>$G$66="Yes"</formula>
    </cfRule>
  </conditionalFormatting>
  <conditionalFormatting sqref="G67">
    <cfRule type="expression" dxfId="50" priority="5" stopIfTrue="1">
      <formula>$G$66="Yes"</formula>
    </cfRule>
  </conditionalFormatting>
  <conditionalFormatting sqref="E26">
    <cfRule type="expression" dxfId="49" priority="4">
      <formula>OR(R26=1,AND(R26=2,N26=0))</formula>
    </cfRule>
  </conditionalFormatting>
  <conditionalFormatting sqref="E38">
    <cfRule type="expression" dxfId="48" priority="3" stopIfTrue="1">
      <formula>OR(R38=1,AND(R38=2,N38=0))</formula>
    </cfRule>
  </conditionalFormatting>
  <conditionalFormatting sqref="E43">
    <cfRule type="expression" dxfId="47" priority="2" stopIfTrue="1">
      <formula>$R$43=1</formula>
    </cfRule>
  </conditionalFormatting>
  <dataValidations xWindow="926" yWindow="772" count="18">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0CC99B28-DF4B-4271-9F97-89B67C956085}">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0B55F4ED-388F-4023-875D-FFB95289E77C}">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7:M77" xr:uid="{6E0A6F29-7828-47B1-9015-DFF7CC77150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H67 N42:O42" xr:uid="{4CE29035-37AE-4890-9E42-75C387C97B89}">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L42:L43" xr:uid="{4F0EA973-8B8F-40CC-A0B7-49B595F8FCE4}">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N38:O38" xr:uid="{9E21AB1D-1E45-4E30-8AF9-E28813E47215}">
      <formula1>0</formula1>
      <formula2>G19</formula2>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N26:O26" xr:uid="{4DB7777B-A08E-4D28-93FD-D4E18D00D80F}">
      <formula1>0</formula1>
    </dataValidation>
    <dataValidation type="list" allowBlank="1" showInputMessage="1" showErrorMessage="1" errorTitle="Component Grading" error="Please restrict your entry to 0 - 10. See the comment box attached to this cell or Grading Matrix worksheet for more information" sqref="E23:E25 E42 J15:J17 E15:E17 E77" xr:uid="{18D4855C-D5C4-49AA-8CB9-70CE3C6A97B6}">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9 E43 E67 E76 E78" xr:uid="{0EFD59FA-2639-486E-8814-AF48542EF99C}">
      <formula1>"1,2,3,4,5,6,7,8,9,10"</formula1>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23:G25 G62:G63 G16:G17" xr:uid="{3F5D1E2C-B205-40DD-B796-0F55ADBFD59D}">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G43" xr:uid="{9992D2D2-EFAE-4DF9-9EBA-3038047739AA}">
      <formula1>-1E+25</formula1>
    </dataValidation>
    <dataValidation type="decimal" errorStyle="warning" operator="lessThanOrEqual" allowBlank="1" showErrorMessage="1" errorTitle="Customer Service Lines" error="The value you entered is greater than an assumed maximum reasonable value." sqref="G67" xr:uid="{42880CD9-AF13-467F-AFEB-01D4660F45EE}">
      <formula1>100</formula1>
    </dataValidation>
    <dataValidation type="decimal" errorStyle="warning" operator="lessThanOrEqual" allowBlank="1" showErrorMessage="1" errorTitle="Average Operating Pressure" error="The value you entered is greater than an assumed maximum reasonable value." sqref="G69" xr:uid="{214CE7DE-A9AE-4D0E-9D79-47D38CF0D747}">
      <formula1>200</formula1>
    </dataValidation>
    <dataValidation type="decimal" allowBlank="1" showInputMessage="1" showErrorMessage="1" sqref="N15:O17" xr:uid="{4703DBE1-0B0B-42AF-B7F9-DDA05A2AE7FC}">
      <formula1>-999999999</formula1>
      <formula2>999999999</formula2>
    </dataValidation>
    <dataValidation type="list" errorStyle="warning" operator="lessThanOrEqual" allowBlank="1" showErrorMessage="1" errorTitle="Average Operating Pressure" error="The value you entered is greater than an assumed maximum reasonable value." sqref="G66" xr:uid="{0733B43E-383E-46B1-9EB7-78CB4FF1C793}">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N43:O43" xr:uid="{7051A849-41CF-45DD-B547-B102EF457F59}">
      <formula1>0</formula1>
      <formula2>G19</formula2>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15" xr:uid="{47A5E9B0-74D7-40D4-8DF8-A9A739E97C7A}">
      <formula1>0</formula1>
      <formula2>1000000</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G76:G78" xr:uid="{4C427153-60ED-467F-93E2-9D9344A54E0D}">
      <formula1>0</formula1>
    </dataValidation>
  </dataValidations>
  <printOptions horizontalCentered="1" verticalCentered="1" gridLines="1"/>
  <pageMargins left="0.35" right="0.35" top="0.49" bottom="0.42" header="0.22" footer="0.22"/>
  <pageSetup scale="64" orientation="portrait" horizontalDpi="1200" r:id="rId1"/>
  <headerFooter alignWithMargins="0">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118" r:id="rId4" name="Group Box 902">
              <controlPr defaultSize="0" autoFill="0" autoPict="0">
                <anchor moveWithCells="1" sizeWithCells="1">
                  <from>
                    <xdr:col>12</xdr:col>
                    <xdr:colOff>9525</xdr:colOff>
                    <xdr:row>14</xdr:row>
                    <xdr:rowOff>0</xdr:rowOff>
                  </from>
                  <to>
                    <xdr:col>12</xdr:col>
                    <xdr:colOff>590550</xdr:colOff>
                    <xdr:row>15</xdr:row>
                    <xdr:rowOff>0</xdr:rowOff>
                  </to>
                </anchor>
              </controlPr>
            </control>
          </mc:Choice>
        </mc:AlternateContent>
        <mc:AlternateContent xmlns:mc="http://schemas.openxmlformats.org/markup-compatibility/2006">
          <mc:Choice Requires="x14">
            <control shapeId="10119" r:id="rId5" name="Option Button 903">
              <controlPr defaultSize="0" autoFill="0" autoLine="0" autoPict="0">
                <anchor moveWithCells="1" sizeWithCells="1">
                  <from>
                    <xdr:col>12</xdr:col>
                    <xdr:colOff>47625</xdr:colOff>
                    <xdr:row>14</xdr:row>
                    <xdr:rowOff>19050</xdr:rowOff>
                  </from>
                  <to>
                    <xdr:col>12</xdr:col>
                    <xdr:colOff>333375</xdr:colOff>
                    <xdr:row>14</xdr:row>
                    <xdr:rowOff>152400</xdr:rowOff>
                  </to>
                </anchor>
              </controlPr>
            </control>
          </mc:Choice>
        </mc:AlternateContent>
        <mc:AlternateContent xmlns:mc="http://schemas.openxmlformats.org/markup-compatibility/2006">
          <mc:Choice Requires="x14">
            <control shapeId="10120" r:id="rId6" name="Option Button 904">
              <controlPr defaultSize="0" autoFill="0" autoLine="0" autoPict="0">
                <anchor moveWithCells="1" sizeWithCells="1">
                  <from>
                    <xdr:col>12</xdr:col>
                    <xdr:colOff>304800</xdr:colOff>
                    <xdr:row>14</xdr:row>
                    <xdr:rowOff>19050</xdr:rowOff>
                  </from>
                  <to>
                    <xdr:col>12</xdr:col>
                    <xdr:colOff>590550</xdr:colOff>
                    <xdr:row>14</xdr:row>
                    <xdr:rowOff>152400</xdr:rowOff>
                  </to>
                </anchor>
              </controlPr>
            </control>
          </mc:Choice>
        </mc:AlternateContent>
        <mc:AlternateContent xmlns:mc="http://schemas.openxmlformats.org/markup-compatibility/2006">
          <mc:Choice Requires="x14">
            <control shapeId="10122" r:id="rId7" name="Group Box 906">
              <controlPr defaultSize="0" autoFill="0" autoPict="0">
                <anchor moveWithCells="1" sizeWithCells="1">
                  <from>
                    <xdr:col>12</xdr:col>
                    <xdr:colOff>9525</xdr:colOff>
                    <xdr:row>15</xdr:row>
                    <xdr:rowOff>0</xdr:rowOff>
                  </from>
                  <to>
                    <xdr:col>12</xdr:col>
                    <xdr:colOff>590550</xdr:colOff>
                    <xdr:row>16</xdr:row>
                    <xdr:rowOff>0</xdr:rowOff>
                  </to>
                </anchor>
              </controlPr>
            </control>
          </mc:Choice>
        </mc:AlternateContent>
        <mc:AlternateContent xmlns:mc="http://schemas.openxmlformats.org/markup-compatibility/2006">
          <mc:Choice Requires="x14">
            <control shapeId="10123" r:id="rId8" name="Option Button 907">
              <controlPr defaultSize="0" autoFill="0" autoLine="0" autoPict="0">
                <anchor moveWithCells="1" sizeWithCells="1">
                  <from>
                    <xdr:col>12</xdr:col>
                    <xdr:colOff>47625</xdr:colOff>
                    <xdr:row>15</xdr:row>
                    <xdr:rowOff>19050</xdr:rowOff>
                  </from>
                  <to>
                    <xdr:col>12</xdr:col>
                    <xdr:colOff>333375</xdr:colOff>
                    <xdr:row>15</xdr:row>
                    <xdr:rowOff>152400</xdr:rowOff>
                  </to>
                </anchor>
              </controlPr>
            </control>
          </mc:Choice>
        </mc:AlternateContent>
        <mc:AlternateContent xmlns:mc="http://schemas.openxmlformats.org/markup-compatibility/2006">
          <mc:Choice Requires="x14">
            <control shapeId="10124" r:id="rId9" name="Option Button 908">
              <controlPr defaultSize="0" autoFill="0" autoLine="0" autoPict="0">
                <anchor moveWithCells="1" sizeWithCells="1">
                  <from>
                    <xdr:col>12</xdr:col>
                    <xdr:colOff>304800</xdr:colOff>
                    <xdr:row>15</xdr:row>
                    <xdr:rowOff>19050</xdr:rowOff>
                  </from>
                  <to>
                    <xdr:col>12</xdr:col>
                    <xdr:colOff>590550</xdr:colOff>
                    <xdr:row>15</xdr:row>
                    <xdr:rowOff>152400</xdr:rowOff>
                  </to>
                </anchor>
              </controlPr>
            </control>
          </mc:Choice>
        </mc:AlternateContent>
        <mc:AlternateContent xmlns:mc="http://schemas.openxmlformats.org/markup-compatibility/2006">
          <mc:Choice Requires="x14">
            <control shapeId="10126" r:id="rId10" name="Group Box 910">
              <controlPr defaultSize="0" autoFill="0" autoPict="0">
                <anchor moveWithCells="1" sizeWithCells="1">
                  <from>
                    <xdr:col>12</xdr:col>
                    <xdr:colOff>9525</xdr:colOff>
                    <xdr:row>16</xdr:row>
                    <xdr:rowOff>0</xdr:rowOff>
                  </from>
                  <to>
                    <xdr:col>12</xdr:col>
                    <xdr:colOff>590550</xdr:colOff>
                    <xdr:row>17</xdr:row>
                    <xdr:rowOff>0</xdr:rowOff>
                  </to>
                </anchor>
              </controlPr>
            </control>
          </mc:Choice>
        </mc:AlternateContent>
        <mc:AlternateContent xmlns:mc="http://schemas.openxmlformats.org/markup-compatibility/2006">
          <mc:Choice Requires="x14">
            <control shapeId="10127" r:id="rId11" name="Option Button 911">
              <controlPr defaultSize="0" autoFill="0" autoLine="0" autoPict="0">
                <anchor moveWithCells="1" sizeWithCells="1">
                  <from>
                    <xdr:col>12</xdr:col>
                    <xdr:colOff>47625</xdr:colOff>
                    <xdr:row>16</xdr:row>
                    <xdr:rowOff>19050</xdr:rowOff>
                  </from>
                  <to>
                    <xdr:col>12</xdr:col>
                    <xdr:colOff>333375</xdr:colOff>
                    <xdr:row>16</xdr:row>
                    <xdr:rowOff>152400</xdr:rowOff>
                  </to>
                </anchor>
              </controlPr>
            </control>
          </mc:Choice>
        </mc:AlternateContent>
        <mc:AlternateContent xmlns:mc="http://schemas.openxmlformats.org/markup-compatibility/2006">
          <mc:Choice Requires="x14">
            <control shapeId="10128" r:id="rId12" name="Option Button 912">
              <controlPr defaultSize="0" autoFill="0" autoLine="0" autoPict="0">
                <anchor moveWithCells="1" sizeWithCells="1">
                  <from>
                    <xdr:col>12</xdr:col>
                    <xdr:colOff>304800</xdr:colOff>
                    <xdr:row>16</xdr:row>
                    <xdr:rowOff>19050</xdr:rowOff>
                  </from>
                  <to>
                    <xdr:col>12</xdr:col>
                    <xdr:colOff>590550</xdr:colOff>
                    <xdr:row>16</xdr:row>
                    <xdr:rowOff>152400</xdr:rowOff>
                  </to>
                </anchor>
              </controlPr>
            </control>
          </mc:Choice>
        </mc:AlternateContent>
        <mc:AlternateContent xmlns:mc="http://schemas.openxmlformats.org/markup-compatibility/2006">
          <mc:Choice Requires="x14">
            <control shapeId="788685" r:id="rId13" name="Check Box 18637">
              <controlPr defaultSize="0" autoFill="0" autoLine="0" autoPict="0">
                <anchor moveWithCells="1">
                  <from>
                    <xdr:col>8</xdr:col>
                    <xdr:colOff>981075</xdr:colOff>
                    <xdr:row>77</xdr:row>
                    <xdr:rowOff>28575</xdr:rowOff>
                  </from>
                  <to>
                    <xdr:col>14</xdr:col>
                    <xdr:colOff>19050</xdr:colOff>
                    <xdr:row>78</xdr:row>
                    <xdr:rowOff>9525</xdr:rowOff>
                  </to>
                </anchor>
              </controlPr>
            </control>
          </mc:Choice>
        </mc:AlternateContent>
        <mc:AlternateContent xmlns:mc="http://schemas.openxmlformats.org/markup-compatibility/2006">
          <mc:Choice Requires="x14">
            <control shapeId="819594" r:id="rId14" name="Option Button 19850">
              <controlPr defaultSize="0" autoFill="0" autoLine="0" autoPict="0">
                <anchor moveWithCells="1" sizeWithCells="1">
                  <from>
                    <xdr:col>12</xdr:col>
                    <xdr:colOff>66675</xdr:colOff>
                    <xdr:row>42</xdr:row>
                    <xdr:rowOff>19050</xdr:rowOff>
                  </from>
                  <to>
                    <xdr:col>12</xdr:col>
                    <xdr:colOff>257175</xdr:colOff>
                    <xdr:row>43</xdr:row>
                    <xdr:rowOff>0</xdr:rowOff>
                  </to>
                </anchor>
              </controlPr>
            </control>
          </mc:Choice>
        </mc:AlternateContent>
        <mc:AlternateContent xmlns:mc="http://schemas.openxmlformats.org/markup-compatibility/2006">
          <mc:Choice Requires="x14">
            <control shapeId="819595" r:id="rId15" name="Option Button 19851">
              <controlPr defaultSize="0" autoFill="0" autoLine="0" autoPict="0">
                <anchor moveWithCells="1" sizeWithCells="1">
                  <from>
                    <xdr:col>12</xdr:col>
                    <xdr:colOff>314325</xdr:colOff>
                    <xdr:row>42</xdr:row>
                    <xdr:rowOff>19050</xdr:rowOff>
                  </from>
                  <to>
                    <xdr:col>12</xdr:col>
                    <xdr:colOff>457200</xdr:colOff>
                    <xdr:row>43</xdr:row>
                    <xdr:rowOff>0</xdr:rowOff>
                  </to>
                </anchor>
              </controlPr>
            </control>
          </mc:Choice>
        </mc:AlternateContent>
        <mc:AlternateContent xmlns:mc="http://schemas.openxmlformats.org/markup-compatibility/2006">
          <mc:Choice Requires="x14">
            <control shapeId="9416" r:id="rId16" name="Group Box 200">
              <controlPr defaultSize="0" autoFill="0" autoPict="0">
                <anchor moveWithCells="1" sizeWithCells="1">
                  <from>
                    <xdr:col>12</xdr:col>
                    <xdr:colOff>9525</xdr:colOff>
                    <xdr:row>25</xdr:row>
                    <xdr:rowOff>0</xdr:rowOff>
                  </from>
                  <to>
                    <xdr:col>12</xdr:col>
                    <xdr:colOff>590550</xdr:colOff>
                    <xdr:row>26</xdr:row>
                    <xdr:rowOff>0</xdr:rowOff>
                  </to>
                </anchor>
              </controlPr>
            </control>
          </mc:Choice>
        </mc:AlternateContent>
        <mc:AlternateContent xmlns:mc="http://schemas.openxmlformats.org/markup-compatibility/2006">
          <mc:Choice Requires="x14">
            <control shapeId="9417" r:id="rId17" name="Option Button 201">
              <controlPr defaultSize="0" autoFill="0" autoLine="0" autoPict="0">
                <anchor moveWithCells="1" sizeWithCells="1">
                  <from>
                    <xdr:col>12</xdr:col>
                    <xdr:colOff>57150</xdr:colOff>
                    <xdr:row>25</xdr:row>
                    <xdr:rowOff>28575</xdr:rowOff>
                  </from>
                  <to>
                    <xdr:col>12</xdr:col>
                    <xdr:colOff>342900</xdr:colOff>
                    <xdr:row>25</xdr:row>
                    <xdr:rowOff>180975</xdr:rowOff>
                  </to>
                </anchor>
              </controlPr>
            </control>
          </mc:Choice>
        </mc:AlternateContent>
        <mc:AlternateContent xmlns:mc="http://schemas.openxmlformats.org/markup-compatibility/2006">
          <mc:Choice Requires="x14">
            <control shapeId="9418" r:id="rId18" name="Option Button 202">
              <controlPr defaultSize="0" autoFill="0" autoLine="0" autoPict="0">
                <anchor moveWithCells="1" sizeWithCells="1">
                  <from>
                    <xdr:col>12</xdr:col>
                    <xdr:colOff>304800</xdr:colOff>
                    <xdr:row>25</xdr:row>
                    <xdr:rowOff>28575</xdr:rowOff>
                  </from>
                  <to>
                    <xdr:col>12</xdr:col>
                    <xdr:colOff>590550</xdr:colOff>
                    <xdr:row>25</xdr:row>
                    <xdr:rowOff>180975</xdr:rowOff>
                  </to>
                </anchor>
              </controlPr>
            </control>
          </mc:Choice>
        </mc:AlternateContent>
        <mc:AlternateContent xmlns:mc="http://schemas.openxmlformats.org/markup-compatibility/2006">
          <mc:Choice Requires="x14">
            <control shapeId="9411" r:id="rId19" name="Group Box 195">
              <controlPr defaultSize="0" autoFill="0" autoPict="0">
                <anchor moveWithCells="1" sizeWithCells="1">
                  <from>
                    <xdr:col>12</xdr:col>
                    <xdr:colOff>0</xdr:colOff>
                    <xdr:row>40</xdr:row>
                    <xdr:rowOff>19050</xdr:rowOff>
                  </from>
                  <to>
                    <xdr:col>13</xdr:col>
                    <xdr:colOff>0</xdr:colOff>
                    <xdr:row>41</xdr:row>
                    <xdr:rowOff>180975</xdr:rowOff>
                  </to>
                </anchor>
              </controlPr>
            </control>
          </mc:Choice>
        </mc:AlternateContent>
        <mc:AlternateContent xmlns:mc="http://schemas.openxmlformats.org/markup-compatibility/2006">
          <mc:Choice Requires="x14">
            <control shapeId="9412" r:id="rId20" name="Option Button 196">
              <controlPr defaultSize="0" autoFill="0" autoLine="0" autoPict="0">
                <anchor moveWithCells="1" sizeWithCells="1">
                  <from>
                    <xdr:col>12</xdr:col>
                    <xdr:colOff>47625</xdr:colOff>
                    <xdr:row>41</xdr:row>
                    <xdr:rowOff>19050</xdr:rowOff>
                  </from>
                  <to>
                    <xdr:col>12</xdr:col>
                    <xdr:colOff>342900</xdr:colOff>
                    <xdr:row>41</xdr:row>
                    <xdr:rowOff>171450</xdr:rowOff>
                  </to>
                </anchor>
              </controlPr>
            </control>
          </mc:Choice>
        </mc:AlternateContent>
        <mc:AlternateContent xmlns:mc="http://schemas.openxmlformats.org/markup-compatibility/2006">
          <mc:Choice Requires="x14">
            <control shapeId="9413" r:id="rId21" name="Option Button 197">
              <controlPr defaultSize="0" autoFill="0" autoLine="0" autoPict="0">
                <anchor moveWithCells="1" sizeWithCells="1">
                  <from>
                    <xdr:col>12</xdr:col>
                    <xdr:colOff>304800</xdr:colOff>
                    <xdr:row>41</xdr:row>
                    <xdr:rowOff>19050</xdr:rowOff>
                  </from>
                  <to>
                    <xdr:col>13</xdr:col>
                    <xdr:colOff>0</xdr:colOff>
                    <xdr:row>41</xdr:row>
                    <xdr:rowOff>171450</xdr:rowOff>
                  </to>
                </anchor>
              </controlPr>
            </control>
          </mc:Choice>
        </mc:AlternateContent>
        <mc:AlternateContent xmlns:mc="http://schemas.openxmlformats.org/markup-compatibility/2006">
          <mc:Choice Requires="x14">
            <control shapeId="9399" r:id="rId22" name="Group Box 183">
              <controlPr defaultSize="0" autoFill="0" autoPict="0">
                <anchor moveWithCells="1" sizeWithCells="1">
                  <from>
                    <xdr:col>12</xdr:col>
                    <xdr:colOff>9525</xdr:colOff>
                    <xdr:row>37</xdr:row>
                    <xdr:rowOff>0</xdr:rowOff>
                  </from>
                  <to>
                    <xdr:col>12</xdr:col>
                    <xdr:colOff>590550</xdr:colOff>
                    <xdr:row>38</xdr:row>
                    <xdr:rowOff>0</xdr:rowOff>
                  </to>
                </anchor>
              </controlPr>
            </control>
          </mc:Choice>
        </mc:AlternateContent>
        <mc:AlternateContent xmlns:mc="http://schemas.openxmlformats.org/markup-compatibility/2006">
          <mc:Choice Requires="x14">
            <control shapeId="9401" r:id="rId23" name="Option Button 185">
              <controlPr defaultSize="0" autoFill="0" autoLine="0" autoPict="0">
                <anchor moveWithCells="1" sizeWithCells="1">
                  <from>
                    <xdr:col>12</xdr:col>
                    <xdr:colOff>57150</xdr:colOff>
                    <xdr:row>37</xdr:row>
                    <xdr:rowOff>28575</xdr:rowOff>
                  </from>
                  <to>
                    <xdr:col>12</xdr:col>
                    <xdr:colOff>342900</xdr:colOff>
                    <xdr:row>37</xdr:row>
                    <xdr:rowOff>180975</xdr:rowOff>
                  </to>
                </anchor>
              </controlPr>
            </control>
          </mc:Choice>
        </mc:AlternateContent>
        <mc:AlternateContent xmlns:mc="http://schemas.openxmlformats.org/markup-compatibility/2006">
          <mc:Choice Requires="x14">
            <control shapeId="9402" r:id="rId24" name="Option Button 186">
              <controlPr defaultSize="0" autoFill="0" autoLine="0" autoPict="0">
                <anchor moveWithCells="1" sizeWithCells="1">
                  <from>
                    <xdr:col>12</xdr:col>
                    <xdr:colOff>304800</xdr:colOff>
                    <xdr:row>37</xdr:row>
                    <xdr:rowOff>28575</xdr:rowOff>
                  </from>
                  <to>
                    <xdr:col>12</xdr:col>
                    <xdr:colOff>590550</xdr:colOff>
                    <xdr:row>37</xdr:row>
                    <xdr:rowOff>180975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B754A-1FF2-4241-A8A2-B936E78D04F6}">
  <sheetPr codeName="Sheet16">
    <tabColor theme="3" tint="0.79998168889431442"/>
    <pageSetUpPr fitToPage="1"/>
  </sheetPr>
  <dimension ref="A1:Z192"/>
  <sheetViews>
    <sheetView showGridLines="0" showRowColHeaders="0" zoomScaleNormal="100" workbookViewId="0">
      <pane xSplit="1" ySplit="9" topLeftCell="B10" activePane="bottomRight" state="frozen"/>
      <selection pane="topRight" activeCell="B1" sqref="B1"/>
      <selection pane="bottomLeft" activeCell="A10" sqref="A10"/>
      <selection pane="bottomRight" activeCell="G5" sqref="G5:H5"/>
    </sheetView>
  </sheetViews>
  <sheetFormatPr defaultColWidth="0" defaultRowHeight="0" customHeight="1" zeroHeight="1"/>
  <cols>
    <col min="1" max="1" width="1" style="110" customWidth="1"/>
    <col min="2" max="2" width="1.85546875" style="110" customWidth="1"/>
    <col min="3" max="3" width="57.85546875" style="110" customWidth="1"/>
    <col min="4" max="4" width="6.28515625" style="110" customWidth="1"/>
    <col min="5" max="5" width="3.5703125" style="127" customWidth="1"/>
    <col min="6" max="6" width="0.7109375" style="110" customWidth="1"/>
    <col min="7" max="7" width="17.85546875" style="110" customWidth="1"/>
    <col min="8" max="8" width="1" style="110" customWidth="1"/>
    <col min="9" max="9" width="21.85546875" style="110" customWidth="1"/>
    <col min="10" max="10" width="3.5703125" style="110" customWidth="1"/>
    <col min="11" max="11" width="0.7109375" style="110" customWidth="1"/>
    <col min="12" max="12" width="6.7109375" style="110" customWidth="1"/>
    <col min="13" max="13" width="9" style="110" customWidth="1"/>
    <col min="14" max="14" width="10.7109375" style="110" customWidth="1"/>
    <col min="15" max="15" width="8.5703125" style="110" customWidth="1"/>
    <col min="16" max="16" width="3.28515625" style="110" customWidth="1"/>
    <col min="17" max="17" width="1.28515625" style="128" customWidth="1"/>
    <col min="18" max="18" width="12.140625" style="128" hidden="1" customWidth="1"/>
    <col min="19" max="26" width="8.85546875" style="128" hidden="1" customWidth="1"/>
    <col min="27" max="16384" width="8.85546875" style="129" hidden="1"/>
  </cols>
  <sheetData>
    <row r="1" spans="1:26" s="107" customFormat="1" ht="6.75" customHeight="1" thickBot="1">
      <c r="A1" s="449">
        <v>0</v>
      </c>
      <c r="B1" s="449"/>
      <c r="C1" s="449"/>
      <c r="D1" s="449"/>
      <c r="E1" s="450"/>
      <c r="F1" s="449"/>
      <c r="G1" s="449"/>
      <c r="H1" s="449"/>
      <c r="I1" s="449"/>
      <c r="J1" s="449"/>
      <c r="K1" s="449"/>
      <c r="L1" s="449"/>
      <c r="M1" s="449"/>
      <c r="N1" s="449"/>
      <c r="O1" s="449"/>
      <c r="P1" s="449"/>
      <c r="Q1" s="449"/>
      <c r="R1" s="106"/>
      <c r="S1" s="106"/>
      <c r="T1" s="106"/>
      <c r="U1" s="106"/>
      <c r="V1" s="106"/>
      <c r="W1" s="106"/>
      <c r="X1" s="106"/>
      <c r="Y1" s="106"/>
      <c r="Z1" s="106"/>
    </row>
    <row r="2" spans="1:26" s="107" customFormat="1" ht="42" customHeight="1" thickTop="1">
      <c r="A2" s="449"/>
      <c r="B2" s="703" t="s">
        <v>316</v>
      </c>
      <c r="C2" s="704"/>
      <c r="D2" s="704"/>
      <c r="E2" s="704"/>
      <c r="F2" s="704"/>
      <c r="G2" s="704"/>
      <c r="H2" s="704"/>
      <c r="I2" s="704"/>
      <c r="J2" s="704"/>
      <c r="K2" s="704"/>
      <c r="L2" s="704"/>
      <c r="M2" s="704"/>
      <c r="N2" s="704"/>
      <c r="O2" s="704"/>
      <c r="P2" s="705"/>
      <c r="Q2" s="449"/>
      <c r="R2" s="106"/>
      <c r="S2" s="106"/>
      <c r="T2" s="106"/>
      <c r="U2" s="106"/>
      <c r="V2" s="106"/>
      <c r="W2" s="106"/>
      <c r="X2" s="106"/>
      <c r="Y2" s="106"/>
      <c r="Z2" s="106"/>
    </row>
    <row r="3" spans="1:26" s="107" customFormat="1" ht="8.25" customHeight="1">
      <c r="A3" s="449"/>
      <c r="B3" s="552"/>
      <c r="C3" s="108"/>
      <c r="D3" s="108"/>
      <c r="E3" s="109"/>
      <c r="F3" s="108"/>
      <c r="G3" s="110"/>
      <c r="H3" s="110"/>
      <c r="I3" s="110"/>
      <c r="J3" s="110"/>
      <c r="K3" s="110"/>
      <c r="L3" s="110"/>
      <c r="M3" s="110"/>
      <c r="N3" s="110"/>
      <c r="O3" s="110"/>
      <c r="P3" s="553"/>
      <c r="Q3" s="449"/>
      <c r="R3" s="106"/>
      <c r="S3" s="106"/>
      <c r="T3" s="106"/>
      <c r="U3" s="106"/>
      <c r="V3" s="106"/>
      <c r="W3" s="106"/>
      <c r="X3" s="106"/>
      <c r="Y3" s="106"/>
      <c r="Z3" s="106"/>
    </row>
    <row r="4" spans="1:26" s="107" customFormat="1" ht="15.75">
      <c r="A4" s="449"/>
      <c r="B4" s="552"/>
      <c r="C4" s="224" t="s">
        <v>165</v>
      </c>
      <c r="D4" s="561" t="str">
        <f>IF(ISBLANK(Instructions!D18),"&lt;&lt; Please enter system details and contact information on the Instructions tab &gt;&gt;",Instructions!D18&amp;IF(ISBLANK(Instructions!D36),"","  ("&amp;Instructions!D36&amp;")"))</f>
        <v>Suez Water DE</v>
      </c>
      <c r="E4" s="562"/>
      <c r="F4" s="563"/>
      <c r="G4" s="564"/>
      <c r="H4" s="564"/>
      <c r="I4" s="564"/>
      <c r="J4" s="564"/>
      <c r="K4" s="564"/>
      <c r="L4" s="564"/>
      <c r="M4" s="565"/>
      <c r="N4" s="110"/>
      <c r="O4" s="110"/>
      <c r="P4" s="553"/>
      <c r="Q4" s="449"/>
      <c r="R4" s="106"/>
      <c r="S4" s="106"/>
      <c r="T4" s="106"/>
      <c r="U4" s="106"/>
      <c r="V4" s="106"/>
      <c r="W4" s="106"/>
      <c r="X4" s="106"/>
      <c r="Y4" s="106"/>
      <c r="Z4" s="106"/>
    </row>
    <row r="5" spans="1:26" s="107" customFormat="1" ht="15.75">
      <c r="A5" s="449"/>
      <c r="B5" s="552"/>
      <c r="C5" s="224" t="s">
        <v>166</v>
      </c>
      <c r="D5" s="718">
        <f>IF(ISBLANK(Instructions!D26),"",Instructions!D26)</f>
        <v>2020</v>
      </c>
      <c r="E5" s="719"/>
      <c r="F5" s="108"/>
      <c r="G5" s="718" t="str">
        <f>IF(ISBLANK(Instructions!D26),"",IF(Instructions!E26="Calendar Year","1/"&amp;Instructions!D26&amp;" - "&amp;"12/"&amp;Instructions!D26,IF(OR(ISBLANK(Instructions!D28),ISBLANK(Instructions!D30)),"",MONTH(Instructions!D28)&amp;"/"&amp;YEAR(Instructions!D28)&amp;" - "&amp;MONTH(Instructions!D30)&amp;"/"&amp;YEAR(Instructions!D30))))</f>
        <v>1/2020 - 12/2020</v>
      </c>
      <c r="H5" s="719"/>
      <c r="I5" s="110"/>
      <c r="J5" s="110"/>
      <c r="K5" s="110"/>
      <c r="L5" s="110"/>
      <c r="M5" s="110"/>
      <c r="N5" s="110"/>
      <c r="O5" s="110"/>
      <c r="P5" s="553"/>
      <c r="Q5" s="449"/>
      <c r="R5" s="106"/>
      <c r="S5" s="106"/>
      <c r="T5" s="106"/>
      <c r="U5" s="106"/>
      <c r="V5" s="106"/>
      <c r="W5" s="106"/>
      <c r="X5" s="106"/>
      <c r="Y5" s="106"/>
      <c r="Z5" s="106"/>
    </row>
    <row r="6" spans="1:26" s="107" customFormat="1" ht="3.75" customHeight="1">
      <c r="A6" s="449"/>
      <c r="B6" s="552"/>
      <c r="C6" s="111"/>
      <c r="D6" s="108"/>
      <c r="E6" s="109"/>
      <c r="F6" s="108"/>
      <c r="G6" s="110"/>
      <c r="H6" s="110"/>
      <c r="I6" s="110"/>
      <c r="J6" s="110"/>
      <c r="K6" s="110"/>
      <c r="L6" s="110"/>
      <c r="M6" s="110"/>
      <c r="N6" s="110"/>
      <c r="O6" s="110"/>
      <c r="P6" s="553"/>
      <c r="Q6" s="449"/>
      <c r="R6" s="106"/>
      <c r="S6" s="106"/>
      <c r="T6" s="106"/>
      <c r="U6" s="106"/>
      <c r="V6" s="106"/>
      <c r="W6" s="106"/>
      <c r="X6" s="106"/>
      <c r="Y6" s="106"/>
      <c r="Z6" s="106"/>
    </row>
    <row r="7" spans="1:26" s="107" customFormat="1" ht="2.25" customHeight="1">
      <c r="A7" s="449"/>
      <c r="B7" s="552"/>
      <c r="C7" s="108"/>
      <c r="D7" s="108"/>
      <c r="E7" s="109"/>
      <c r="F7" s="108"/>
      <c r="G7" s="110"/>
      <c r="H7" s="110"/>
      <c r="I7" s="110"/>
      <c r="J7" s="110"/>
      <c r="K7" s="110"/>
      <c r="L7" s="110"/>
      <c r="M7" s="110"/>
      <c r="N7" s="110"/>
      <c r="O7" s="110"/>
      <c r="P7" s="553"/>
      <c r="Q7" s="449"/>
      <c r="R7" s="106"/>
      <c r="S7" s="106"/>
      <c r="T7" s="106"/>
      <c r="U7" s="106"/>
      <c r="V7" s="106"/>
      <c r="W7" s="106"/>
      <c r="X7" s="106"/>
      <c r="Y7" s="106"/>
      <c r="Z7" s="106"/>
    </row>
    <row r="8" spans="1:26" s="107" customFormat="1" ht="6" customHeight="1">
      <c r="A8" s="449"/>
      <c r="B8" s="552"/>
      <c r="C8" s="112"/>
      <c r="D8" s="108"/>
      <c r="E8" s="109"/>
      <c r="F8" s="108"/>
      <c r="G8" s="110"/>
      <c r="H8" s="110"/>
      <c r="I8" s="110"/>
      <c r="J8" s="110"/>
      <c r="K8" s="110"/>
      <c r="L8" s="110"/>
      <c r="M8" s="110"/>
      <c r="N8" s="110"/>
      <c r="O8" s="110"/>
      <c r="P8" s="553"/>
      <c r="Q8" s="449"/>
      <c r="R8" s="106"/>
      <c r="S8" s="106"/>
      <c r="T8" s="106"/>
      <c r="U8" s="106"/>
      <c r="V8" s="106"/>
      <c r="W8" s="106"/>
      <c r="X8" s="106"/>
      <c r="Y8" s="106"/>
      <c r="Z8" s="106"/>
    </row>
    <row r="9" spans="1:26" s="107" customFormat="1" ht="15.6" customHeight="1">
      <c r="A9" s="449"/>
      <c r="B9" s="552"/>
      <c r="C9" s="722" t="str">
        <f>IF(ISBLANK(Instructions!$D$34),"********** REPORTING UNITS MUST BE SELECTED ON THE INSTRUCTIONS WORKSHEET BEFORE PERFORMANCE INDICATORS CAN BE DISPLAYED **********",IF(GradingAssessment!M24&gt;0," ********** DATA GRADING MUST BE COMPLTED ON THE REPORTING WORKSHEET BEFORE PERFORMANCE INDICATORS CAN BE DISPLAYED **********","*** YOUR WATER AUDIT DATA VALIDITY SCORE IS: "&amp;ROUND(GradingAssessment!G24,0)&amp;" out of 100 ***"))</f>
        <v>*** YOUR WATER AUDIT DATA VALIDITY SCORE IS: 70 out of 100 ***</v>
      </c>
      <c r="D9" s="722"/>
      <c r="E9" s="722"/>
      <c r="F9" s="722"/>
      <c r="G9" s="722"/>
      <c r="H9" s="722"/>
      <c r="I9" s="722"/>
      <c r="J9" s="722"/>
      <c r="K9" s="722"/>
      <c r="L9" s="722"/>
      <c r="M9" s="722"/>
      <c r="N9" s="722"/>
      <c r="O9" s="722"/>
      <c r="P9" s="553"/>
      <c r="Q9" s="449"/>
      <c r="R9" s="106"/>
      <c r="S9" s="106"/>
      <c r="T9" s="106"/>
      <c r="U9" s="106"/>
      <c r="V9" s="106"/>
      <c r="W9" s="106"/>
      <c r="X9" s="106"/>
      <c r="Y9" s="106"/>
      <c r="Z9" s="106"/>
    </row>
    <row r="10" spans="1:26" s="107" customFormat="1" ht="15" customHeight="1">
      <c r="A10" s="449"/>
      <c r="B10" s="552"/>
      <c r="C10" s="113" t="s">
        <v>308</v>
      </c>
      <c r="D10" s="108"/>
      <c r="E10" s="109"/>
      <c r="F10" s="108"/>
      <c r="G10" s="110"/>
      <c r="H10" s="110"/>
      <c r="I10" s="110"/>
      <c r="J10" s="110"/>
      <c r="K10" s="110"/>
      <c r="L10" s="110"/>
      <c r="M10" s="110"/>
      <c r="N10" s="110"/>
      <c r="O10" s="110"/>
      <c r="P10" s="553"/>
      <c r="Q10" s="449"/>
      <c r="R10" s="106"/>
      <c r="S10" s="106"/>
      <c r="T10" s="106"/>
      <c r="U10" s="106"/>
      <c r="V10" s="106"/>
      <c r="W10" s="106"/>
      <c r="X10" s="106"/>
      <c r="Y10" s="106"/>
      <c r="Z10" s="106"/>
    </row>
    <row r="11" spans="1:26" s="107" customFormat="1" ht="15.6" customHeight="1">
      <c r="A11" s="449"/>
      <c r="B11" s="552"/>
      <c r="C11" s="108"/>
      <c r="D11" s="108"/>
      <c r="E11" s="109"/>
      <c r="F11" s="108"/>
      <c r="G11" s="114" t="s">
        <v>98</v>
      </c>
      <c r="H11" s="110"/>
      <c r="I11" s="222">
        <f>IF(ISBLANK(Instructions!$D$34),"",'Reporting Worksheet'!G47)</f>
        <v>24.659045749999997</v>
      </c>
      <c r="J11" s="82" t="str">
        <f>IF(Instructions!$D$34="million gallons (US)","MG/Yr",IF(Instructions!$D$34="Megalitres (thousand cubic metres)","ML/Yr",IF(Instructions!$D$34="acre-feet","acre-ft/yr","")))</f>
        <v>MG/Yr</v>
      </c>
      <c r="K11" s="110"/>
      <c r="L11" s="110"/>
      <c r="M11" s="110"/>
      <c r="N11" s="110"/>
      <c r="O11" s="110"/>
      <c r="P11" s="553"/>
      <c r="Q11" s="449"/>
      <c r="R11" s="403">
        <f>GradingAssessment!M24</f>
        <v>0</v>
      </c>
      <c r="S11" s="405" t="s">
        <v>381</v>
      </c>
      <c r="T11" s="106"/>
      <c r="U11" s="106"/>
      <c r="V11" s="106"/>
      <c r="W11" s="106"/>
      <c r="X11" s="106"/>
      <c r="Y11" s="106"/>
      <c r="Z11" s="106"/>
    </row>
    <row r="12" spans="1:26" s="107" customFormat="1" ht="2.4500000000000002" customHeight="1">
      <c r="A12" s="449"/>
      <c r="B12" s="552"/>
      <c r="C12" s="108"/>
      <c r="D12" s="108"/>
      <c r="E12" s="109"/>
      <c r="F12" s="108"/>
      <c r="G12" s="114"/>
      <c r="H12" s="110"/>
      <c r="I12" s="110"/>
      <c r="J12" s="82"/>
      <c r="K12" s="110"/>
      <c r="L12" s="110"/>
      <c r="M12" s="110"/>
      <c r="N12" s="110"/>
      <c r="O12" s="110"/>
      <c r="P12" s="553"/>
      <c r="Q12" s="449"/>
      <c r="R12" s="106"/>
      <c r="S12" s="106"/>
      <c r="T12" s="106"/>
      <c r="U12" s="106"/>
      <c r="V12" s="106"/>
      <c r="W12" s="106"/>
      <c r="X12" s="106"/>
      <c r="Y12" s="106"/>
      <c r="Z12" s="106"/>
    </row>
    <row r="13" spans="1:26" s="107" customFormat="1" ht="15.6" customHeight="1">
      <c r="A13" s="449"/>
      <c r="B13" s="552"/>
      <c r="C13" s="108"/>
      <c r="D13" s="108"/>
      <c r="E13" s="109"/>
      <c r="F13" s="108"/>
      <c r="G13" s="223" t="s">
        <v>300</v>
      </c>
      <c r="H13" s="110"/>
      <c r="I13" s="222">
        <f>IF(ISBLANK(Instructions!$D$34),"",'Reporting Worksheet'!G52)</f>
        <v>836.09353299999987</v>
      </c>
      <c r="J13" s="82" t="str">
        <f>IF(Instructions!$D$34="million gallons (US)","MG/Yr",IF(Instructions!$D$34="Megalitres (thousand cubic metres)","ML/Yr",IF(Instructions!$D$34="acre-feet","acre-ft/yr","")))</f>
        <v>MG/Yr</v>
      </c>
      <c r="K13" s="110"/>
      <c r="L13" s="110"/>
      <c r="M13" s="110"/>
      <c r="N13" s="110"/>
      <c r="O13" s="110"/>
      <c r="P13" s="553"/>
      <c r="Q13" s="449"/>
      <c r="R13" s="404">
        <f>IF(ISBLANK(Instructions!$D$34),0,1)</f>
        <v>1</v>
      </c>
      <c r="S13" s="405" t="s">
        <v>382</v>
      </c>
      <c r="T13" s="106"/>
      <c r="U13" s="106"/>
      <c r="V13" s="106"/>
      <c r="W13" s="106"/>
      <c r="X13" s="106"/>
      <c r="Y13" s="106"/>
      <c r="Z13" s="106"/>
    </row>
    <row r="14" spans="1:26" s="107" customFormat="1" ht="3.6" customHeight="1">
      <c r="A14" s="449"/>
      <c r="B14" s="552"/>
      <c r="C14" s="108"/>
      <c r="D14" s="108"/>
      <c r="E14" s="109"/>
      <c r="F14" s="108"/>
      <c r="G14" s="223"/>
      <c r="H14" s="110"/>
      <c r="I14" s="110"/>
      <c r="J14" s="82"/>
      <c r="K14" s="110"/>
      <c r="L14" s="110"/>
      <c r="M14" s="110"/>
      <c r="N14" s="110"/>
      <c r="O14" s="110"/>
      <c r="P14" s="553"/>
      <c r="Q14" s="449"/>
      <c r="R14" s="106"/>
      <c r="S14" s="106"/>
      <c r="T14" s="106"/>
      <c r="U14" s="106"/>
      <c r="V14" s="106"/>
      <c r="W14" s="106"/>
      <c r="X14" s="106"/>
      <c r="Y14" s="106"/>
      <c r="Z14" s="106"/>
    </row>
    <row r="15" spans="1:26" s="107" customFormat="1" ht="15.6" customHeight="1">
      <c r="A15" s="449"/>
      <c r="B15" s="552"/>
      <c r="C15" s="108"/>
      <c r="D15" s="108"/>
      <c r="E15" s="109"/>
      <c r="F15" s="108"/>
      <c r="G15" s="228" t="s">
        <v>299</v>
      </c>
      <c r="H15" s="110"/>
      <c r="I15" s="229">
        <f>IF(ISBLANK(Instructions!$D$34),"",'Reporting Worksheet'!G54)</f>
        <v>860.75257874999988</v>
      </c>
      <c r="J15" s="82" t="str">
        <f>IF(Instructions!$D$34="million gallons (US)","MG/Yr",IF(Instructions!$D$34="Megalitres (thousand cubic metres)","ML/Yr",IF(Instructions!$D$34="acre-feet","acre-ft/yr","")))</f>
        <v>MG/Yr</v>
      </c>
      <c r="K15" s="110"/>
      <c r="L15" s="110"/>
      <c r="M15" s="110"/>
      <c r="N15" s="110"/>
      <c r="O15" s="110"/>
      <c r="P15" s="553"/>
      <c r="Q15" s="449"/>
      <c r="R15" s="106"/>
      <c r="S15" s="106"/>
      <c r="T15" s="106"/>
      <c r="U15" s="106"/>
      <c r="V15" s="106"/>
      <c r="W15" s="106"/>
      <c r="X15" s="106"/>
      <c r="Y15" s="106"/>
      <c r="Z15" s="106"/>
    </row>
    <row r="16" spans="1:26" s="107" customFormat="1" ht="13.9" customHeight="1">
      <c r="A16" s="449"/>
      <c r="B16" s="552"/>
      <c r="C16" s="108"/>
      <c r="D16" s="108"/>
      <c r="E16" s="109"/>
      <c r="F16" s="108"/>
      <c r="G16" s="110"/>
      <c r="H16" s="110"/>
      <c r="I16" s="110"/>
      <c r="J16" s="110"/>
      <c r="K16" s="110"/>
      <c r="L16" s="110"/>
      <c r="M16" s="110"/>
      <c r="N16" s="110"/>
      <c r="O16" s="110"/>
      <c r="P16" s="553"/>
      <c r="Q16" s="449"/>
      <c r="R16" s="106"/>
      <c r="S16" s="106"/>
      <c r="T16" s="106"/>
      <c r="U16" s="106"/>
      <c r="V16" s="106"/>
      <c r="W16" s="106"/>
      <c r="X16" s="106"/>
      <c r="Y16" s="106"/>
      <c r="Z16" s="106"/>
    </row>
    <row r="17" spans="1:26" s="107" customFormat="1" ht="13.9" customHeight="1">
      <c r="A17" s="449"/>
      <c r="B17" s="552"/>
      <c r="C17" s="108"/>
      <c r="D17" s="108"/>
      <c r="E17" s="109"/>
      <c r="F17" s="108"/>
      <c r="G17" s="114" t="s">
        <v>75</v>
      </c>
      <c r="H17" s="110"/>
      <c r="I17" s="218">
        <f>IF(ISBLANK(Instructions!$D$34),"",IF(Instructions!$D$34="Megalitres (thousand cubic metres)",IF(AND('Reporting Worksheet'!G69&gt;=25,'Reporting Worksheet'!G62*20+'Reporting Worksheet'!G63&gt;3000),(((18*'Reporting Worksheet'!G62)+(0.8*'Reporting Worksheet'!G63)+(25*('Reporting Worksheet'!G63*'Reporting Worksheet'!R68/1000)))*'Reporting Worksheet'!G69/1000000)*365,"Not Valid"),IF(AND('Reporting Worksheet'!G69&gt;=35,'Reporting Worksheet'!G62*32+'Reporting Worksheet'!G63&gt;3000),(((5.41*'Reporting Worksheet'!G62)+(0.15*'Reporting Worksheet'!G63)+(7.5*('Reporting Worksheet'!G63*'Reporting Worksheet'!R68/5280)))*'Reporting Worksheet'!G69)/IF(Instructions!$D$34="Million gallons (US)",1000000,325851.427242)*365,"See limits in definition")))</f>
        <v>268.74518068125002</v>
      </c>
      <c r="J17" s="82" t="str">
        <f>IF(Instructions!$D$34="million gallons (US)","MG/Yr",IF(Instructions!$D$34="Megalitres (thousand cubic metres)","ML/Yr",IF(Instructions!$D$34="acre-feet","acre-ft/yr","")))</f>
        <v>MG/Yr</v>
      </c>
      <c r="K17" s="110"/>
      <c r="L17" s="110"/>
      <c r="M17" s="110"/>
      <c r="N17" s="110"/>
      <c r="O17" s="110"/>
      <c r="P17" s="553"/>
      <c r="Q17" s="449"/>
      <c r="R17" s="106"/>
      <c r="S17" s="106"/>
      <c r="T17" s="106"/>
      <c r="U17" s="106"/>
      <c r="V17" s="106"/>
      <c r="W17" s="106"/>
      <c r="X17" s="106"/>
      <c r="Y17" s="106"/>
      <c r="Z17" s="106"/>
    </row>
    <row r="18" spans="1:26" s="107" customFormat="1" ht="8.4499999999999993" customHeight="1">
      <c r="A18" s="449"/>
      <c r="B18" s="552"/>
      <c r="C18" s="108"/>
      <c r="D18" s="108"/>
      <c r="E18" s="109"/>
      <c r="F18" s="108"/>
      <c r="G18" s="114"/>
      <c r="H18" s="110"/>
      <c r="I18" s="110"/>
      <c r="J18" s="82"/>
      <c r="K18" s="110"/>
      <c r="L18" s="110"/>
      <c r="M18" s="110"/>
      <c r="N18" s="110"/>
      <c r="O18" s="110"/>
      <c r="P18" s="553"/>
      <c r="Q18" s="449"/>
      <c r="R18" s="106"/>
      <c r="S18" s="106"/>
      <c r="T18" s="106"/>
      <c r="U18" s="106"/>
      <c r="V18" s="106"/>
      <c r="W18" s="106"/>
      <c r="X18" s="106"/>
      <c r="Y18" s="106"/>
      <c r="Z18" s="106"/>
    </row>
    <row r="19" spans="1:26" s="107" customFormat="1" ht="13.9" customHeight="1">
      <c r="A19" s="449"/>
      <c r="B19" s="552"/>
      <c r="C19" s="108"/>
      <c r="D19" s="108"/>
      <c r="E19" s="109"/>
      <c r="F19" s="108"/>
      <c r="G19" s="114" t="s">
        <v>169</v>
      </c>
      <c r="H19" s="110"/>
      <c r="I19" s="213">
        <f>IF(OR(ISBLANK(Instructions!$D$34),ISBLANK('Reporting Worksheet'!I77)),"",('Reporting Worksheet'!G47*'Reporting Worksheet'!G77)*INDEX(Sheet1!B2:D4,MATCH(Instructions!D34,Sheet1!A2:A4,0),MATCH('Reporting Worksheet'!I77,Sheet1!B1:D1,0)))</f>
        <v>136857.70391249997</v>
      </c>
      <c r="J19" s="82"/>
      <c r="K19" s="110"/>
      <c r="L19" s="110"/>
      <c r="M19" s="110"/>
      <c r="N19" s="110"/>
      <c r="O19" s="110"/>
      <c r="P19" s="553"/>
      <c r="Q19" s="449"/>
      <c r="R19" s="106"/>
      <c r="S19" s="106"/>
      <c r="T19" s="106"/>
      <c r="U19" s="106"/>
      <c r="V19" s="106"/>
      <c r="W19" s="106"/>
      <c r="X19" s="106"/>
      <c r="Y19" s="106"/>
      <c r="Z19" s="106"/>
    </row>
    <row r="20" spans="1:26" s="107" customFormat="1" ht="5.45" customHeight="1">
      <c r="A20" s="449"/>
      <c r="B20" s="552"/>
      <c r="C20" s="108"/>
      <c r="D20" s="108"/>
      <c r="E20" s="109"/>
      <c r="F20" s="108"/>
      <c r="G20" s="114"/>
      <c r="H20" s="110"/>
      <c r="I20" s="110"/>
      <c r="J20" s="82"/>
      <c r="K20" s="110"/>
      <c r="L20" s="110"/>
      <c r="M20" s="110"/>
      <c r="N20" s="110"/>
      <c r="O20" s="110"/>
      <c r="P20" s="553"/>
      <c r="Q20" s="449"/>
      <c r="R20" s="106"/>
      <c r="S20" s="106"/>
      <c r="T20" s="106"/>
      <c r="U20" s="106"/>
      <c r="V20" s="106"/>
      <c r="W20" s="106"/>
      <c r="X20" s="106"/>
      <c r="Y20" s="106"/>
      <c r="Z20" s="106"/>
    </row>
    <row r="21" spans="1:26" s="107" customFormat="1" ht="13.9" customHeight="1">
      <c r="A21" s="449"/>
      <c r="B21" s="552"/>
      <c r="C21" s="108"/>
      <c r="D21" s="108"/>
      <c r="E21" s="109"/>
      <c r="F21" s="108"/>
      <c r="G21" s="114" t="s">
        <v>249</v>
      </c>
      <c r="H21" s="110"/>
      <c r="I21" s="214">
        <f>IF(ISBLANK(Instructions!D34),"",IF(ISBLANK('Reporting Worksheet'!G78),"",'Reporting Worksheet'!G52*(IF(R21=FALSE,'Reporting Worksheet'!G78,IF(R21=TRUE,'Reporting Worksheet'!G77*INDEX(Sheet1!B2:D4,MATCH(Instructions!D34,Sheet1!A2:A4,0),MATCH('Reporting Worksheet'!I77,Sheet1!B1:D1,0)),"")))))</f>
        <v>4640319.1081499988</v>
      </c>
      <c r="J21" s="240"/>
      <c r="K21" s="241"/>
      <c r="L21" s="242" t="s">
        <v>320</v>
      </c>
      <c r="M21" s="243" t="str">
        <f>IF(R21=FALSE,"Variable Production Cost","Customer Retail Unit Cost")</f>
        <v>Customer Retail Unit Cost</v>
      </c>
      <c r="N21" s="241"/>
      <c r="O21" s="241"/>
      <c r="P21" s="553"/>
      <c r="Q21" s="449"/>
      <c r="R21" s="394" t="b">
        <v>1</v>
      </c>
      <c r="S21" s="106" t="s">
        <v>319</v>
      </c>
      <c r="T21" s="106"/>
      <c r="U21" s="106"/>
      <c r="V21" s="106"/>
      <c r="W21" s="106"/>
      <c r="X21" s="106"/>
      <c r="Y21" s="106"/>
      <c r="Z21" s="106"/>
    </row>
    <row r="22" spans="1:26" s="107" customFormat="1" ht="13.9" customHeight="1">
      <c r="A22" s="449"/>
      <c r="B22" s="552"/>
      <c r="C22" s="113"/>
      <c r="D22" s="108"/>
      <c r="E22" s="109"/>
      <c r="F22" s="108"/>
      <c r="G22" s="110"/>
      <c r="H22" s="110"/>
      <c r="I22" s="110"/>
      <c r="J22" s="720" t="s">
        <v>761</v>
      </c>
      <c r="K22" s="720"/>
      <c r="L22" s="720"/>
      <c r="M22" s="720"/>
      <c r="N22" s="720"/>
      <c r="O22" s="720"/>
      <c r="P22" s="721"/>
      <c r="Q22" s="449"/>
      <c r="R22" s="106"/>
      <c r="S22" s="106" t="s">
        <v>310</v>
      </c>
      <c r="T22" s="106"/>
      <c r="U22" s="106"/>
      <c r="V22" s="106"/>
      <c r="W22" s="106"/>
      <c r="X22" s="106"/>
      <c r="Y22" s="106"/>
      <c r="Z22" s="106"/>
    </row>
    <row r="23" spans="1:26" s="107" customFormat="1" ht="6.6" customHeight="1">
      <c r="A23" s="449"/>
      <c r="B23" s="552"/>
      <c r="C23" s="113"/>
      <c r="D23" s="108"/>
      <c r="E23" s="109"/>
      <c r="F23" s="108"/>
      <c r="G23" s="110"/>
      <c r="H23" s="110"/>
      <c r="I23" s="110"/>
      <c r="J23" s="720"/>
      <c r="K23" s="720"/>
      <c r="L23" s="720"/>
      <c r="M23" s="720"/>
      <c r="N23" s="720"/>
      <c r="O23" s="720"/>
      <c r="P23" s="721"/>
      <c r="Q23" s="449"/>
      <c r="R23" s="106"/>
      <c r="S23" s="106"/>
      <c r="T23" s="106"/>
      <c r="U23" s="106"/>
      <c r="V23" s="106"/>
      <c r="W23" s="106"/>
      <c r="X23" s="106"/>
      <c r="Y23" s="106"/>
      <c r="Z23" s="106"/>
    </row>
    <row r="24" spans="1:26" s="107" customFormat="1" ht="13.9" customHeight="1">
      <c r="A24" s="449"/>
      <c r="B24" s="552"/>
      <c r="C24" s="113" t="s">
        <v>309</v>
      </c>
      <c r="D24" s="108"/>
      <c r="E24" s="109"/>
      <c r="F24" s="108"/>
      <c r="G24" s="110"/>
      <c r="H24" s="110"/>
      <c r="I24" s="110"/>
      <c r="J24" s="110"/>
      <c r="K24" s="110"/>
      <c r="L24" s="110"/>
      <c r="M24" s="110"/>
      <c r="N24" s="110"/>
      <c r="O24" s="110"/>
      <c r="P24" s="553"/>
      <c r="Q24" s="449"/>
      <c r="R24" s="106"/>
      <c r="S24" s="106"/>
      <c r="T24" s="106"/>
      <c r="U24" s="106"/>
      <c r="V24" s="106"/>
      <c r="W24" s="106"/>
      <c r="X24" s="106"/>
      <c r="Y24" s="106"/>
      <c r="Z24" s="106"/>
    </row>
    <row r="25" spans="1:26" s="107" customFormat="1" ht="6.6" customHeight="1">
      <c r="A25" s="449"/>
      <c r="B25" s="552"/>
      <c r="C25" s="113"/>
      <c r="D25" s="108"/>
      <c r="E25" s="109"/>
      <c r="F25" s="108"/>
      <c r="G25" s="110"/>
      <c r="H25" s="110"/>
      <c r="I25" s="110"/>
      <c r="J25" s="110"/>
      <c r="K25" s="110"/>
      <c r="L25" s="110"/>
      <c r="M25" s="110"/>
      <c r="N25" s="110"/>
      <c r="O25" s="110"/>
      <c r="P25" s="553"/>
      <c r="Q25" s="449"/>
      <c r="R25" s="106"/>
      <c r="S25" s="106"/>
      <c r="T25" s="106"/>
      <c r="U25" s="106"/>
      <c r="V25" s="106"/>
      <c r="W25" s="106"/>
      <c r="X25" s="106"/>
      <c r="Y25" s="106"/>
      <c r="Z25" s="106"/>
    </row>
    <row r="26" spans="1:26" s="107" customFormat="1" ht="15.6" customHeight="1">
      <c r="A26" s="449"/>
      <c r="B26" s="552"/>
      <c r="C26" s="110"/>
      <c r="D26" s="108"/>
      <c r="E26" s="109"/>
      <c r="F26" s="108"/>
      <c r="G26" s="114" t="s">
        <v>63</v>
      </c>
      <c r="H26" s="110"/>
      <c r="I26" s="212">
        <f>IF(ISERROR(1/'Reporting Worksheet'!G19),"",('Reporting Worksheet'!G25+'Reporting Worksheet'!G26+'Reporting Worksheet'!G47+'Reporting Worksheet'!G52)/'Reporting Worksheet'!G19)</f>
        <v>0.18117488147352956</v>
      </c>
      <c r="J26" s="115"/>
      <c r="K26" s="115"/>
      <c r="L26" s="115"/>
      <c r="M26" s="115"/>
      <c r="N26" s="110"/>
      <c r="O26" s="110"/>
      <c r="P26" s="553"/>
      <c r="Q26" s="449"/>
      <c r="R26" s="116"/>
      <c r="S26" s="106"/>
      <c r="T26" s="623"/>
      <c r="U26" s="106"/>
      <c r="V26" s="106"/>
      <c r="W26" s="106"/>
      <c r="X26" s="106"/>
      <c r="Y26" s="106"/>
      <c r="Z26" s="106"/>
    </row>
    <row r="27" spans="1:26" s="107" customFormat="1" ht="5.45" customHeight="1">
      <c r="A27" s="449"/>
      <c r="B27" s="552"/>
      <c r="C27" s="110"/>
      <c r="D27" s="108"/>
      <c r="E27" s="109"/>
      <c r="F27" s="108"/>
      <c r="G27" s="114"/>
      <c r="H27" s="114"/>
      <c r="I27" s="114"/>
      <c r="J27" s="115"/>
      <c r="K27" s="115"/>
      <c r="L27" s="115"/>
      <c r="M27" s="115"/>
      <c r="N27" s="110"/>
      <c r="O27" s="110"/>
      <c r="P27" s="553"/>
      <c r="Q27" s="449"/>
      <c r="R27" s="116"/>
      <c r="S27" s="106"/>
      <c r="T27" s="106"/>
      <c r="U27" s="106"/>
      <c r="V27" s="106"/>
      <c r="W27" s="106"/>
      <c r="X27" s="106"/>
      <c r="Y27" s="106"/>
      <c r="Z27" s="106"/>
    </row>
    <row r="28" spans="1:26" s="107" customFormat="1" ht="15.6" customHeight="1">
      <c r="A28" s="449"/>
      <c r="B28" s="552"/>
      <c r="C28" s="110"/>
      <c r="D28" s="108"/>
      <c r="E28" s="109"/>
      <c r="F28" s="108"/>
      <c r="G28" s="114" t="s">
        <v>62</v>
      </c>
      <c r="H28" s="110"/>
      <c r="I28" s="212">
        <f>IF(ISERROR(1/'Reporting Worksheet'!G76),"",((('Reporting Worksheet'!G25+'Reporting Worksheet'!G26+'Reporting Worksheet'!G52)*IF(R21=FALSE,'Reporting Worksheet'!G78,'Reporting Worksheet'!G77*INDEX(Sheet1!B2:D4,MATCH(Instructions!D34,Sheet1!A2:A4,0),MATCH('Reporting Worksheet'!I77,Sheet1!B1:D1,0))))+('Reporting Worksheet'!G47*'Reporting Worksheet'!G77*INDEX(Sheet1!B2:D4,MATCH(Instructions!D34,Sheet1!A2:A4,0),MATCH('Reporting Worksheet'!I77,Sheet1!B1:D1,0))))/'Reporting Worksheet'!G76)</f>
        <v>0.26284681943632304</v>
      </c>
      <c r="J28" s="115" t="str">
        <f>" Real Losses valued at "&amp;IF(R21=FALSE,"Variable Production Cost","Customer Retail Unit Cost")</f>
        <v xml:space="preserve"> Real Losses valued at Customer Retail Unit Cost</v>
      </c>
      <c r="K28" s="115"/>
      <c r="L28" s="115"/>
      <c r="M28" s="115"/>
      <c r="N28" s="110"/>
      <c r="O28" s="110"/>
      <c r="P28" s="553"/>
      <c r="Q28" s="449"/>
      <c r="R28" s="239"/>
      <c r="S28" s="106"/>
      <c r="T28" s="623"/>
      <c r="U28" s="106"/>
      <c r="V28" s="106"/>
      <c r="W28" s="106"/>
      <c r="X28" s="106"/>
      <c r="Y28" s="106"/>
      <c r="Z28" s="106"/>
    </row>
    <row r="29" spans="1:26" s="107" customFormat="1" ht="5.45" customHeight="1">
      <c r="A29" s="449"/>
      <c r="B29" s="552"/>
      <c r="C29" s="110"/>
      <c r="D29" s="108"/>
      <c r="E29" s="109"/>
      <c r="F29" s="108"/>
      <c r="G29" s="114"/>
      <c r="H29" s="114"/>
      <c r="I29" s="114"/>
      <c r="J29" s="115"/>
      <c r="K29" s="115"/>
      <c r="L29" s="115"/>
      <c r="M29" s="115"/>
      <c r="N29" s="110"/>
      <c r="O29" s="110"/>
      <c r="P29" s="553"/>
      <c r="Q29" s="449"/>
      <c r="R29" s="116"/>
      <c r="S29" s="106"/>
      <c r="T29" s="106"/>
      <c r="U29" s="106"/>
      <c r="V29" s="106"/>
      <c r="W29" s="106"/>
      <c r="X29" s="106"/>
      <c r="Y29" s="106"/>
      <c r="Z29" s="106"/>
    </row>
    <row r="30" spans="1:26" s="107" customFormat="1" ht="15.6" customHeight="1">
      <c r="A30" s="449"/>
      <c r="B30" s="552"/>
      <c r="C30" s="113"/>
      <c r="D30" s="108"/>
      <c r="E30" s="108"/>
      <c r="F30" s="108"/>
      <c r="G30" s="108"/>
      <c r="H30" s="108"/>
      <c r="I30" s="108"/>
      <c r="J30" s="108"/>
      <c r="K30" s="108"/>
      <c r="L30" s="108"/>
      <c r="M30" s="115"/>
      <c r="N30" s="110"/>
      <c r="O30" s="110"/>
      <c r="P30" s="553"/>
      <c r="Q30" s="449"/>
      <c r="R30" s="106"/>
      <c r="S30" s="106"/>
      <c r="T30" s="106"/>
      <c r="U30" s="106"/>
      <c r="V30" s="106"/>
      <c r="W30" s="106"/>
      <c r="X30" s="106"/>
      <c r="Y30" s="106"/>
      <c r="Z30" s="106"/>
    </row>
    <row r="31" spans="1:26" s="107" customFormat="1" ht="5.25" customHeight="1">
      <c r="A31" s="449"/>
      <c r="B31" s="552"/>
      <c r="C31" s="113"/>
      <c r="D31" s="108"/>
      <c r="E31" s="109"/>
      <c r="F31" s="108"/>
      <c r="G31" s="110"/>
      <c r="H31" s="110"/>
      <c r="I31" s="110"/>
      <c r="J31" s="110"/>
      <c r="K31" s="110"/>
      <c r="L31" s="110"/>
      <c r="M31" s="110"/>
      <c r="N31" s="110"/>
      <c r="O31" s="110"/>
      <c r="P31" s="553"/>
      <c r="Q31" s="449"/>
      <c r="R31" s="106"/>
      <c r="S31" s="106"/>
      <c r="T31" s="106"/>
      <c r="U31" s="106"/>
      <c r="V31" s="106"/>
      <c r="W31" s="106"/>
      <c r="X31" s="106"/>
      <c r="Y31" s="106"/>
      <c r="Z31" s="106"/>
    </row>
    <row r="32" spans="1:26" s="107" customFormat="1" ht="15.6" customHeight="1">
      <c r="A32" s="449"/>
      <c r="B32" s="552"/>
      <c r="C32" s="117"/>
      <c r="D32" s="117"/>
      <c r="E32" s="118"/>
      <c r="F32" s="117"/>
      <c r="G32" s="114" t="s">
        <v>96</v>
      </c>
      <c r="H32" s="110"/>
      <c r="I32" s="215">
        <f>IF(ISERROR(1/'Reporting Worksheet'!G63),"",IF(Instructions!$D$34="Acre-feet",'Reporting Worksheet'!G47*325851/1000000,'Reporting Worksheet'!G47)*1000000/365/'Reporting Worksheet'!G63)</f>
        <v>1.6504783292711209</v>
      </c>
      <c r="J32" s="115" t="str">
        <f>IF(ISBLANK(Instructions!$D$34),"",IF(Instructions!$D$34="Megalitres (thousand cubic metres)","litres","gallons")&amp;"/connection/day")</f>
        <v>gallons/connection/day</v>
      </c>
      <c r="K32" s="110"/>
      <c r="L32" s="110"/>
      <c r="M32" s="110"/>
      <c r="N32" s="110"/>
      <c r="O32" s="110"/>
      <c r="P32" s="553"/>
      <c r="Q32" s="449"/>
      <c r="R32" s="106"/>
      <c r="S32" s="106"/>
      <c r="T32" s="106"/>
      <c r="U32" s="106"/>
      <c r="V32" s="106"/>
      <c r="W32" s="106"/>
      <c r="X32" s="106"/>
      <c r="Y32" s="106"/>
      <c r="Z32" s="106"/>
    </row>
    <row r="33" spans="1:26" s="107" customFormat="1" ht="5.45" customHeight="1">
      <c r="A33" s="449"/>
      <c r="B33" s="552"/>
      <c r="C33" s="113"/>
      <c r="D33" s="108"/>
      <c r="E33" s="109"/>
      <c r="F33" s="108"/>
      <c r="G33" s="110"/>
      <c r="H33" s="110"/>
      <c r="I33" s="110"/>
      <c r="J33" s="110"/>
      <c r="K33" s="110"/>
      <c r="L33" s="110"/>
      <c r="M33" s="110"/>
      <c r="N33" s="110"/>
      <c r="O33" s="110"/>
      <c r="P33" s="553"/>
      <c r="Q33" s="449"/>
      <c r="R33" s="106"/>
      <c r="S33" s="106"/>
      <c r="T33" s="106"/>
      <c r="U33" s="106"/>
      <c r="V33" s="106"/>
      <c r="W33" s="106"/>
      <c r="X33" s="106"/>
      <c r="Y33" s="106"/>
      <c r="Z33" s="106"/>
    </row>
    <row r="34" spans="1:26" s="107" customFormat="1" ht="15.75">
      <c r="A34" s="449"/>
      <c r="B34" s="552"/>
      <c r="C34" s="108"/>
      <c r="D34" s="108"/>
      <c r="E34" s="109"/>
      <c r="F34" s="108"/>
      <c r="G34" s="114" t="s">
        <v>314</v>
      </c>
      <c r="H34" s="110"/>
      <c r="I34" s="216">
        <f>IF(ISERROR(1/'Reporting Worksheet'!G63),"",IF(Instructions!$D$34="Megalitres (thousand cubic metres)",IF('Reporting Worksheet'!G64&gt;20,'Reporting Worksheet'!G52*1000000/365/'Reporting Worksheet'!G63,"N/A"),IF('Reporting Worksheet'!G64&gt;32,IF(Instructions!$D$34="Million gallons (US)",'Reporting Worksheet'!G52*1000000,'Reporting Worksheet'!G52*325851)/365/'Reporting Worksheet'!G63,"N/A")))</f>
        <v>55.961381127663003</v>
      </c>
      <c r="J34" s="115" t="str">
        <f>IF(ISBLANK(Instructions!$D$34),"",IF(Instructions!$D$34="Megalitres (thousand cubic metres)","litres","gallons")&amp;"/connection/day")</f>
        <v>gallons/connection/day</v>
      </c>
      <c r="K34" s="110"/>
      <c r="L34" s="110"/>
      <c r="M34" s="110"/>
      <c r="N34" s="110"/>
      <c r="O34" s="110"/>
      <c r="P34" s="553"/>
      <c r="Q34" s="449"/>
      <c r="R34" s="106"/>
      <c r="S34" s="106"/>
      <c r="T34" s="106"/>
      <c r="U34" s="106"/>
      <c r="V34" s="106"/>
      <c r="W34" s="106"/>
      <c r="X34" s="106"/>
      <c r="Y34" s="106"/>
      <c r="Z34" s="106"/>
    </row>
    <row r="35" spans="1:26" s="107" customFormat="1" ht="5.45" customHeight="1">
      <c r="A35" s="449"/>
      <c r="B35" s="552"/>
      <c r="C35" s="108"/>
      <c r="D35" s="108"/>
      <c r="E35" s="109"/>
      <c r="F35" s="108"/>
      <c r="G35" s="110"/>
      <c r="H35" s="110"/>
      <c r="I35" s="119"/>
      <c r="J35" s="119"/>
      <c r="K35" s="119"/>
      <c r="L35" s="110"/>
      <c r="M35" s="110"/>
      <c r="N35" s="110"/>
      <c r="O35" s="110"/>
      <c r="P35" s="553"/>
      <c r="Q35" s="449"/>
      <c r="R35" s="106"/>
      <c r="S35" s="106"/>
      <c r="T35" s="106"/>
      <c r="U35" s="106"/>
      <c r="V35" s="106"/>
      <c r="W35" s="106"/>
      <c r="X35" s="106"/>
      <c r="Y35" s="106"/>
      <c r="Z35" s="106"/>
    </row>
    <row r="36" spans="1:26" s="107" customFormat="1" ht="15.75">
      <c r="A36" s="449"/>
      <c r="B36" s="552"/>
      <c r="C36" s="108"/>
      <c r="D36" s="108"/>
      <c r="E36" s="109"/>
      <c r="F36" s="108"/>
      <c r="G36" s="114" t="s">
        <v>97</v>
      </c>
      <c r="H36" s="110"/>
      <c r="I36" s="216" t="str">
        <f>IF(ISERROR(1/'Reporting Worksheet'!G62),"",IF(I34="N/A",IF(Instructions!$D$34="Acre-feet",'Reporting Worksheet'!G52*325851/1000000,'Reporting Worksheet'!G52)*1000000/365/'Reporting Worksheet'!G62,"N/A"))</f>
        <v>N/A</v>
      </c>
      <c r="J36" s="115" t="str">
        <f>IF(ISBLANK(Instructions!$D$34),"",IF(I36="N/A","",IF(Instructions!$D$34="Megalitres (thousand cubic metres)","litres/km","gallons/mile")&amp;"/day"))</f>
        <v/>
      </c>
      <c r="K36" s="110"/>
      <c r="L36" s="110"/>
      <c r="M36" s="110"/>
      <c r="N36" s="110"/>
      <c r="O36" s="110"/>
      <c r="P36" s="553"/>
      <c r="Q36" s="449"/>
      <c r="R36" s="106"/>
      <c r="S36" s="106"/>
      <c r="T36" s="106"/>
      <c r="U36" s="106"/>
      <c r="V36" s="106"/>
      <c r="W36" s="106"/>
      <c r="X36" s="106"/>
      <c r="Y36" s="106"/>
      <c r="Z36" s="106"/>
    </row>
    <row r="37" spans="1:26" s="107" customFormat="1" ht="5.45" customHeight="1">
      <c r="A37" s="449"/>
      <c r="B37" s="552"/>
      <c r="C37" s="108"/>
      <c r="D37" s="108"/>
      <c r="E37" s="109"/>
      <c r="F37" s="108"/>
      <c r="G37" s="110"/>
      <c r="H37" s="110"/>
      <c r="I37" s="119"/>
      <c r="J37" s="119"/>
      <c r="K37" s="119"/>
      <c r="L37" s="110"/>
      <c r="M37" s="110"/>
      <c r="N37" s="110"/>
      <c r="O37" s="110"/>
      <c r="P37" s="553"/>
      <c r="Q37" s="449"/>
      <c r="R37" s="106"/>
      <c r="S37" s="106"/>
      <c r="T37" s="106"/>
      <c r="U37" s="106"/>
      <c r="V37" s="106"/>
      <c r="W37" s="106"/>
      <c r="X37" s="106"/>
      <c r="Y37" s="106"/>
      <c r="Z37" s="106"/>
    </row>
    <row r="38" spans="1:26" s="107" customFormat="1" ht="15.75">
      <c r="A38" s="449"/>
      <c r="B38" s="552"/>
      <c r="C38" s="108"/>
      <c r="D38" s="108"/>
      <c r="E38" s="109"/>
      <c r="F38" s="108"/>
      <c r="G38" s="114" t="str">
        <f>"Real Losses per service connection per day per "&amp; IF('Reporting Worksheet'!I69="psi","psi pressure","meter (head) pressure")&amp;":"</f>
        <v>Real Losses per service connection per day per psi pressure:</v>
      </c>
      <c r="H38" s="110"/>
      <c r="I38" s="216">
        <f>IF(I34="N/A","N/A",IF(ISERROR(I34/'Reporting Worksheet'!G69),"",I34/'Reporting Worksheet'!G69))</f>
        <v>0.84789971405550002</v>
      </c>
      <c r="J38" s="115" t="str">
        <f>IF(ISBLANK(Instructions!$D$34),"",IF(Instructions!$D$34="Megalitres (thousand cubic metres)","litres/connection/day/m","gallons/connection/day/psi"))</f>
        <v>gallons/connection/day/psi</v>
      </c>
      <c r="K38" s="110"/>
      <c r="L38" s="110"/>
      <c r="M38" s="110"/>
      <c r="N38" s="110"/>
      <c r="O38" s="110"/>
      <c r="P38" s="553"/>
      <c r="Q38" s="449"/>
      <c r="R38" s="106"/>
      <c r="S38" s="106"/>
      <c r="T38" s="106"/>
      <c r="U38" s="106"/>
      <c r="V38" s="106"/>
      <c r="W38" s="106"/>
      <c r="X38" s="106"/>
      <c r="Y38" s="106"/>
      <c r="Z38" s="106"/>
    </row>
    <row r="39" spans="1:26" s="107" customFormat="1" ht="8.25" customHeight="1">
      <c r="A39" s="449"/>
      <c r="B39" s="552"/>
      <c r="C39" s="108"/>
      <c r="D39" s="108"/>
      <c r="E39" s="109"/>
      <c r="F39" s="108"/>
      <c r="G39" s="120"/>
      <c r="H39" s="110"/>
      <c r="I39" s="121"/>
      <c r="J39" s="121"/>
      <c r="K39" s="121"/>
      <c r="L39" s="110"/>
      <c r="M39" s="110"/>
      <c r="N39" s="110"/>
      <c r="O39" s="110"/>
      <c r="P39" s="553"/>
      <c r="Q39" s="449"/>
      <c r="R39" s="106"/>
      <c r="S39" s="106"/>
      <c r="T39" s="106"/>
      <c r="U39" s="106"/>
      <c r="V39" s="106"/>
      <c r="W39" s="106"/>
      <c r="X39" s="106"/>
      <c r="Y39" s="106"/>
      <c r="Z39" s="106"/>
    </row>
    <row r="40" spans="1:26" s="107" customFormat="1" ht="2.25" customHeight="1">
      <c r="A40" s="449"/>
      <c r="B40" s="552"/>
      <c r="C40" s="108"/>
      <c r="D40" s="108"/>
      <c r="E40" s="108"/>
      <c r="F40" s="108"/>
      <c r="G40" s="108"/>
      <c r="H40" s="108"/>
      <c r="I40" s="108"/>
      <c r="J40" s="108"/>
      <c r="K40" s="108"/>
      <c r="L40" s="108"/>
      <c r="M40" s="108"/>
      <c r="N40" s="108"/>
      <c r="O40" s="108"/>
      <c r="P40" s="553"/>
      <c r="Q40" s="449"/>
      <c r="R40" s="106"/>
      <c r="S40" s="106"/>
      <c r="T40" s="106"/>
      <c r="U40" s="106"/>
      <c r="V40" s="106"/>
      <c r="W40" s="106"/>
      <c r="X40" s="106"/>
      <c r="Y40" s="106"/>
      <c r="Z40" s="106"/>
    </row>
    <row r="41" spans="1:26" s="107" customFormat="1" ht="13.5" customHeight="1">
      <c r="A41" s="449"/>
      <c r="B41" s="552"/>
      <c r="C41" s="715" t="str">
        <f>IF(I17="Not Valid","*** UARL cannot be calculated as either average pressure, number of connections or length of mains is too small: SEE UARL DEFINITION ***","")</f>
        <v/>
      </c>
      <c r="D41" s="716"/>
      <c r="E41" s="716"/>
      <c r="F41" s="716"/>
      <c r="G41" s="716"/>
      <c r="H41" s="716"/>
      <c r="I41" s="716"/>
      <c r="J41" s="716"/>
      <c r="K41" s="716"/>
      <c r="L41" s="716"/>
      <c r="M41" s="716"/>
      <c r="N41" s="716"/>
      <c r="O41" s="716"/>
      <c r="P41" s="553"/>
      <c r="Q41" s="449"/>
      <c r="R41" s="106"/>
      <c r="S41" s="106"/>
      <c r="T41" s="106"/>
      <c r="U41" s="106"/>
      <c r="V41" s="106"/>
      <c r="W41" s="106"/>
      <c r="X41" s="106"/>
      <c r="Y41" s="106"/>
      <c r="Z41" s="106"/>
    </row>
    <row r="42" spans="1:26" s="107" customFormat="1" ht="2.25" customHeight="1">
      <c r="A42" s="449"/>
      <c r="B42" s="552"/>
      <c r="C42" s="520"/>
      <c r="D42" s="520"/>
      <c r="E42" s="520"/>
      <c r="F42" s="520"/>
      <c r="G42" s="520"/>
      <c r="H42" s="520"/>
      <c r="I42" s="520"/>
      <c r="J42" s="520"/>
      <c r="K42" s="520"/>
      <c r="L42" s="520"/>
      <c r="M42" s="520"/>
      <c r="N42" s="520"/>
      <c r="O42" s="520"/>
      <c r="P42" s="553"/>
      <c r="Q42" s="449"/>
      <c r="R42" s="106"/>
      <c r="S42" s="106"/>
      <c r="T42" s="106"/>
      <c r="U42" s="106"/>
      <c r="V42" s="106"/>
      <c r="W42" s="106"/>
      <c r="X42" s="106"/>
      <c r="Y42" s="106"/>
      <c r="Z42" s="106"/>
    </row>
    <row r="43" spans="1:26" s="107" customFormat="1" ht="15.6" customHeight="1">
      <c r="A43" s="449"/>
      <c r="B43" s="552"/>
      <c r="C43" s="122"/>
      <c r="D43" s="122"/>
      <c r="E43" s="122"/>
      <c r="F43" s="122"/>
      <c r="G43" s="123" t="s">
        <v>69</v>
      </c>
      <c r="H43" s="124"/>
      <c r="I43" s="217">
        <f>IF(ISBLANK(Instructions!$D$34),"",'Reporting Worksheet'!G52)</f>
        <v>836.09353299999987</v>
      </c>
      <c r="J43" s="122" t="str">
        <f>IF(OR(ISBLANK(Instructions!$D$34),I17="Not Valid"),"",IF(Instructions!$D$34="Megalitres (thousand cubic metres)","ML",IF(Instructions!$D$34="Acre-feet", "acre-feet","million gallons"))&amp;"/year")</f>
        <v>million gallons/year</v>
      </c>
      <c r="K43" s="124"/>
      <c r="L43" s="124"/>
      <c r="M43" s="124"/>
      <c r="N43" s="124"/>
      <c r="O43" s="124"/>
      <c r="P43" s="553"/>
      <c r="Q43" s="449"/>
      <c r="R43" s="106"/>
      <c r="S43" s="106"/>
      <c r="T43" s="106"/>
      <c r="U43" s="106"/>
      <c r="V43" s="106"/>
      <c r="W43" s="106"/>
      <c r="X43" s="106"/>
      <c r="Y43" s="106"/>
      <c r="Z43" s="106"/>
    </row>
    <row r="44" spans="1:26" s="107" customFormat="1" ht="8.25" customHeight="1">
      <c r="A44" s="449"/>
      <c r="B44" s="552"/>
      <c r="C44" s="520"/>
      <c r="D44" s="520"/>
      <c r="E44" s="520"/>
      <c r="F44" s="520"/>
      <c r="G44" s="520"/>
      <c r="H44" s="520"/>
      <c r="I44" s="520"/>
      <c r="J44" s="520"/>
      <c r="K44" s="520"/>
      <c r="L44" s="520"/>
      <c r="M44" s="520"/>
      <c r="N44" s="520"/>
      <c r="O44" s="520"/>
      <c r="P44" s="553"/>
      <c r="Q44" s="449"/>
      <c r="R44" s="106"/>
      <c r="S44" s="106"/>
      <c r="T44" s="106"/>
      <c r="U44" s="106"/>
      <c r="V44" s="106"/>
      <c r="W44" s="106"/>
      <c r="X44" s="106"/>
      <c r="Y44" s="106"/>
      <c r="Z44" s="106"/>
    </row>
    <row r="45" spans="1:26" s="107" customFormat="1" ht="15.6" customHeight="1">
      <c r="A45" s="449"/>
      <c r="B45" s="552"/>
      <c r="C45" s="717" t="s">
        <v>68</v>
      </c>
      <c r="D45" s="717"/>
      <c r="E45" s="717"/>
      <c r="F45" s="717"/>
      <c r="G45" s="717"/>
      <c r="H45" s="125"/>
      <c r="I45" s="219">
        <f>IF(ISERROR(1/I17),"",I43/I17)</f>
        <v>3.1111014935432961</v>
      </c>
      <c r="J45" s="115"/>
      <c r="K45" s="126"/>
      <c r="L45" s="126"/>
      <c r="M45" s="126"/>
      <c r="N45" s="110"/>
      <c r="O45" s="110"/>
      <c r="P45" s="553"/>
      <c r="Q45" s="449"/>
      <c r="R45" s="106"/>
      <c r="S45" s="106"/>
      <c r="T45" s="106"/>
      <c r="U45" s="106"/>
      <c r="V45" s="106"/>
      <c r="W45" s="106"/>
      <c r="X45" s="106"/>
      <c r="Y45" s="106"/>
      <c r="Z45" s="106"/>
    </row>
    <row r="46" spans="1:26" s="107" customFormat="1" ht="28.9" customHeight="1" thickBot="1">
      <c r="A46" s="449"/>
      <c r="B46" s="554"/>
      <c r="C46" s="555" t="str">
        <f>"* This performance indicator applies for systems with a low service connection density of less than "&amp;IF(Instructions!D34="Megalitres (thousand cubic metres)",20,32)&amp;" service connections/"&amp;IF(Instructions!D34="Megalitres (thousand cubic metres)","kilometre","mile")&amp;" of pipeline"</f>
        <v>* This performance indicator applies for systems with a low service connection density of less than 32 service connections/mile of pipeline</v>
      </c>
      <c r="D46" s="556"/>
      <c r="E46" s="557"/>
      <c r="F46" s="556"/>
      <c r="G46" s="556"/>
      <c r="H46" s="558"/>
      <c r="I46" s="558"/>
      <c r="J46" s="558"/>
      <c r="K46" s="558"/>
      <c r="L46" s="558"/>
      <c r="M46" s="559"/>
      <c r="N46" s="558"/>
      <c r="O46" s="558"/>
      <c r="P46" s="560"/>
      <c r="Q46" s="449"/>
      <c r="R46" s="106"/>
      <c r="S46" s="106"/>
      <c r="T46" s="106"/>
      <c r="U46" s="106"/>
      <c r="V46" s="106"/>
      <c r="W46" s="106"/>
      <c r="X46" s="106"/>
      <c r="Y46" s="106"/>
      <c r="Z46" s="106"/>
    </row>
    <row r="47" spans="1:26" s="106" customFormat="1" ht="8.4499999999999993" customHeight="1" thickTop="1">
      <c r="A47" s="449"/>
      <c r="B47" s="453"/>
      <c r="C47" s="451"/>
      <c r="D47" s="451"/>
      <c r="E47" s="452"/>
      <c r="F47" s="451"/>
      <c r="G47" s="451"/>
      <c r="H47" s="453"/>
      <c r="I47" s="453"/>
      <c r="J47" s="453"/>
      <c r="K47" s="453"/>
      <c r="L47" s="453"/>
      <c r="M47" s="454"/>
      <c r="N47" s="453"/>
      <c r="O47" s="453"/>
      <c r="P47" s="453"/>
      <c r="Q47" s="449"/>
    </row>
    <row r="93" ht="15.75" hidden="1"/>
    <row r="94" ht="15.75" hidden="1"/>
    <row r="95" ht="15.75" hidden="1"/>
    <row r="96" ht="15.75" hidden="1"/>
    <row r="97" ht="15.75" hidden="1"/>
    <row r="98" ht="15.75" hidden="1"/>
    <row r="99" ht="15.75" hidden="1"/>
    <row r="100" ht="15.75" hidden="1"/>
    <row r="101" ht="15.75" hidden="1"/>
    <row r="102" ht="15.75" hidden="1"/>
    <row r="103" ht="15.75" hidden="1"/>
    <row r="104" ht="15.75" hidden="1"/>
    <row r="105" ht="15.75" hidden="1"/>
    <row r="106" ht="15.75" hidden="1"/>
    <row r="107" ht="15.75" hidden="1"/>
    <row r="108" ht="15.75" hidden="1"/>
    <row r="109" ht="15.75" hidden="1"/>
    <row r="110" ht="15.75" hidden="1"/>
    <row r="111" ht="15.75" hidden="1"/>
    <row r="112" ht="15.75" hidden="1"/>
    <row r="113" spans="5:5" ht="15.75" hidden="1"/>
    <row r="114" spans="5:5" ht="15.75" hidden="1"/>
    <row r="115" spans="5:5" ht="15.75" hidden="1"/>
    <row r="116" spans="5:5" ht="15.75" hidden="1"/>
    <row r="117" spans="5:5" ht="15.75" hidden="1"/>
    <row r="118" spans="5:5" ht="15.75" hidden="1"/>
    <row r="119" spans="5:5" ht="15.75" hidden="1"/>
    <row r="120" spans="5:5" s="128" customFormat="1" ht="15.6" hidden="1" customHeight="1">
      <c r="E120" s="130"/>
    </row>
    <row r="121" spans="5:5" s="128" customFormat="1" ht="13.9" hidden="1" customHeight="1">
      <c r="E121" s="130"/>
    </row>
    <row r="122" spans="5:5" s="128" customFormat="1" ht="13.9" hidden="1" customHeight="1">
      <c r="E122" s="130"/>
    </row>
    <row r="123" spans="5:5" s="128" customFormat="1" ht="13.9" hidden="1" customHeight="1">
      <c r="E123" s="130"/>
    </row>
    <row r="124" spans="5:5" s="128" customFormat="1" ht="13.9" hidden="1" customHeight="1">
      <c r="E124" s="130"/>
    </row>
    <row r="125" spans="5:5" s="128" customFormat="1" ht="13.9" hidden="1" customHeight="1">
      <c r="E125" s="130"/>
    </row>
    <row r="126" spans="5:5" s="128" customFormat="1" ht="13.9" hidden="1" customHeight="1">
      <c r="E126" s="130"/>
    </row>
    <row r="127" spans="5:5" s="128" customFormat="1" ht="13.9" hidden="1" customHeight="1">
      <c r="E127" s="130"/>
    </row>
    <row r="128" spans="5:5" s="128" customFormat="1" ht="13.9" hidden="1" customHeight="1">
      <c r="E128" s="130"/>
    </row>
    <row r="129" spans="5:5" s="128" customFormat="1" ht="13.9" hidden="1" customHeight="1">
      <c r="E129" s="130"/>
    </row>
    <row r="130" spans="5:5" s="128" customFormat="1" ht="13.9" hidden="1" customHeight="1">
      <c r="E130" s="130"/>
    </row>
    <row r="131" spans="5:5" s="128" customFormat="1" ht="13.9" hidden="1" customHeight="1">
      <c r="E131" s="130"/>
    </row>
    <row r="132" spans="5:5" s="128" customFormat="1" ht="13.9" hidden="1" customHeight="1">
      <c r="E132" s="130"/>
    </row>
    <row r="133" spans="5:5" s="128" customFormat="1" ht="13.9" hidden="1" customHeight="1">
      <c r="E133" s="130"/>
    </row>
    <row r="134" spans="5:5" s="128" customFormat="1" ht="13.9" hidden="1" customHeight="1">
      <c r="E134" s="130"/>
    </row>
    <row r="135" spans="5:5" s="128" customFormat="1" ht="13.9" hidden="1" customHeight="1">
      <c r="E135" s="130"/>
    </row>
    <row r="136" spans="5:5" s="128" customFormat="1" ht="13.9" hidden="1" customHeight="1">
      <c r="E136" s="130"/>
    </row>
    <row r="137" spans="5:5" s="128" customFormat="1" ht="13.9" hidden="1" customHeight="1">
      <c r="E137" s="130"/>
    </row>
    <row r="138" spans="5:5" s="128" customFormat="1" ht="13.9" hidden="1" customHeight="1">
      <c r="E138" s="130"/>
    </row>
    <row r="139" spans="5:5" s="128" customFormat="1" ht="13.9" hidden="1" customHeight="1">
      <c r="E139" s="130"/>
    </row>
    <row r="140" spans="5:5" s="128" customFormat="1" ht="13.9" hidden="1" customHeight="1">
      <c r="E140" s="130"/>
    </row>
    <row r="141" spans="5:5" s="128" customFormat="1" ht="13.9" hidden="1" customHeight="1">
      <c r="E141" s="130"/>
    </row>
    <row r="142" spans="5:5" s="128" customFormat="1" ht="13.9" hidden="1" customHeight="1">
      <c r="E142" s="130"/>
    </row>
    <row r="143" spans="5:5" s="128" customFormat="1" ht="13.9" hidden="1" customHeight="1">
      <c r="E143" s="130"/>
    </row>
    <row r="144" spans="5:5" s="128" customFormat="1" ht="13.9" hidden="1" customHeight="1">
      <c r="E144" s="130"/>
    </row>
    <row r="145" spans="5:5" s="128" customFormat="1" ht="13.9" hidden="1" customHeight="1">
      <c r="E145" s="130"/>
    </row>
    <row r="146" spans="5:5" s="128" customFormat="1" ht="13.9" hidden="1" customHeight="1">
      <c r="E146" s="130"/>
    </row>
    <row r="147" spans="5:5" s="128" customFormat="1" ht="13.9" hidden="1" customHeight="1">
      <c r="E147" s="130"/>
    </row>
    <row r="148" spans="5:5" s="128" customFormat="1" ht="13.9" hidden="1" customHeight="1">
      <c r="E148" s="130"/>
    </row>
    <row r="149" spans="5:5" s="128" customFormat="1" ht="13.9" hidden="1" customHeight="1">
      <c r="E149" s="130"/>
    </row>
    <row r="150" spans="5:5" s="128" customFormat="1" ht="13.9" hidden="1" customHeight="1">
      <c r="E150" s="130"/>
    </row>
    <row r="151" spans="5:5" s="128" customFormat="1" ht="13.9" hidden="1" customHeight="1">
      <c r="E151" s="130"/>
    </row>
    <row r="152" spans="5:5" s="128" customFormat="1" ht="13.9" hidden="1" customHeight="1">
      <c r="E152" s="130"/>
    </row>
    <row r="153" spans="5:5" s="128" customFormat="1" ht="13.9" hidden="1" customHeight="1">
      <c r="E153" s="130"/>
    </row>
    <row r="154" spans="5:5" s="128" customFormat="1" ht="13.9" hidden="1" customHeight="1">
      <c r="E154" s="130"/>
    </row>
    <row r="155" spans="5:5" s="128" customFormat="1" ht="13.9" hidden="1" customHeight="1">
      <c r="E155" s="130"/>
    </row>
    <row r="156" spans="5:5" s="128" customFormat="1" ht="13.9" hidden="1" customHeight="1">
      <c r="E156" s="130"/>
    </row>
    <row r="157" spans="5:5" s="128" customFormat="1" ht="13.9" hidden="1" customHeight="1">
      <c r="E157" s="130"/>
    </row>
    <row r="158" spans="5:5" s="128" customFormat="1" ht="13.9" hidden="1" customHeight="1">
      <c r="E158" s="130"/>
    </row>
    <row r="159" spans="5:5" s="128" customFormat="1" ht="13.9" hidden="1" customHeight="1">
      <c r="E159" s="130"/>
    </row>
    <row r="160" spans="5:5" s="128" customFormat="1" ht="13.9" hidden="1" customHeight="1">
      <c r="E160" s="130"/>
    </row>
    <row r="161" spans="5:5" s="128" customFormat="1" ht="13.9" hidden="1" customHeight="1">
      <c r="E161" s="130"/>
    </row>
    <row r="162" spans="5:5" s="128" customFormat="1" ht="13.9" hidden="1" customHeight="1">
      <c r="E162" s="130"/>
    </row>
    <row r="163" spans="5:5" s="128" customFormat="1" ht="13.9" hidden="1" customHeight="1">
      <c r="E163" s="130"/>
    </row>
    <row r="164" spans="5:5" s="128" customFormat="1" ht="13.9" hidden="1" customHeight="1">
      <c r="E164" s="130"/>
    </row>
    <row r="165" spans="5:5" s="128" customFormat="1" ht="13.9" hidden="1" customHeight="1">
      <c r="E165" s="130"/>
    </row>
    <row r="166" spans="5:5" s="128" customFormat="1" ht="13.9" hidden="1" customHeight="1">
      <c r="E166" s="130"/>
    </row>
    <row r="167" spans="5:5" s="128" customFormat="1" ht="13.9" hidden="1" customHeight="1">
      <c r="E167" s="130"/>
    </row>
    <row r="168" spans="5:5" s="128" customFormat="1" ht="13.9" hidden="1" customHeight="1">
      <c r="E168" s="130"/>
    </row>
    <row r="169" spans="5:5" s="128" customFormat="1" ht="13.9" hidden="1" customHeight="1">
      <c r="E169" s="130"/>
    </row>
    <row r="170" spans="5:5" s="128" customFormat="1" ht="13.9" hidden="1" customHeight="1">
      <c r="E170" s="130"/>
    </row>
    <row r="171" spans="5:5" s="128" customFormat="1" ht="13.9" hidden="1" customHeight="1">
      <c r="E171" s="130"/>
    </row>
    <row r="172" spans="5:5" s="128" customFormat="1" ht="13.9" hidden="1" customHeight="1">
      <c r="E172" s="130"/>
    </row>
    <row r="173" spans="5:5" s="128" customFormat="1" ht="13.9" hidden="1" customHeight="1">
      <c r="E173" s="130"/>
    </row>
    <row r="174" spans="5:5" s="128" customFormat="1" ht="13.9" hidden="1" customHeight="1">
      <c r="E174" s="130"/>
    </row>
    <row r="175" spans="5:5" s="128" customFormat="1" ht="13.9" hidden="1" customHeight="1">
      <c r="E175" s="130"/>
    </row>
    <row r="176" spans="5:5" s="128" customFormat="1" ht="13.9" hidden="1" customHeight="1">
      <c r="E176" s="130"/>
    </row>
    <row r="177" spans="5:5" s="128" customFormat="1" ht="13.9" hidden="1" customHeight="1">
      <c r="E177" s="130"/>
    </row>
    <row r="178" spans="5:5" s="128" customFormat="1" ht="13.9" hidden="1" customHeight="1">
      <c r="E178" s="130"/>
    </row>
    <row r="179" spans="5:5" s="128" customFormat="1" ht="13.9" hidden="1" customHeight="1">
      <c r="E179" s="130"/>
    </row>
    <row r="180" spans="5:5" s="128" customFormat="1" ht="13.9" hidden="1" customHeight="1">
      <c r="E180" s="130"/>
    </row>
    <row r="181" spans="5:5" s="128" customFormat="1" ht="13.9" hidden="1" customHeight="1">
      <c r="E181" s="130"/>
    </row>
    <row r="182" spans="5:5" s="128" customFormat="1" ht="13.9" hidden="1" customHeight="1">
      <c r="E182" s="130"/>
    </row>
    <row r="183" spans="5:5" s="128" customFormat="1" ht="13.9" hidden="1" customHeight="1">
      <c r="E183" s="130"/>
    </row>
    <row r="184" spans="5:5" s="128" customFormat="1" ht="13.9" hidden="1" customHeight="1">
      <c r="E184" s="130"/>
    </row>
    <row r="185" spans="5:5" s="128" customFormat="1" ht="13.9" hidden="1" customHeight="1">
      <c r="E185" s="130"/>
    </row>
    <row r="186" spans="5:5" s="128" customFormat="1" ht="13.9" hidden="1" customHeight="1">
      <c r="E186" s="130"/>
    </row>
    <row r="187" spans="5:5" s="128" customFormat="1" ht="13.9" hidden="1" customHeight="1">
      <c r="E187" s="130"/>
    </row>
    <row r="188" spans="5:5" s="128" customFormat="1" ht="13.9" hidden="1" customHeight="1">
      <c r="E188" s="130"/>
    </row>
    <row r="189" spans="5:5" s="128" customFormat="1" ht="13.9" hidden="1" customHeight="1">
      <c r="E189" s="130"/>
    </row>
    <row r="190" spans="5:5" s="128" customFormat="1" ht="13.9" hidden="1" customHeight="1">
      <c r="E190" s="130"/>
    </row>
    <row r="191" spans="5:5" s="128" customFormat="1" ht="13.9" hidden="1" customHeight="1">
      <c r="E191" s="130"/>
    </row>
    <row r="192" spans="5:5" s="128" customFormat="1" ht="13.9" hidden="1" customHeight="1">
      <c r="E192" s="130"/>
    </row>
  </sheetData>
  <sheetProtection password="8B16" sheet="1" objects="1" scenarios="1"/>
  <mergeCells count="7">
    <mergeCell ref="C41:O41"/>
    <mergeCell ref="C45:G45"/>
    <mergeCell ref="D5:E5"/>
    <mergeCell ref="G5:H5"/>
    <mergeCell ref="J22:P23"/>
    <mergeCell ref="B2:P2"/>
    <mergeCell ref="C9:O9"/>
  </mergeCells>
  <conditionalFormatting sqref="C41:O41">
    <cfRule type="expression" dxfId="46" priority="105" stopIfTrue="1">
      <formula>$I$17="Not Valid"</formula>
    </cfRule>
  </conditionalFormatting>
  <conditionalFormatting sqref="I11 I13 I15 I17 I19 I21 I26 I28 I32 I34 I36 I38 I43 I45">
    <cfRule type="expression" dxfId="45" priority="2" stopIfTrue="1">
      <formula>OR($R$11&gt;0,$R$13=0)</formula>
    </cfRule>
  </conditionalFormatting>
  <conditionalFormatting sqref="C9:O9">
    <cfRule type="expression" dxfId="44" priority="1" stopIfTrue="1">
      <formula>$R$11&gt;0</formula>
    </cfRule>
  </conditionalFormatting>
  <printOptions horizontalCentered="1" verticalCentered="1" gridLines="1"/>
  <pageMargins left="0.36" right="0.37" top="0.49" bottom="0.42" header="0.22" footer="0.22"/>
  <pageSetup scale="86" orientation="landscape" horizontalDpi="1200" r:id="rId1"/>
  <headerFooter alignWithMargins="0">
    <oddFooter>&amp;CAWWA Free Water Audit Software v5.0&amp;R&amp;A      &amp;P</oddFooter>
  </headerFooter>
  <ignoredErrors>
    <ignoredError sqref="R11"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9CDB-AF0F-4B5A-A321-18F56F029216}">
  <sheetPr codeName="Sheet18">
    <tabColor theme="3" tint="0.79998168889431442"/>
    <pageSetUpPr fitToPage="1"/>
  </sheetPr>
  <dimension ref="B1:P28"/>
  <sheetViews>
    <sheetView showRowColHeaders="0" workbookViewId="0">
      <pane ySplit="7" topLeftCell="A8" activePane="bottomLeft" state="frozen"/>
      <selection pane="bottomLeft"/>
    </sheetView>
  </sheetViews>
  <sheetFormatPr defaultColWidth="0" defaultRowHeight="12.75"/>
  <cols>
    <col min="1" max="1" width="1.28515625" style="76" customWidth="1"/>
    <col min="2" max="2" width="30.85546875" style="76" customWidth="1"/>
    <col min="3" max="16" width="9.42578125" style="76" customWidth="1"/>
    <col min="17" max="17" width="1.5703125" style="76" customWidth="1"/>
    <col min="18" max="16384" width="0" style="76" hidden="1"/>
  </cols>
  <sheetData>
    <row r="1" spans="2:16" s="566" customFormat="1" ht="7.15" customHeight="1" thickBot="1"/>
    <row r="2" spans="2:16" s="567" customFormat="1" ht="42" customHeight="1" thickBot="1">
      <c r="B2" s="737" t="s">
        <v>739</v>
      </c>
      <c r="C2" s="738"/>
      <c r="D2" s="738"/>
      <c r="E2" s="738"/>
      <c r="F2" s="738"/>
      <c r="G2" s="738"/>
      <c r="H2" s="738"/>
      <c r="I2" s="738"/>
      <c r="J2" s="738"/>
      <c r="K2" s="738"/>
      <c r="L2" s="738"/>
      <c r="M2" s="738"/>
      <c r="N2" s="738"/>
      <c r="O2" s="738"/>
      <c r="P2" s="739"/>
    </row>
    <row r="3" spans="2:16" s="566" customFormat="1" ht="9" customHeight="1">
      <c r="B3" s="728" t="s">
        <v>660</v>
      </c>
      <c r="C3" s="728"/>
      <c r="D3" s="728"/>
      <c r="E3" s="728"/>
      <c r="F3" s="728"/>
      <c r="G3" s="728"/>
      <c r="H3" s="728"/>
      <c r="I3" s="728"/>
      <c r="J3" s="728"/>
      <c r="K3" s="728"/>
      <c r="L3" s="728"/>
      <c r="M3" s="728"/>
      <c r="N3" s="728"/>
      <c r="O3" s="728"/>
      <c r="P3" s="728"/>
    </row>
    <row r="4" spans="2:16" s="566" customFormat="1" ht="8.4499999999999993" customHeight="1" thickBot="1">
      <c r="B4" s="728"/>
      <c r="C4" s="728"/>
      <c r="D4" s="728"/>
      <c r="E4" s="728"/>
      <c r="F4" s="728"/>
      <c r="G4" s="728"/>
      <c r="H4" s="728"/>
      <c r="I4" s="728"/>
      <c r="J4" s="728"/>
      <c r="K4" s="728"/>
      <c r="L4" s="728"/>
      <c r="M4" s="728"/>
      <c r="N4" s="728"/>
      <c r="O4" s="728"/>
      <c r="P4" s="728"/>
    </row>
    <row r="5" spans="2:16" s="566" customFormat="1" ht="71.45" customHeight="1" thickBot="1">
      <c r="B5" s="238" t="s">
        <v>318</v>
      </c>
      <c r="C5" s="731"/>
      <c r="D5" s="732"/>
      <c r="E5" s="732"/>
      <c r="F5" s="732"/>
      <c r="G5" s="732"/>
      <c r="H5" s="732"/>
      <c r="I5" s="732"/>
      <c r="J5" s="732"/>
      <c r="K5" s="732"/>
      <c r="L5" s="732"/>
      <c r="M5" s="732"/>
      <c r="N5" s="732"/>
      <c r="O5" s="732"/>
      <c r="P5" s="733"/>
    </row>
    <row r="6" spans="2:16" s="566" customFormat="1" ht="5.45" customHeight="1" thickBot="1">
      <c r="B6" s="568"/>
      <c r="C6" s="568"/>
      <c r="D6" s="568"/>
      <c r="E6" s="568"/>
      <c r="F6" s="568"/>
      <c r="G6" s="568"/>
      <c r="H6" s="568"/>
      <c r="I6" s="568"/>
      <c r="J6" s="568"/>
      <c r="K6" s="568"/>
      <c r="L6" s="568"/>
      <c r="M6" s="568"/>
      <c r="N6" s="568"/>
      <c r="O6" s="568"/>
      <c r="P6" s="568"/>
    </row>
    <row r="7" spans="2:16" s="566" customFormat="1" ht="16.149999999999999" customHeight="1">
      <c r="B7" s="78" t="s">
        <v>317</v>
      </c>
      <c r="C7" s="729" t="s">
        <v>288</v>
      </c>
      <c r="D7" s="729"/>
      <c r="E7" s="729"/>
      <c r="F7" s="729"/>
      <c r="G7" s="729"/>
      <c r="H7" s="729"/>
      <c r="I7" s="729"/>
      <c r="J7" s="729"/>
      <c r="K7" s="729"/>
      <c r="L7" s="729"/>
      <c r="M7" s="729"/>
      <c r="N7" s="729"/>
      <c r="O7" s="729"/>
      <c r="P7" s="730"/>
    </row>
    <row r="8" spans="2:16" s="566" customFormat="1" ht="65.45" customHeight="1">
      <c r="B8" s="521" t="s">
        <v>131</v>
      </c>
      <c r="C8" s="736"/>
      <c r="D8" s="723"/>
      <c r="E8" s="723"/>
      <c r="F8" s="723"/>
      <c r="G8" s="723"/>
      <c r="H8" s="723"/>
      <c r="I8" s="723"/>
      <c r="J8" s="723"/>
      <c r="K8" s="723"/>
      <c r="L8" s="723"/>
      <c r="M8" s="723"/>
      <c r="N8" s="723"/>
      <c r="O8" s="723"/>
      <c r="P8" s="724"/>
    </row>
    <row r="9" spans="2:16" s="566" customFormat="1" ht="53.45" customHeight="1">
      <c r="B9" s="521" t="s">
        <v>358</v>
      </c>
      <c r="C9" s="736"/>
      <c r="D9" s="723"/>
      <c r="E9" s="723"/>
      <c r="F9" s="723"/>
      <c r="G9" s="723"/>
      <c r="H9" s="723"/>
      <c r="I9" s="723"/>
      <c r="J9" s="723"/>
      <c r="K9" s="723"/>
      <c r="L9" s="723"/>
      <c r="M9" s="723"/>
      <c r="N9" s="723"/>
      <c r="O9" s="723"/>
      <c r="P9" s="724"/>
    </row>
    <row r="10" spans="2:16" s="566" customFormat="1" ht="53.45" customHeight="1">
      <c r="B10" s="521" t="s">
        <v>4</v>
      </c>
      <c r="C10" s="736"/>
      <c r="D10" s="723"/>
      <c r="E10" s="723"/>
      <c r="F10" s="723"/>
      <c r="G10" s="723"/>
      <c r="H10" s="723"/>
      <c r="I10" s="723"/>
      <c r="J10" s="723"/>
      <c r="K10" s="723"/>
      <c r="L10" s="723"/>
      <c r="M10" s="723"/>
      <c r="N10" s="723"/>
      <c r="O10" s="723"/>
      <c r="P10" s="724"/>
    </row>
    <row r="11" spans="2:16" s="566" customFormat="1" ht="53.45" customHeight="1">
      <c r="B11" s="521" t="s">
        <v>312</v>
      </c>
      <c r="C11" s="725"/>
      <c r="D11" s="726"/>
      <c r="E11" s="726"/>
      <c r="F11" s="726"/>
      <c r="G11" s="726"/>
      <c r="H11" s="726"/>
      <c r="I11" s="726"/>
      <c r="J11" s="726"/>
      <c r="K11" s="726"/>
      <c r="L11" s="726"/>
      <c r="M11" s="726"/>
      <c r="N11" s="726"/>
      <c r="O11" s="726"/>
      <c r="P11" s="727"/>
    </row>
    <row r="12" spans="2:16" s="566" customFormat="1" ht="53.45" customHeight="1">
      <c r="B12" s="521" t="s">
        <v>5</v>
      </c>
      <c r="C12" s="723"/>
      <c r="D12" s="723"/>
      <c r="E12" s="723"/>
      <c r="F12" s="723"/>
      <c r="G12" s="723"/>
      <c r="H12" s="723"/>
      <c r="I12" s="723"/>
      <c r="J12" s="723"/>
      <c r="K12" s="723"/>
      <c r="L12" s="723"/>
      <c r="M12" s="723"/>
      <c r="N12" s="723"/>
      <c r="O12" s="723"/>
      <c r="P12" s="724"/>
    </row>
    <row r="13" spans="2:16" s="566" customFormat="1" ht="53.45" customHeight="1">
      <c r="B13" s="521" t="s">
        <v>311</v>
      </c>
      <c r="C13" s="725"/>
      <c r="D13" s="726"/>
      <c r="E13" s="726"/>
      <c r="F13" s="726"/>
      <c r="G13" s="726"/>
      <c r="H13" s="726"/>
      <c r="I13" s="726"/>
      <c r="J13" s="726"/>
      <c r="K13" s="726"/>
      <c r="L13" s="726"/>
      <c r="M13" s="726"/>
      <c r="N13" s="726"/>
      <c r="O13" s="726"/>
      <c r="P13" s="727"/>
    </row>
    <row r="14" spans="2:16" s="566" customFormat="1" ht="53.45" customHeight="1">
      <c r="B14" s="521" t="s">
        <v>132</v>
      </c>
      <c r="C14" s="736"/>
      <c r="D14" s="723"/>
      <c r="E14" s="723"/>
      <c r="F14" s="723"/>
      <c r="G14" s="723"/>
      <c r="H14" s="723"/>
      <c r="I14" s="723"/>
      <c r="J14" s="723"/>
      <c r="K14" s="723"/>
      <c r="L14" s="723"/>
      <c r="M14" s="723"/>
      <c r="N14" s="723"/>
      <c r="O14" s="723"/>
      <c r="P14" s="724"/>
    </row>
    <row r="15" spans="2:16" s="566" customFormat="1" ht="53.45" customHeight="1">
      <c r="B15" s="521" t="s">
        <v>133</v>
      </c>
      <c r="C15" s="723"/>
      <c r="D15" s="723"/>
      <c r="E15" s="723"/>
      <c r="F15" s="723"/>
      <c r="G15" s="723"/>
      <c r="H15" s="723"/>
      <c r="I15" s="723"/>
      <c r="J15" s="723"/>
      <c r="K15" s="723"/>
      <c r="L15" s="723"/>
      <c r="M15" s="723"/>
      <c r="N15" s="723"/>
      <c r="O15" s="723"/>
      <c r="P15" s="724"/>
    </row>
    <row r="16" spans="2:16" s="566" customFormat="1" ht="53.45" customHeight="1">
      <c r="B16" s="521" t="s">
        <v>134</v>
      </c>
      <c r="C16" s="723"/>
      <c r="D16" s="723"/>
      <c r="E16" s="723"/>
      <c r="F16" s="723"/>
      <c r="G16" s="723"/>
      <c r="H16" s="723"/>
      <c r="I16" s="723"/>
      <c r="J16" s="723"/>
      <c r="K16" s="723"/>
      <c r="L16" s="723"/>
      <c r="M16" s="723"/>
      <c r="N16" s="723"/>
      <c r="O16" s="723"/>
      <c r="P16" s="724"/>
    </row>
    <row r="17" spans="2:16" s="566" customFormat="1" ht="53.45" customHeight="1">
      <c r="B17" s="521" t="s">
        <v>135</v>
      </c>
      <c r="C17" s="723"/>
      <c r="D17" s="723"/>
      <c r="E17" s="723"/>
      <c r="F17" s="723"/>
      <c r="G17" s="723"/>
      <c r="H17" s="723"/>
      <c r="I17" s="723"/>
      <c r="J17" s="723"/>
      <c r="K17" s="723"/>
      <c r="L17" s="723"/>
      <c r="M17" s="723"/>
      <c r="N17" s="723"/>
      <c r="O17" s="723"/>
      <c r="P17" s="724"/>
    </row>
    <row r="18" spans="2:16" s="566" customFormat="1" ht="53.45" customHeight="1">
      <c r="B18" s="521" t="s">
        <v>136</v>
      </c>
      <c r="C18" s="723"/>
      <c r="D18" s="723"/>
      <c r="E18" s="723"/>
      <c r="F18" s="723"/>
      <c r="G18" s="723"/>
      <c r="H18" s="723"/>
      <c r="I18" s="723"/>
      <c r="J18" s="723"/>
      <c r="K18" s="723"/>
      <c r="L18" s="723"/>
      <c r="M18" s="723"/>
      <c r="N18" s="723"/>
      <c r="O18" s="723"/>
      <c r="P18" s="724"/>
    </row>
    <row r="19" spans="2:16" s="566" customFormat="1" ht="53.45" customHeight="1">
      <c r="B19" s="521" t="s">
        <v>137</v>
      </c>
      <c r="C19" s="723"/>
      <c r="D19" s="723"/>
      <c r="E19" s="723"/>
      <c r="F19" s="723"/>
      <c r="G19" s="723"/>
      <c r="H19" s="723"/>
      <c r="I19" s="723"/>
      <c r="J19" s="723"/>
      <c r="K19" s="723"/>
      <c r="L19" s="723"/>
      <c r="M19" s="723"/>
      <c r="N19" s="723"/>
      <c r="O19" s="723"/>
      <c r="P19" s="724"/>
    </row>
    <row r="20" spans="2:16" s="566" customFormat="1" ht="53.45" customHeight="1">
      <c r="B20" s="521" t="s">
        <v>3</v>
      </c>
      <c r="C20" s="723"/>
      <c r="D20" s="723"/>
      <c r="E20" s="723"/>
      <c r="F20" s="723"/>
      <c r="G20" s="723"/>
      <c r="H20" s="723"/>
      <c r="I20" s="723"/>
      <c r="J20" s="723"/>
      <c r="K20" s="723"/>
      <c r="L20" s="723"/>
      <c r="M20" s="723"/>
      <c r="N20" s="723"/>
      <c r="O20" s="723"/>
      <c r="P20" s="724"/>
    </row>
    <row r="21" spans="2:16" s="566" customFormat="1" ht="53.45" customHeight="1">
      <c r="B21" s="521" t="s">
        <v>138</v>
      </c>
      <c r="C21" s="723"/>
      <c r="D21" s="723"/>
      <c r="E21" s="723"/>
      <c r="F21" s="723"/>
      <c r="G21" s="723"/>
      <c r="H21" s="723"/>
      <c r="I21" s="723"/>
      <c r="J21" s="723"/>
      <c r="K21" s="723"/>
      <c r="L21" s="723"/>
      <c r="M21" s="723"/>
      <c r="N21" s="723"/>
      <c r="O21" s="723"/>
      <c r="P21" s="724"/>
    </row>
    <row r="22" spans="2:16" s="566" customFormat="1" ht="53.45" customHeight="1">
      <c r="B22" s="521" t="s">
        <v>128</v>
      </c>
      <c r="C22" s="723"/>
      <c r="D22" s="723"/>
      <c r="E22" s="723"/>
      <c r="F22" s="723"/>
      <c r="G22" s="723"/>
      <c r="H22" s="723"/>
      <c r="I22" s="723"/>
      <c r="J22" s="723"/>
      <c r="K22" s="723"/>
      <c r="L22" s="723"/>
      <c r="M22" s="723"/>
      <c r="N22" s="723"/>
      <c r="O22" s="723"/>
      <c r="P22" s="724"/>
    </row>
    <row r="23" spans="2:16" s="566" customFormat="1" ht="53.45" customHeight="1">
      <c r="B23" s="521" t="s">
        <v>205</v>
      </c>
      <c r="C23" s="723"/>
      <c r="D23" s="723"/>
      <c r="E23" s="723"/>
      <c r="F23" s="723"/>
      <c r="G23" s="723"/>
      <c r="H23" s="723"/>
      <c r="I23" s="723"/>
      <c r="J23" s="723"/>
      <c r="K23" s="723"/>
      <c r="L23" s="723"/>
      <c r="M23" s="723"/>
      <c r="N23" s="723"/>
      <c r="O23" s="723"/>
      <c r="P23" s="724"/>
    </row>
    <row r="24" spans="2:16" s="566" customFormat="1" ht="53.45" customHeight="1">
      <c r="B24" s="521" t="s">
        <v>139</v>
      </c>
      <c r="C24" s="723"/>
      <c r="D24" s="723"/>
      <c r="E24" s="723"/>
      <c r="F24" s="723"/>
      <c r="G24" s="723"/>
      <c r="H24" s="723"/>
      <c r="I24" s="723"/>
      <c r="J24" s="723"/>
      <c r="K24" s="723"/>
      <c r="L24" s="723"/>
      <c r="M24" s="723"/>
      <c r="N24" s="723"/>
      <c r="O24" s="723"/>
      <c r="P24" s="724"/>
    </row>
    <row r="25" spans="2:16" s="566" customFormat="1" ht="53.45" customHeight="1">
      <c r="B25" s="521" t="s">
        <v>140</v>
      </c>
      <c r="C25" s="723"/>
      <c r="D25" s="723"/>
      <c r="E25" s="723"/>
      <c r="F25" s="723"/>
      <c r="G25" s="723"/>
      <c r="H25" s="723"/>
      <c r="I25" s="723"/>
      <c r="J25" s="723"/>
      <c r="K25" s="723"/>
      <c r="L25" s="723"/>
      <c r="M25" s="723"/>
      <c r="N25" s="723"/>
      <c r="O25" s="723"/>
      <c r="P25" s="724"/>
    </row>
    <row r="26" spans="2:16" s="566" customFormat="1" ht="53.45" customHeight="1">
      <c r="B26" s="521" t="s">
        <v>129</v>
      </c>
      <c r="C26" s="723"/>
      <c r="D26" s="723"/>
      <c r="E26" s="723"/>
      <c r="F26" s="723"/>
      <c r="G26" s="723"/>
      <c r="H26" s="723"/>
      <c r="I26" s="723"/>
      <c r="J26" s="723"/>
      <c r="K26" s="723"/>
      <c r="L26" s="723"/>
      <c r="M26" s="723"/>
      <c r="N26" s="723"/>
      <c r="O26" s="723"/>
      <c r="P26" s="724"/>
    </row>
    <row r="27" spans="2:16" s="566" customFormat="1" ht="53.45" customHeight="1" thickBot="1">
      <c r="B27" s="522" t="s">
        <v>130</v>
      </c>
      <c r="C27" s="734"/>
      <c r="D27" s="734"/>
      <c r="E27" s="734"/>
      <c r="F27" s="734"/>
      <c r="G27" s="734"/>
      <c r="H27" s="734"/>
      <c r="I27" s="734"/>
      <c r="J27" s="734"/>
      <c r="K27" s="734"/>
      <c r="L27" s="734"/>
      <c r="M27" s="734"/>
      <c r="N27" s="734"/>
      <c r="O27" s="734"/>
      <c r="P27" s="735"/>
    </row>
    <row r="28" spans="2:16" ht="28.9" customHeight="1"/>
  </sheetData>
  <sheetProtection password="8B16" sheet="1" objects="1" scenarios="1"/>
  <mergeCells count="24">
    <mergeCell ref="B2:P2"/>
    <mergeCell ref="C19:P19"/>
    <mergeCell ref="C20:P20"/>
    <mergeCell ref="C12:P12"/>
    <mergeCell ref="C14:P14"/>
    <mergeCell ref="C8:P8"/>
    <mergeCell ref="C17:P17"/>
    <mergeCell ref="C25:P25"/>
    <mergeCell ref="C26:P26"/>
    <mergeCell ref="C27:P27"/>
    <mergeCell ref="C9:P9"/>
    <mergeCell ref="C10:P10"/>
    <mergeCell ref="C23:P23"/>
    <mergeCell ref="C24:P24"/>
    <mergeCell ref="C16:P16"/>
    <mergeCell ref="C15:P15"/>
    <mergeCell ref="C22:P22"/>
    <mergeCell ref="C21:P21"/>
    <mergeCell ref="C11:P11"/>
    <mergeCell ref="B3:P4"/>
    <mergeCell ref="C18:P18"/>
    <mergeCell ref="C13:P13"/>
    <mergeCell ref="C7:P7"/>
    <mergeCell ref="C5:P5"/>
  </mergeCells>
  <hyperlinks>
    <hyperlink ref="B8" location="'Reporting Worksheet'!G15" display="Volume from own sources:" xr:uid="{17E567F2-AF82-41E1-8365-B13B3ED2941B}"/>
    <hyperlink ref="B9" location="'Reporting Worksheet'!N15" display="Vol. from own sources: Master meter error adjustment:" xr:uid="{7034E4F7-422C-4F66-9C0A-96DC4064A170}"/>
    <hyperlink ref="B10" location="'Reporting Worksheet'!G16" display="Water imported:" xr:uid="{ED6FD12E-D59D-4549-81CF-AAF422FD672C}"/>
    <hyperlink ref="B12" location="'Reporting Worksheet'!G17" display="Water exported:" xr:uid="{CEFA5EA6-0B24-4B42-8D1A-C2BF2D81DD1C}"/>
    <hyperlink ref="B11" location="'Reporting Worksheet'!N16" display="Water imported: master meter error adjustment:" xr:uid="{2EBBF5A1-7F04-42B4-A019-72D9BD330588}"/>
    <hyperlink ref="B14" location="'Reporting Worksheet'!G23" display="Billed metered:" xr:uid="{A16C966A-4084-42A1-BD78-BCC9D79EA4C2}"/>
    <hyperlink ref="B15" location="'Reporting Worksheet'!G24" display="Billed unmetered:" xr:uid="{3E966089-C3DF-4C3D-A30D-7D85DDAFF7AF}"/>
    <hyperlink ref="B16" location="'Reporting Worksheet'!G25" display="Unbilled metered:" xr:uid="{50FCECF8-A07B-4638-B7B6-63C377E7235A}"/>
    <hyperlink ref="B17" location="'Reporting Worksheet'!G26" display="Unbilled unmetered:" xr:uid="{0A467D0F-E612-4C1A-AA94-289CA9FA643A}"/>
    <hyperlink ref="B13" location="'Reporting Worksheet'!N17" display="Water exported meter error adjustment:" xr:uid="{872318E2-54C0-4A6B-AF4D-A7224665F0F1}"/>
    <hyperlink ref="B18" location="'Reporting Worksheet'!G38" display="Unauthorized consumption:" xr:uid="{0DA4F53A-BC22-4B2F-B0C3-E7E188E5170D}"/>
    <hyperlink ref="B19" location="'Reporting Worksheet'!G42" display="Customer metering inaccuracies:" xr:uid="{C2C123D6-8B58-4DC8-83D7-F8D8A0BDD83B}"/>
    <hyperlink ref="B20" location="'Reporting Worksheet'!G43" display="Systematic data handling errors:" xr:uid="{3996864A-9A56-4A9A-A26C-BE85849FDAC2}"/>
    <hyperlink ref="B21" location="'Reporting Worksheet'!G62" display="Length of mains:" xr:uid="{3E7CF9BE-6094-4CB2-ACC1-932707D02FEE}"/>
    <hyperlink ref="B22" location="'Reporting Worksheet'!G63" display="Number of active AND inactive service connections:" xr:uid="{85B3E186-F6B8-4A22-924C-A23BF3F3533C}"/>
    <hyperlink ref="B23" location="'Reporting Worksheet'!G67" display="Average length of customer service line:" xr:uid="{9BB3B7F9-4157-4542-BF23-14EC5D62187E}"/>
    <hyperlink ref="B24" location="'Reporting Worksheet'!G69" display="Average operating pressure:" xr:uid="{7828FC87-3A59-4719-B1CC-96665616CAD4}"/>
    <hyperlink ref="B25" location="'Reporting Worksheet'!G76" display="Total annual cost of operating water system:" xr:uid="{56EDCEDF-E8A8-4096-9558-71E13D1E5B27}"/>
    <hyperlink ref="B26" location="'Reporting Worksheet'!G77" display="Customer retail unit cost (applied to Apparent Losses):" xr:uid="{484BA45E-6721-4448-B6CC-CDB91116252E}"/>
    <hyperlink ref="B27" location="'Reporting Worksheet'!G78" display="Variable production cost (applied to Real Losses):" xr:uid="{2D8447E4-DEDE-40B1-8339-0CA49201B1BE}"/>
  </hyperlinks>
  <pageMargins left="0.25" right="0.25" top="0.5" bottom="0.5" header="0.3" footer="0.3"/>
  <pageSetup scale="82" fitToHeight="0" orientation="landscape" horizontalDpi="1200" verticalDpi="1200" r:id="rId1"/>
  <headerFooter>
    <oddFooter>&amp;CAWWA Free Water Audit Software v5.0&amp;R&amp;A     &amp;P</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2FAB-3EFF-480C-ACAB-A6C7C7F58760}">
  <sheetPr codeName="Sheet6">
    <tabColor theme="3" tint="0.79998168889431442"/>
    <pageSetUpPr fitToPage="1"/>
  </sheetPr>
  <dimension ref="A1:Q1006"/>
  <sheetViews>
    <sheetView showGridLines="0" showRowColHeaders="0" zoomScaleNormal="100" workbookViewId="0">
      <selection activeCell="G6" sqref="G6"/>
    </sheetView>
  </sheetViews>
  <sheetFormatPr defaultColWidth="0" defaultRowHeight="13.5" zeroHeight="1"/>
  <cols>
    <col min="1" max="1" width="0.85546875" style="7" customWidth="1"/>
    <col min="2" max="2" width="18.5703125" style="7" customWidth="1"/>
    <col min="3" max="4" width="17.140625" style="7" customWidth="1"/>
    <col min="5" max="5" width="17.42578125" style="7" customWidth="1"/>
    <col min="6" max="6" width="33.28515625" style="7" customWidth="1"/>
    <col min="7" max="7" width="40.28515625" style="7" customWidth="1"/>
    <col min="8" max="8" width="21.28515625" style="7" customWidth="1"/>
    <col min="9" max="9" width="1.28515625" style="7" customWidth="1"/>
    <col min="10" max="10" width="8.85546875" style="7" hidden="1" customWidth="1"/>
    <col min="11" max="11" width="28.5703125" style="7" hidden="1" customWidth="1"/>
    <col min="12" max="16" width="15.85546875" style="569" hidden="1" customWidth="1"/>
    <col min="17" max="17" width="15.85546875" style="7" hidden="1" customWidth="1"/>
    <col min="18" max="16384" width="8.85546875" style="7" hidden="1"/>
  </cols>
  <sheetData>
    <row r="1" spans="2:16" ht="3.75" customHeight="1" thickBot="1"/>
    <row r="2" spans="2:16" ht="24.6" customHeight="1" thickTop="1">
      <c r="B2" s="740" t="s">
        <v>679</v>
      </c>
      <c r="C2" s="741"/>
      <c r="D2" s="741"/>
      <c r="E2" s="741"/>
      <c r="F2" s="741"/>
      <c r="G2" s="741"/>
      <c r="H2" s="742"/>
      <c r="I2" s="8"/>
    </row>
    <row r="3" spans="2:16" ht="18" customHeight="1">
      <c r="B3" s="743"/>
      <c r="C3" s="744"/>
      <c r="D3" s="744"/>
      <c r="E3" s="744"/>
      <c r="F3" s="744"/>
      <c r="G3" s="744"/>
      <c r="H3" s="745"/>
      <c r="I3" s="8"/>
    </row>
    <row r="4" spans="2:16" ht="4.1500000000000004" customHeight="1">
      <c r="B4" s="603"/>
      <c r="C4" s="604"/>
      <c r="D4" s="604"/>
      <c r="E4" s="604"/>
      <c r="F4" s="604"/>
      <c r="G4" s="605"/>
      <c r="H4" s="606"/>
      <c r="I4" s="8"/>
    </row>
    <row r="5" spans="2:16" ht="16.899999999999999" customHeight="1">
      <c r="B5" s="603"/>
      <c r="C5" s="604"/>
      <c r="D5" s="604"/>
      <c r="E5" s="224" t="s">
        <v>165</v>
      </c>
      <c r="F5" s="754" t="str">
        <f>IF(ISBLANK(Instructions!D18),"&lt;&lt; Please enter system details and contact information on the Instructions tab &gt;&gt;",Instructions!D18&amp;IF(ISBLANK(Instructions!D36),"","  ("&amp;Instructions!D36&amp;")"))</f>
        <v>Suez Water DE</v>
      </c>
      <c r="G5" s="755"/>
      <c r="H5" s="606"/>
      <c r="I5" s="8"/>
    </row>
    <row r="6" spans="2:16" ht="18" customHeight="1">
      <c r="B6" s="603"/>
      <c r="C6" s="604"/>
      <c r="D6" s="604"/>
      <c r="E6" s="224" t="s">
        <v>166</v>
      </c>
      <c r="F6" s="612">
        <f>IF(ISBLANK(Instructions!D26),"",Instructions!D26)</f>
        <v>2020</v>
      </c>
      <c r="G6" s="613" t="str">
        <f>IF(ISBLANK(Instructions!D26),"",IF(Instructions!E26="Calendar Year","1/"&amp;Instructions!D26&amp;" - "&amp;"12/"&amp;Instructions!D26,IF(OR(ISBLANK(Instructions!D28),ISBLANK(Instructions!D30)),"",MONTH(Instructions!D28)&amp;"/"&amp;YEAR(Instructions!D28)&amp;" - "&amp;MONTH(Instructions!D30)&amp;"/"&amp;YEAR(Instructions!D30))))</f>
        <v>1/2020 - 12/2020</v>
      </c>
      <c r="H6" s="606"/>
      <c r="I6" s="8"/>
    </row>
    <row r="7" spans="2:16" ht="18" customHeight="1">
      <c r="B7" s="603"/>
      <c r="C7" s="604"/>
      <c r="D7" s="604"/>
      <c r="E7" s="224" t="s">
        <v>678</v>
      </c>
      <c r="F7" s="611">
        <f>IF(ISBLANK(Instructions!$D$34),"N/A*",IF(GradingAssessment!M24&gt;0,"N/A*",ROUND(GradingAssessment!G24,0)))</f>
        <v>70</v>
      </c>
      <c r="G7" s="616" t="str">
        <f>IF(F7="N/A*","* Confirm Units and Data Grading are Complete","")</f>
        <v/>
      </c>
      <c r="H7" s="606"/>
      <c r="I7" s="8"/>
    </row>
    <row r="8" spans="2:16" ht="6.6" customHeight="1" thickBot="1">
      <c r="B8" s="607"/>
      <c r="C8" s="608"/>
      <c r="D8" s="608"/>
      <c r="E8" s="608"/>
      <c r="F8" s="608"/>
      <c r="G8" s="609"/>
      <c r="H8" s="610"/>
      <c r="I8" s="8"/>
    </row>
    <row r="9" spans="2:16" ht="16.5" customHeight="1" thickTop="1">
      <c r="B9" s="585"/>
      <c r="C9" s="641"/>
      <c r="D9" s="649" t="s">
        <v>31</v>
      </c>
      <c r="E9" s="650"/>
      <c r="F9" s="651"/>
      <c r="G9" s="752" t="s">
        <v>190</v>
      </c>
      <c r="H9" s="652" t="s">
        <v>8</v>
      </c>
      <c r="I9" s="8"/>
    </row>
    <row r="10" spans="2:16" ht="16.5" customHeight="1" thickBot="1">
      <c r="B10" s="585"/>
      <c r="C10" s="268"/>
      <c r="D10" s="653">
        <f>IF('Reporting Worksheet'!G17&gt;0,IF('Reporting Worksheet'!R17=1,'Reporting Worksheet'!G17/(1+'Reporting Worksheet'!L17),'Reporting Worksheet'!G17-'Reporting Worksheet'!N17),0)</f>
        <v>54.335000000000001</v>
      </c>
      <c r="E10" s="654"/>
      <c r="F10" s="655"/>
      <c r="G10" s="753"/>
      <c r="H10" s="656">
        <f>D10</f>
        <v>54.335000000000001</v>
      </c>
      <c r="I10" s="8"/>
    </row>
    <row r="11" spans="2:16" ht="30" customHeight="1">
      <c r="B11" s="586"/>
      <c r="C11" s="642"/>
      <c r="D11" s="246"/>
      <c r="E11" s="247"/>
      <c r="F11" s="748" t="s">
        <v>7</v>
      </c>
      <c r="G11" s="657" t="s">
        <v>281</v>
      </c>
      <c r="H11" s="587" t="s">
        <v>8</v>
      </c>
      <c r="I11" s="8"/>
      <c r="K11" s="12" t="s">
        <v>355</v>
      </c>
      <c r="L11" s="570"/>
      <c r="M11" s="570"/>
      <c r="N11" s="570"/>
      <c r="O11" s="570"/>
      <c r="P11" s="570"/>
    </row>
    <row r="12" spans="2:16" ht="15.75" customHeight="1">
      <c r="B12" s="588"/>
      <c r="C12" s="643"/>
      <c r="D12" s="248"/>
      <c r="E12" s="249"/>
      <c r="F12" s="749"/>
      <c r="G12" s="250">
        <f>'Reporting Worksheet'!G23</f>
        <v>4440.5469999999996</v>
      </c>
      <c r="H12" s="589"/>
      <c r="I12" s="8"/>
      <c r="K12" s="13"/>
      <c r="L12" s="570"/>
      <c r="M12" s="570"/>
      <c r="N12" s="570"/>
      <c r="O12" s="570"/>
      <c r="P12" s="570"/>
    </row>
    <row r="13" spans="2:16" ht="22.5" customHeight="1">
      <c r="B13" s="590" t="s">
        <v>254</v>
      </c>
      <c r="C13" s="644"/>
      <c r="D13" s="248"/>
      <c r="E13" s="503" t="s">
        <v>6</v>
      </c>
      <c r="F13" s="251">
        <f>'Reporting Worksheet'!G23+'Reporting Worksheet'!G24</f>
        <v>4440.5469999999996</v>
      </c>
      <c r="G13" s="507" t="s">
        <v>9</v>
      </c>
      <c r="H13" s="591">
        <f>SUM(G12+G14)</f>
        <v>4440.5469999999996</v>
      </c>
      <c r="I13" s="8"/>
      <c r="K13" s="579" t="s">
        <v>345</v>
      </c>
      <c r="L13" s="571">
        <f>'Water Balance'!B17</f>
        <v>5243.759</v>
      </c>
      <c r="M13" s="571"/>
      <c r="N13" s="571"/>
      <c r="O13" s="571"/>
    </row>
    <row r="14" spans="2:16" ht="15.75" customHeight="1">
      <c r="B14" s="751" t="s">
        <v>255</v>
      </c>
      <c r="C14" s="645"/>
      <c r="D14" s="248"/>
      <c r="E14" s="252"/>
      <c r="F14" s="253"/>
      <c r="G14" s="254">
        <f>'Reporting Worksheet'!G24</f>
        <v>0</v>
      </c>
      <c r="H14" s="592"/>
      <c r="I14" s="8"/>
      <c r="K14" s="579" t="s">
        <v>30</v>
      </c>
      <c r="L14" s="571">
        <f>'Water Balance'!B27</f>
        <v>233.6473</v>
      </c>
      <c r="M14" s="571"/>
      <c r="N14" s="571"/>
      <c r="O14" s="571"/>
    </row>
    <row r="15" spans="2:16" ht="15.75" customHeight="1">
      <c r="B15" s="751"/>
      <c r="C15" s="645"/>
      <c r="D15" s="248"/>
      <c r="E15" s="255">
        <f>'Reporting Worksheet'!G30</f>
        <v>4562.3187212499997</v>
      </c>
      <c r="F15" s="750" t="s">
        <v>10</v>
      </c>
      <c r="G15" s="508" t="s">
        <v>11</v>
      </c>
      <c r="H15" s="746" t="s">
        <v>12</v>
      </c>
      <c r="I15" s="8"/>
      <c r="K15" s="579" t="s">
        <v>31</v>
      </c>
      <c r="L15" s="572">
        <f>'Water Balance'!D10</f>
        <v>54.335000000000001</v>
      </c>
      <c r="M15" s="572">
        <f>'Water Balance'!D10</f>
        <v>54.335000000000001</v>
      </c>
      <c r="N15" s="572">
        <f>'Water Balance'!D10</f>
        <v>54.335000000000001</v>
      </c>
      <c r="O15" s="572">
        <f>'Water Balance'!D10</f>
        <v>54.335000000000001</v>
      </c>
      <c r="P15" s="572">
        <f>'Water Balance'!D10</f>
        <v>54.335000000000001</v>
      </c>
    </row>
    <row r="16" spans="2:16" ht="15.75" customHeight="1">
      <c r="B16" s="588"/>
      <c r="C16" s="643"/>
      <c r="D16" s="248"/>
      <c r="E16" s="249"/>
      <c r="F16" s="749"/>
      <c r="G16" s="256">
        <f>'Reporting Worksheet'!G25</f>
        <v>53.983330000000002</v>
      </c>
      <c r="H16" s="747"/>
      <c r="I16" s="8"/>
      <c r="K16" s="579" t="s">
        <v>256</v>
      </c>
      <c r="L16" s="571"/>
      <c r="M16" s="573">
        <f>'Water Balance'!D21</f>
        <v>5423.0712999999996</v>
      </c>
      <c r="N16" s="574"/>
      <c r="O16" s="574"/>
      <c r="P16" s="574"/>
    </row>
    <row r="17" spans="2:16" ht="22.5" customHeight="1">
      <c r="B17" s="593">
        <f>IF('Reporting Worksheet'!R15&gt;0,IF('Reporting Worksheet'!R15=1,'Reporting Worksheet'!G15/(1+'Reporting Worksheet'!L15),'Reporting Worksheet'!G15-'Reporting Worksheet'!N15),0)</f>
        <v>5243.759</v>
      </c>
      <c r="C17" s="646"/>
      <c r="D17" s="257"/>
      <c r="E17" s="249"/>
      <c r="F17" s="258">
        <f>'Reporting Worksheet'!G25+'Reporting Worksheet'!G26</f>
        <v>121.77172125000001</v>
      </c>
      <c r="G17" s="506" t="s">
        <v>13</v>
      </c>
      <c r="H17" s="589"/>
      <c r="I17" s="8"/>
      <c r="K17" s="579" t="s">
        <v>6</v>
      </c>
      <c r="L17" s="571"/>
      <c r="M17" s="574"/>
      <c r="N17" s="573">
        <f>'Water Balance'!E15</f>
        <v>4562.3187212499997</v>
      </c>
      <c r="O17" s="574"/>
      <c r="P17" s="574"/>
    </row>
    <row r="18" spans="2:16" ht="15.75" customHeight="1">
      <c r="B18" s="588"/>
      <c r="C18" s="643"/>
      <c r="D18" s="248"/>
      <c r="E18" s="259"/>
      <c r="F18" s="253"/>
      <c r="G18" s="260">
        <f>'Reporting Worksheet'!G26</f>
        <v>67.788391250000004</v>
      </c>
      <c r="H18" s="589"/>
      <c r="I18" s="8"/>
      <c r="K18" s="579" t="s">
        <v>119</v>
      </c>
      <c r="L18" s="571"/>
      <c r="M18" s="574"/>
      <c r="N18" s="573">
        <f>'Water Balance'!E25</f>
        <v>860.75257874999988</v>
      </c>
      <c r="O18" s="574"/>
      <c r="P18" s="574"/>
    </row>
    <row r="19" spans="2:16" ht="22.5" customHeight="1">
      <c r="B19" s="588"/>
      <c r="C19" s="502" t="s">
        <v>758</v>
      </c>
      <c r="D19" s="502" t="s">
        <v>256</v>
      </c>
      <c r="E19" s="247"/>
      <c r="F19" s="261"/>
      <c r="G19" s="507" t="s">
        <v>14</v>
      </c>
      <c r="H19" s="594">
        <f>'Reporting Worksheet'!G25+'Reporting Worksheet'!G26+'Reporting Worksheet'!G47+'Reporting Worksheet'!G52</f>
        <v>982.52429999999981</v>
      </c>
      <c r="I19" s="8"/>
      <c r="K19" s="579" t="s">
        <v>719</v>
      </c>
      <c r="L19" s="571"/>
      <c r="M19" s="574"/>
      <c r="N19" s="574"/>
      <c r="O19" s="573">
        <f>'Water Balance'!F13</f>
        <v>4440.5469999999996</v>
      </c>
      <c r="P19" s="574"/>
    </row>
    <row r="20" spans="2:16" ht="15.75" customHeight="1">
      <c r="B20" s="588"/>
      <c r="C20" s="262">
        <f>B17+B27</f>
        <v>5477.4062999999996</v>
      </c>
      <c r="D20" s="248"/>
      <c r="E20" s="249"/>
      <c r="F20" s="505" t="s">
        <v>120</v>
      </c>
      <c r="G20" s="256">
        <f>'Reporting Worksheet'!G38</f>
        <v>13.557678249999999</v>
      </c>
      <c r="H20" s="589"/>
      <c r="I20" s="8"/>
      <c r="K20" s="579" t="s">
        <v>718</v>
      </c>
      <c r="L20" s="571"/>
      <c r="M20" s="574"/>
      <c r="N20" s="574"/>
      <c r="O20" s="573">
        <f>'Water Balance'!F17</f>
        <v>121.77172125000001</v>
      </c>
      <c r="P20" s="574"/>
    </row>
    <row r="21" spans="2:16" ht="14.25" customHeight="1">
      <c r="B21" s="595"/>
      <c r="C21" s="648"/>
      <c r="D21" s="262">
        <f>'Reporting Worksheet'!G19</f>
        <v>5423.0712999999996</v>
      </c>
      <c r="E21" s="263"/>
      <c r="F21" s="258">
        <f>'Reporting Worksheet'!G47</f>
        <v>24.659045749999997</v>
      </c>
      <c r="G21" s="506" t="s">
        <v>15</v>
      </c>
      <c r="H21" s="589"/>
      <c r="I21" s="8"/>
      <c r="K21" s="579" t="s">
        <v>120</v>
      </c>
      <c r="L21" s="571"/>
      <c r="M21" s="574"/>
      <c r="N21" s="574"/>
      <c r="O21" s="573">
        <f>'Water Balance'!F21</f>
        <v>24.659045749999997</v>
      </c>
      <c r="P21" s="574"/>
    </row>
    <row r="22" spans="2:16" ht="15.75" customHeight="1">
      <c r="B22" s="588"/>
      <c r="C22" s="643"/>
      <c r="D22" s="248"/>
      <c r="E22" s="249"/>
      <c r="F22" s="263"/>
      <c r="G22" s="264">
        <f>'Reporting Worksheet'!G42</f>
        <v>0</v>
      </c>
      <c r="H22" s="589"/>
      <c r="I22" s="8"/>
      <c r="K22" s="579" t="s">
        <v>121</v>
      </c>
      <c r="L22" s="571"/>
      <c r="M22" s="574"/>
      <c r="N22" s="574"/>
      <c r="O22" s="573">
        <f>'Water Balance'!F27</f>
        <v>836.09353299999987</v>
      </c>
      <c r="P22" s="574"/>
    </row>
    <row r="23" spans="2:16" ht="23.25" customHeight="1">
      <c r="B23" s="588"/>
      <c r="C23" s="643"/>
      <c r="D23" s="248"/>
      <c r="E23" s="249"/>
      <c r="F23" s="263"/>
      <c r="G23" s="506" t="s">
        <v>175</v>
      </c>
      <c r="H23" s="589"/>
      <c r="I23" s="8"/>
      <c r="K23" s="579" t="s">
        <v>8</v>
      </c>
      <c r="L23" s="571"/>
      <c r="M23" s="574"/>
      <c r="N23" s="574"/>
      <c r="O23" s="574"/>
      <c r="P23" s="573">
        <f>'Water Balance'!H13</f>
        <v>4440.5469999999996</v>
      </c>
    </row>
    <row r="24" spans="2:16" ht="15.75" customHeight="1">
      <c r="B24" s="588"/>
      <c r="C24" s="643"/>
      <c r="D24" s="248"/>
      <c r="E24" s="504" t="s">
        <v>119</v>
      </c>
      <c r="F24" s="253"/>
      <c r="G24" s="256">
        <f>'Reporting Worksheet'!G43</f>
        <v>11.101367499999999</v>
      </c>
      <c r="H24" s="589"/>
      <c r="I24" s="8"/>
      <c r="K24" s="579" t="s">
        <v>335</v>
      </c>
      <c r="L24" s="571"/>
      <c r="M24" s="574"/>
      <c r="N24" s="574"/>
      <c r="O24" s="574"/>
      <c r="P24" s="573">
        <f>'Water Balance'!H19</f>
        <v>982.52429999999981</v>
      </c>
    </row>
    <row r="25" spans="2:16" ht="26.25" customHeight="1">
      <c r="B25" s="596" t="s">
        <v>30</v>
      </c>
      <c r="C25" s="644"/>
      <c r="D25" s="248"/>
      <c r="E25" s="265">
        <f>'Reporting Worksheet'!G54</f>
        <v>860.75257874999988</v>
      </c>
      <c r="F25" s="263"/>
      <c r="G25" s="506" t="s">
        <v>16</v>
      </c>
      <c r="H25" s="589"/>
      <c r="I25" s="8"/>
      <c r="K25" s="64"/>
      <c r="L25" s="575">
        <f>L13+L14</f>
        <v>5477.4062999999996</v>
      </c>
      <c r="M25" s="575">
        <f>SUM(M13:M24)</f>
        <v>5477.4062999999996</v>
      </c>
      <c r="N25" s="575">
        <f>SUM(N13:N24)</f>
        <v>5477.4062999999996</v>
      </c>
      <c r="O25" s="575">
        <f>SUM(O13:O24)</f>
        <v>5477.4062999999996</v>
      </c>
      <c r="P25" s="575">
        <f>SUM(P13:P24)</f>
        <v>5477.4062999999996</v>
      </c>
    </row>
    <row r="26" spans="2:16" ht="15.75" customHeight="1">
      <c r="B26" s="588"/>
      <c r="C26" s="643"/>
      <c r="D26" s="248"/>
      <c r="E26" s="249"/>
      <c r="F26" s="505" t="s">
        <v>121</v>
      </c>
      <c r="G26" s="266" t="s">
        <v>271</v>
      </c>
      <c r="H26" s="589"/>
      <c r="I26" s="8"/>
    </row>
    <row r="27" spans="2:16" ht="24.75" customHeight="1">
      <c r="B27" s="593">
        <f>IF('Reporting Worksheet'!G16&gt;0,IF('Reporting Worksheet'!R16=1,'Reporting Worksheet'!G16/(1+'Reporting Worksheet'!L16),'Reporting Worksheet'!G16-'Reporting Worksheet'!N16),0)</f>
        <v>233.6473</v>
      </c>
      <c r="C27" s="646"/>
      <c r="D27" s="248"/>
      <c r="E27" s="249"/>
      <c r="F27" s="258">
        <f>'Reporting Worksheet'!G52</f>
        <v>836.09353299999987</v>
      </c>
      <c r="G27" s="507" t="s">
        <v>17</v>
      </c>
      <c r="H27" s="589"/>
      <c r="I27" s="8"/>
    </row>
    <row r="28" spans="2:16" ht="16.5" customHeight="1">
      <c r="B28" s="588"/>
      <c r="C28" s="643"/>
      <c r="D28" s="248"/>
      <c r="E28" s="249"/>
      <c r="F28" s="263"/>
      <c r="G28" s="267" t="s">
        <v>271</v>
      </c>
      <c r="H28" s="589"/>
      <c r="I28" s="8"/>
    </row>
    <row r="29" spans="2:16" ht="12.75" customHeight="1">
      <c r="B29" s="588"/>
      <c r="C29" s="643"/>
      <c r="D29" s="248"/>
      <c r="E29" s="249"/>
      <c r="F29" s="263"/>
      <c r="G29" s="506" t="s">
        <v>270</v>
      </c>
      <c r="H29" s="589"/>
      <c r="I29" s="8"/>
    </row>
    <row r="30" spans="2:16" ht="14.25" thickBot="1">
      <c r="B30" s="597"/>
      <c r="C30" s="647"/>
      <c r="D30" s="598"/>
      <c r="E30" s="599"/>
      <c r="F30" s="600"/>
      <c r="G30" s="601" t="s">
        <v>271</v>
      </c>
      <c r="H30" s="602"/>
      <c r="I30" s="8"/>
    </row>
    <row r="31" spans="2:16" ht="14.25" thickTop="1">
      <c r="B31" s="10"/>
      <c r="C31" s="10"/>
      <c r="D31" s="10"/>
      <c r="E31" s="10"/>
      <c r="F31" s="8"/>
      <c r="G31" s="8"/>
      <c r="H31" s="8"/>
      <c r="I31" s="8"/>
    </row>
    <row r="32" spans="2:16" hidden="1">
      <c r="B32" s="8"/>
      <c r="C32" s="8"/>
      <c r="D32" s="8"/>
      <c r="E32" s="8"/>
      <c r="F32" s="8"/>
      <c r="G32" s="8"/>
      <c r="H32" s="8"/>
      <c r="I32" s="8"/>
    </row>
    <row r="33" spans="2:9" hidden="1">
      <c r="B33" s="8"/>
      <c r="C33" s="8"/>
      <c r="D33" s="8"/>
      <c r="E33" s="8"/>
      <c r="F33" s="8"/>
      <c r="G33" s="8"/>
      <c r="H33" s="8"/>
      <c r="I33" s="8"/>
    </row>
    <row r="34" spans="2:9" hidden="1">
      <c r="B34" s="8"/>
      <c r="C34" s="8"/>
      <c r="D34" s="8"/>
      <c r="E34" s="8"/>
      <c r="F34" s="8"/>
      <c r="G34" s="8"/>
      <c r="H34" s="8"/>
      <c r="I34" s="8"/>
    </row>
    <row r="35" spans="2:9" hidden="1">
      <c r="B35" s="8"/>
      <c r="C35" s="8"/>
      <c r="D35" s="8"/>
      <c r="E35" s="8"/>
      <c r="F35" s="8"/>
      <c r="G35" s="8"/>
      <c r="H35" s="8"/>
      <c r="I35" s="8"/>
    </row>
    <row r="36" spans="2:9" hidden="1">
      <c r="B36" s="8"/>
      <c r="C36" s="8"/>
      <c r="D36" s="8"/>
      <c r="E36" s="8"/>
      <c r="F36" s="8"/>
      <c r="G36" s="8"/>
      <c r="H36" s="8"/>
      <c r="I36" s="8"/>
    </row>
    <row r="37" spans="2:9" hidden="1">
      <c r="B37" s="8"/>
      <c r="C37" s="8"/>
      <c r="D37" s="8"/>
      <c r="E37" s="8"/>
      <c r="F37" s="8"/>
      <c r="G37" s="8"/>
      <c r="H37" s="8"/>
      <c r="I37" s="8"/>
    </row>
    <row r="38" spans="2:9" hidden="1">
      <c r="B38" s="8"/>
      <c r="C38" s="8"/>
      <c r="D38" s="8"/>
      <c r="E38" s="8"/>
      <c r="F38" s="8"/>
      <c r="G38" s="8"/>
      <c r="H38" s="8"/>
      <c r="I38" s="8"/>
    </row>
    <row r="39" spans="2:9" hidden="1">
      <c r="B39" s="8"/>
      <c r="C39" s="8"/>
      <c r="D39" s="8"/>
      <c r="E39" s="8"/>
      <c r="F39" s="8"/>
      <c r="G39" s="8"/>
      <c r="H39" s="8"/>
      <c r="I39" s="8"/>
    </row>
    <row r="40" spans="2:9" hidden="1">
      <c r="B40" s="8"/>
      <c r="C40" s="8"/>
      <c r="D40" s="8"/>
      <c r="E40" s="8"/>
      <c r="F40" s="8"/>
      <c r="G40" s="8"/>
      <c r="H40" s="8"/>
      <c r="I40" s="8"/>
    </row>
    <row r="41" spans="2:9" hidden="1">
      <c r="B41" s="8"/>
      <c r="C41" s="8"/>
      <c r="D41" s="8"/>
      <c r="E41" s="8"/>
      <c r="F41" s="8"/>
      <c r="G41" s="8"/>
      <c r="H41" s="8"/>
      <c r="I41" s="8"/>
    </row>
    <row r="42" spans="2:9" hidden="1">
      <c r="B42" s="8"/>
      <c r="C42" s="8"/>
      <c r="D42" s="8"/>
      <c r="E42" s="8"/>
      <c r="F42" s="8"/>
      <c r="G42" s="8"/>
      <c r="H42" s="8"/>
      <c r="I42" s="8"/>
    </row>
    <row r="43" spans="2:9" hidden="1">
      <c r="B43" s="8"/>
      <c r="C43" s="8"/>
      <c r="D43" s="8"/>
      <c r="E43" s="8"/>
      <c r="F43" s="8"/>
      <c r="G43" s="8"/>
      <c r="H43" s="8"/>
      <c r="I43" s="8"/>
    </row>
    <row r="44" spans="2:9" hidden="1">
      <c r="B44" s="8"/>
      <c r="C44" s="8"/>
      <c r="D44" s="8"/>
      <c r="E44" s="8"/>
      <c r="F44" s="8"/>
      <c r="G44" s="8"/>
      <c r="H44" s="8"/>
      <c r="I44" s="8"/>
    </row>
    <row r="45" spans="2:9" hidden="1">
      <c r="B45" s="8"/>
      <c r="C45" s="8"/>
      <c r="D45" s="8"/>
      <c r="E45" s="8"/>
      <c r="F45" s="8"/>
      <c r="G45" s="8"/>
      <c r="H45" s="8"/>
      <c r="I45" s="8"/>
    </row>
    <row r="46" spans="2:9" hidden="1">
      <c r="B46" s="8"/>
      <c r="C46" s="8"/>
      <c r="D46" s="8"/>
      <c r="E46" s="8"/>
      <c r="F46" s="8"/>
      <c r="G46" s="8"/>
      <c r="H46" s="8"/>
      <c r="I46" s="8"/>
    </row>
    <row r="47" spans="2:9" ht="12.75" hidden="1" customHeight="1">
      <c r="B47" s="8"/>
      <c r="C47" s="8"/>
      <c r="D47" s="8"/>
      <c r="E47" s="8"/>
      <c r="F47" s="8"/>
      <c r="G47" s="8"/>
      <c r="H47" s="8"/>
      <c r="I47" s="8"/>
    </row>
    <row r="48" spans="2:9" hidden="1">
      <c r="B48" s="8"/>
      <c r="C48" s="8"/>
      <c r="D48" s="8"/>
      <c r="E48" s="8"/>
      <c r="F48" s="8"/>
      <c r="G48" s="8"/>
      <c r="H48" s="8"/>
      <c r="I48" s="8"/>
    </row>
    <row r="49" spans="2:9" hidden="1">
      <c r="B49" s="8"/>
      <c r="C49" s="8"/>
      <c r="D49" s="8"/>
      <c r="E49" s="8"/>
      <c r="F49" s="8"/>
      <c r="G49" s="8"/>
      <c r="H49" s="8"/>
      <c r="I49" s="8"/>
    </row>
    <row r="50" spans="2:9" hidden="1">
      <c r="B50" s="8"/>
      <c r="C50" s="8"/>
      <c r="D50" s="8"/>
      <c r="E50" s="8"/>
      <c r="F50" s="8"/>
      <c r="G50" s="8"/>
      <c r="H50" s="8"/>
      <c r="I50" s="8"/>
    </row>
    <row r="51" spans="2:9" hidden="1">
      <c r="B51" s="8"/>
      <c r="C51" s="8"/>
      <c r="D51" s="8"/>
      <c r="E51" s="8"/>
      <c r="F51" s="8"/>
      <c r="G51" s="8"/>
      <c r="H51" s="8"/>
      <c r="I51" s="8"/>
    </row>
    <row r="52" spans="2:9" hidden="1">
      <c r="B52" s="8"/>
      <c r="C52" s="8"/>
      <c r="D52" s="8"/>
      <c r="E52" s="8"/>
      <c r="F52" s="8"/>
      <c r="G52" s="8"/>
      <c r="H52" s="8"/>
      <c r="I52" s="8"/>
    </row>
    <row r="53" spans="2:9" hidden="1">
      <c r="B53" s="8"/>
      <c r="C53" s="8"/>
      <c r="D53" s="8"/>
      <c r="E53" s="8"/>
      <c r="F53" s="8"/>
      <c r="G53" s="8"/>
      <c r="H53" s="8"/>
      <c r="I53" s="8"/>
    </row>
    <row r="54" spans="2:9" hidden="1">
      <c r="B54" s="8"/>
      <c r="C54" s="8"/>
      <c r="D54" s="8"/>
      <c r="E54" s="8"/>
      <c r="F54" s="8"/>
      <c r="G54" s="8"/>
      <c r="H54" s="8"/>
      <c r="I54" s="8"/>
    </row>
    <row r="55" spans="2:9" hidden="1">
      <c r="B55" s="8"/>
      <c r="C55" s="8"/>
      <c r="D55" s="8"/>
      <c r="E55" s="8"/>
      <c r="F55" s="8"/>
      <c r="G55" s="8"/>
      <c r="H55" s="8"/>
      <c r="I55" s="8"/>
    </row>
    <row r="56" spans="2:9" hidden="1">
      <c r="B56" s="8"/>
      <c r="C56" s="8"/>
      <c r="D56" s="8"/>
      <c r="E56" s="8"/>
      <c r="F56" s="8"/>
      <c r="G56" s="8"/>
      <c r="H56" s="8"/>
      <c r="I56" s="8"/>
    </row>
    <row r="57" spans="2:9" hidden="1">
      <c r="B57" s="8"/>
      <c r="C57" s="8"/>
      <c r="D57" s="8"/>
      <c r="E57" s="8"/>
      <c r="F57" s="8"/>
      <c r="G57" s="8"/>
      <c r="H57" s="8"/>
      <c r="I57" s="8"/>
    </row>
    <row r="58" spans="2:9" hidden="1">
      <c r="B58" s="8"/>
      <c r="C58" s="8"/>
      <c r="D58" s="8"/>
      <c r="E58" s="8"/>
      <c r="F58" s="8"/>
      <c r="G58" s="8"/>
      <c r="H58" s="8"/>
      <c r="I58" s="8"/>
    </row>
    <row r="59" spans="2:9" hidden="1">
      <c r="B59" s="8"/>
      <c r="C59" s="8"/>
      <c r="D59" s="8"/>
      <c r="E59" s="8"/>
      <c r="F59" s="8"/>
      <c r="G59" s="8"/>
      <c r="H59" s="8"/>
      <c r="I59" s="8"/>
    </row>
    <row r="60" spans="2:9" hidden="1">
      <c r="B60" s="8"/>
      <c r="C60" s="8"/>
      <c r="D60" s="8"/>
      <c r="E60" s="8"/>
      <c r="F60" s="8"/>
      <c r="G60" s="8"/>
      <c r="H60" s="8"/>
      <c r="I60" s="8"/>
    </row>
    <row r="61" spans="2:9" hidden="1">
      <c r="B61" s="8"/>
      <c r="C61" s="8"/>
      <c r="D61" s="8"/>
      <c r="E61" s="8"/>
      <c r="F61" s="8"/>
      <c r="G61" s="8"/>
      <c r="H61" s="8"/>
      <c r="I61" s="8"/>
    </row>
    <row r="62" spans="2:9" hidden="1">
      <c r="B62" s="8"/>
      <c r="C62" s="8"/>
      <c r="D62" s="8"/>
      <c r="E62" s="8"/>
      <c r="F62" s="8"/>
      <c r="G62" s="8"/>
      <c r="H62" s="8"/>
      <c r="I62" s="8"/>
    </row>
    <row r="63" spans="2:9" hidden="1">
      <c r="B63" s="8"/>
      <c r="C63" s="8"/>
      <c r="D63" s="8"/>
      <c r="E63" s="8"/>
      <c r="F63" s="8"/>
      <c r="G63" s="8"/>
      <c r="H63" s="8"/>
      <c r="I63" s="8"/>
    </row>
    <row r="64" spans="2:9" hidden="1">
      <c r="B64" s="8"/>
      <c r="C64" s="8"/>
      <c r="D64" s="8"/>
      <c r="E64" s="8"/>
      <c r="F64" s="8"/>
      <c r="G64" s="8"/>
      <c r="H64" s="8"/>
      <c r="I64" s="8"/>
    </row>
    <row r="65" spans="2:9" hidden="1">
      <c r="B65" s="8"/>
      <c r="C65" s="8"/>
      <c r="D65" s="8"/>
      <c r="E65" s="8"/>
      <c r="F65" s="8"/>
      <c r="G65" s="8"/>
      <c r="H65" s="8"/>
      <c r="I65" s="8"/>
    </row>
    <row r="66" spans="2:9" hidden="1">
      <c r="B66" s="8"/>
      <c r="C66" s="8"/>
      <c r="D66" s="8"/>
      <c r="E66" s="8"/>
      <c r="F66" s="8"/>
      <c r="G66" s="8"/>
      <c r="H66" s="8"/>
      <c r="I66" s="8"/>
    </row>
    <row r="67" spans="2:9" hidden="1">
      <c r="B67" s="8"/>
      <c r="C67" s="8"/>
      <c r="D67" s="8"/>
      <c r="E67" s="8"/>
      <c r="F67" s="8"/>
      <c r="G67" s="8"/>
      <c r="H67" s="8"/>
      <c r="I67" s="8"/>
    </row>
    <row r="68" spans="2:9" hidden="1">
      <c r="B68" s="8"/>
      <c r="C68" s="8"/>
      <c r="D68" s="8"/>
      <c r="E68" s="8"/>
      <c r="F68" s="8"/>
      <c r="G68" s="8"/>
      <c r="H68" s="8"/>
      <c r="I68" s="8"/>
    </row>
    <row r="69" spans="2:9" hidden="1">
      <c r="B69" s="8"/>
      <c r="C69" s="8"/>
      <c r="D69" s="8"/>
      <c r="E69" s="8"/>
      <c r="F69" s="8"/>
      <c r="G69" s="8"/>
      <c r="H69" s="8"/>
      <c r="I69" s="8"/>
    </row>
    <row r="70" spans="2:9" hidden="1">
      <c r="B70" s="8"/>
      <c r="C70" s="8"/>
      <c r="D70" s="8"/>
      <c r="E70" s="8"/>
      <c r="F70" s="8"/>
      <c r="G70" s="8"/>
      <c r="H70" s="8"/>
      <c r="I70" s="8"/>
    </row>
    <row r="71" spans="2:9" hidden="1">
      <c r="B71" s="8"/>
      <c r="C71" s="8"/>
      <c r="D71" s="8"/>
      <c r="E71" s="8"/>
      <c r="F71" s="8"/>
      <c r="G71" s="8"/>
      <c r="H71" s="8"/>
      <c r="I71" s="8"/>
    </row>
    <row r="72" spans="2:9" hidden="1">
      <c r="B72" s="8"/>
      <c r="C72" s="8"/>
      <c r="D72" s="8"/>
      <c r="E72" s="8"/>
      <c r="F72" s="8"/>
      <c r="G72" s="8"/>
      <c r="H72" s="8"/>
      <c r="I72" s="8"/>
    </row>
    <row r="73" spans="2:9" hidden="1">
      <c r="B73" s="8"/>
      <c r="C73" s="8"/>
      <c r="D73" s="8"/>
      <c r="E73" s="8"/>
      <c r="F73" s="8"/>
      <c r="G73" s="8"/>
      <c r="H73" s="8"/>
      <c r="I73" s="8"/>
    </row>
    <row r="74" spans="2:9" hidden="1">
      <c r="B74" s="8"/>
      <c r="C74" s="8"/>
      <c r="D74" s="8"/>
      <c r="E74" s="8"/>
      <c r="F74" s="8"/>
      <c r="G74" s="8"/>
      <c r="H74" s="8"/>
      <c r="I74" s="8"/>
    </row>
    <row r="75" spans="2:9" hidden="1">
      <c r="B75" s="8"/>
      <c r="C75" s="8"/>
      <c r="D75" s="8"/>
      <c r="E75" s="8"/>
      <c r="F75" s="8"/>
      <c r="G75" s="8"/>
      <c r="H75" s="8"/>
      <c r="I75" s="8"/>
    </row>
    <row r="76" spans="2:9" hidden="1">
      <c r="B76" s="8"/>
      <c r="C76" s="8"/>
      <c r="D76" s="8"/>
      <c r="E76" s="8"/>
      <c r="F76" s="8"/>
      <c r="G76" s="8"/>
      <c r="H76" s="8"/>
      <c r="I76" s="8"/>
    </row>
    <row r="77" spans="2:9" hidden="1">
      <c r="B77" s="8"/>
      <c r="C77" s="8"/>
      <c r="D77" s="8"/>
      <c r="E77" s="8"/>
      <c r="F77" s="8"/>
      <c r="G77" s="8"/>
      <c r="H77" s="8"/>
      <c r="I77" s="8"/>
    </row>
    <row r="78" spans="2:9" hidden="1">
      <c r="B78" s="8"/>
      <c r="C78" s="8"/>
      <c r="D78" s="8"/>
      <c r="E78" s="8"/>
      <c r="F78" s="8"/>
      <c r="G78" s="8"/>
      <c r="H78" s="8"/>
      <c r="I78" s="8"/>
    </row>
    <row r="79" spans="2:9" hidden="1">
      <c r="B79" s="8"/>
      <c r="C79" s="8"/>
      <c r="D79" s="8"/>
      <c r="E79" s="8"/>
      <c r="F79" s="8"/>
      <c r="G79" s="8"/>
      <c r="H79" s="8"/>
      <c r="I79" s="8"/>
    </row>
    <row r="80" spans="2:9" hidden="1">
      <c r="B80" s="8"/>
      <c r="C80" s="8"/>
      <c r="D80" s="8"/>
      <c r="E80" s="8"/>
      <c r="F80" s="8"/>
      <c r="G80" s="8"/>
      <c r="H80" s="8"/>
      <c r="I80" s="8"/>
    </row>
    <row r="81" spans="2:9" hidden="1">
      <c r="B81" s="8"/>
      <c r="C81" s="8"/>
      <c r="D81" s="8"/>
      <c r="E81" s="8"/>
      <c r="F81" s="8"/>
      <c r="G81" s="8"/>
      <c r="H81" s="8"/>
      <c r="I81" s="8"/>
    </row>
    <row r="82" spans="2:9" hidden="1">
      <c r="B82" s="8"/>
      <c r="C82" s="8"/>
      <c r="D82" s="8"/>
      <c r="E82" s="8"/>
      <c r="F82" s="8"/>
      <c r="G82" s="8"/>
      <c r="H82" s="8"/>
      <c r="I82" s="8"/>
    </row>
    <row r="83" spans="2:9" hidden="1">
      <c r="B83" s="8"/>
      <c r="C83" s="8"/>
      <c r="D83" s="8"/>
      <c r="E83" s="8"/>
      <c r="F83" s="8"/>
      <c r="G83" s="8"/>
      <c r="H83" s="8"/>
      <c r="I83" s="8"/>
    </row>
    <row r="84" spans="2:9" hidden="1">
      <c r="B84" s="8"/>
      <c r="C84" s="8"/>
      <c r="D84" s="8"/>
      <c r="E84" s="8"/>
      <c r="F84" s="8"/>
      <c r="G84" s="8"/>
      <c r="H84" s="8"/>
      <c r="I84" s="8"/>
    </row>
    <row r="85" spans="2:9" hidden="1">
      <c r="B85" s="8"/>
      <c r="C85" s="8"/>
      <c r="D85" s="8"/>
      <c r="E85" s="8"/>
      <c r="F85" s="8"/>
      <c r="G85" s="8"/>
      <c r="H85" s="8"/>
      <c r="I85" s="8"/>
    </row>
    <row r="86" spans="2:9" hidden="1">
      <c r="B86" s="8"/>
      <c r="C86" s="8"/>
      <c r="D86" s="8"/>
      <c r="E86" s="8"/>
      <c r="F86" s="8"/>
      <c r="G86" s="8"/>
      <c r="H86" s="8"/>
      <c r="I86" s="8"/>
    </row>
    <row r="87" spans="2:9" hidden="1">
      <c r="B87" s="8"/>
      <c r="C87" s="8"/>
      <c r="D87" s="8"/>
      <c r="E87" s="8"/>
      <c r="F87" s="8"/>
      <c r="G87" s="8"/>
      <c r="H87" s="8"/>
      <c r="I87" s="8"/>
    </row>
    <row r="88" spans="2:9" hidden="1">
      <c r="B88" s="8"/>
      <c r="C88" s="8"/>
      <c r="D88" s="8"/>
      <c r="E88" s="8"/>
      <c r="F88" s="8"/>
      <c r="G88" s="8"/>
      <c r="H88" s="8"/>
      <c r="I88" s="8"/>
    </row>
    <row r="89" spans="2:9" hidden="1">
      <c r="B89" s="8"/>
      <c r="C89" s="8"/>
      <c r="D89" s="8"/>
      <c r="E89" s="8"/>
      <c r="F89" s="8"/>
      <c r="G89" s="8"/>
      <c r="H89" s="8"/>
      <c r="I89" s="8"/>
    </row>
    <row r="90" spans="2:9" hidden="1">
      <c r="B90" s="8"/>
      <c r="C90" s="8"/>
      <c r="D90" s="8"/>
      <c r="E90" s="8"/>
      <c r="F90" s="8"/>
      <c r="G90" s="8"/>
      <c r="H90" s="8"/>
      <c r="I90" s="8"/>
    </row>
    <row r="91" spans="2:9" hidden="1">
      <c r="B91" s="8"/>
      <c r="C91" s="8"/>
      <c r="D91" s="8"/>
      <c r="E91" s="8"/>
      <c r="F91" s="8"/>
      <c r="G91" s="8"/>
      <c r="H91" s="8"/>
      <c r="I91" s="8"/>
    </row>
    <row r="92" spans="2:9" hidden="1">
      <c r="B92" s="8"/>
      <c r="C92" s="8"/>
      <c r="D92" s="8"/>
      <c r="E92" s="8"/>
      <c r="F92" s="8"/>
      <c r="G92" s="8"/>
      <c r="H92" s="8"/>
      <c r="I92" s="8"/>
    </row>
    <row r="93" spans="2:9" hidden="1">
      <c r="B93" s="8"/>
      <c r="C93" s="8"/>
      <c r="D93" s="8"/>
      <c r="E93" s="8"/>
      <c r="F93" s="8"/>
      <c r="G93" s="8"/>
      <c r="H93" s="8"/>
      <c r="I93" s="8"/>
    </row>
    <row r="94" spans="2:9" hidden="1">
      <c r="B94" s="8"/>
      <c r="C94" s="8"/>
      <c r="D94" s="8"/>
      <c r="E94" s="8"/>
      <c r="F94" s="8"/>
      <c r="G94" s="8"/>
      <c r="H94" s="8"/>
      <c r="I94" s="8"/>
    </row>
    <row r="95" spans="2:9" hidden="1">
      <c r="B95" s="8"/>
      <c r="C95" s="8"/>
      <c r="D95" s="8"/>
      <c r="E95" s="8"/>
      <c r="F95" s="8"/>
      <c r="G95" s="8"/>
      <c r="H95" s="8"/>
      <c r="I95" s="8"/>
    </row>
    <row r="96" spans="2:9" hidden="1">
      <c r="B96" s="8"/>
      <c r="C96" s="8"/>
      <c r="D96" s="8"/>
      <c r="E96" s="8"/>
      <c r="F96" s="8"/>
      <c r="G96" s="8"/>
      <c r="H96" s="8"/>
      <c r="I96" s="8"/>
    </row>
    <row r="97" spans="2:9" hidden="1">
      <c r="B97" s="8"/>
      <c r="C97" s="8"/>
      <c r="D97" s="8"/>
      <c r="E97" s="8"/>
      <c r="F97" s="8"/>
      <c r="G97" s="8"/>
      <c r="H97" s="8"/>
      <c r="I97" s="8"/>
    </row>
    <row r="98" spans="2:9" hidden="1">
      <c r="B98" s="8"/>
      <c r="C98" s="8"/>
      <c r="D98" s="8"/>
      <c r="E98" s="8"/>
      <c r="F98" s="8"/>
      <c r="G98" s="8"/>
      <c r="H98" s="8"/>
      <c r="I98" s="8"/>
    </row>
    <row r="99" spans="2:9" hidden="1">
      <c r="B99" s="8"/>
      <c r="C99" s="8"/>
      <c r="D99" s="8"/>
      <c r="E99" s="8"/>
      <c r="F99" s="8"/>
      <c r="G99" s="8"/>
      <c r="H99" s="8"/>
      <c r="I99" s="8"/>
    </row>
    <row r="100" spans="2:9" hidden="1">
      <c r="B100" s="8"/>
      <c r="C100" s="8"/>
      <c r="D100" s="8"/>
      <c r="E100" s="8"/>
      <c r="F100" s="8"/>
      <c r="G100" s="8"/>
      <c r="H100" s="8"/>
      <c r="I100" s="8"/>
    </row>
    <row r="101" spans="2:9" hidden="1">
      <c r="B101" s="8"/>
      <c r="C101" s="8"/>
      <c r="D101" s="8"/>
      <c r="E101" s="8"/>
      <c r="F101" s="8"/>
      <c r="G101" s="8"/>
      <c r="H101" s="8"/>
      <c r="I101" s="8"/>
    </row>
    <row r="102" spans="2:9" hidden="1">
      <c r="B102" s="8"/>
      <c r="C102" s="8"/>
      <c r="D102" s="8"/>
      <c r="E102" s="8"/>
      <c r="F102" s="8"/>
      <c r="G102" s="8"/>
      <c r="H102" s="8"/>
      <c r="I102" s="8"/>
    </row>
    <row r="103" spans="2:9" hidden="1">
      <c r="B103" s="8"/>
      <c r="C103" s="8"/>
      <c r="D103" s="8"/>
      <c r="E103" s="8"/>
      <c r="F103" s="8"/>
      <c r="G103" s="8"/>
      <c r="H103" s="8"/>
      <c r="I103" s="8"/>
    </row>
    <row r="104" spans="2:9" hidden="1">
      <c r="B104" s="8"/>
      <c r="C104" s="8"/>
      <c r="D104" s="8"/>
      <c r="E104" s="8"/>
      <c r="F104" s="8"/>
      <c r="G104" s="8"/>
      <c r="H104" s="8"/>
      <c r="I104" s="8"/>
    </row>
    <row r="105" spans="2:9" hidden="1">
      <c r="B105" s="8"/>
      <c r="C105" s="8"/>
      <c r="D105" s="8"/>
      <c r="E105" s="8"/>
      <c r="F105" s="8"/>
      <c r="G105" s="8"/>
      <c r="H105" s="8"/>
      <c r="I105" s="8"/>
    </row>
    <row r="106" spans="2:9" hidden="1">
      <c r="B106" s="8"/>
      <c r="C106" s="8"/>
      <c r="D106" s="8"/>
      <c r="E106" s="8"/>
      <c r="F106" s="8"/>
      <c r="G106" s="8"/>
      <c r="H106" s="8"/>
      <c r="I106" s="8"/>
    </row>
    <row r="107" spans="2:9" hidden="1">
      <c r="B107" s="8"/>
      <c r="C107" s="8"/>
      <c r="D107" s="8"/>
      <c r="E107" s="8"/>
      <c r="F107" s="8"/>
      <c r="G107" s="8"/>
      <c r="H107" s="8"/>
      <c r="I107" s="8"/>
    </row>
    <row r="108" spans="2:9" hidden="1">
      <c r="B108" s="8"/>
      <c r="C108" s="8"/>
      <c r="D108" s="8"/>
      <c r="E108" s="8"/>
      <c r="F108" s="8"/>
      <c r="G108" s="8"/>
      <c r="H108" s="8"/>
      <c r="I108" s="8"/>
    </row>
    <row r="109" spans="2:9" hidden="1">
      <c r="B109" s="8"/>
      <c r="C109" s="8"/>
      <c r="D109" s="8"/>
      <c r="E109" s="8"/>
      <c r="F109" s="8"/>
      <c r="G109" s="8"/>
      <c r="H109" s="8"/>
      <c r="I109" s="8"/>
    </row>
    <row r="110" spans="2:9" hidden="1">
      <c r="B110" s="8"/>
      <c r="C110" s="8"/>
      <c r="D110" s="8"/>
      <c r="E110" s="8"/>
      <c r="F110" s="8"/>
      <c r="G110" s="8"/>
      <c r="H110" s="8"/>
      <c r="I110" s="8"/>
    </row>
    <row r="111" spans="2:9" hidden="1">
      <c r="B111" s="8"/>
      <c r="C111" s="8"/>
      <c r="D111" s="8"/>
      <c r="E111" s="8"/>
      <c r="F111" s="8"/>
      <c r="G111" s="8"/>
      <c r="H111" s="8"/>
      <c r="I111" s="8"/>
    </row>
    <row r="112" spans="2:9" hidden="1">
      <c r="B112" s="8"/>
      <c r="C112" s="8"/>
      <c r="D112" s="8"/>
      <c r="E112" s="8"/>
      <c r="F112" s="8"/>
      <c r="G112" s="8"/>
      <c r="H112" s="8"/>
      <c r="I112" s="8"/>
    </row>
    <row r="113" spans="2:9" hidden="1">
      <c r="B113" s="8"/>
      <c r="C113" s="8"/>
      <c r="D113" s="8"/>
      <c r="E113" s="8"/>
      <c r="F113" s="8"/>
      <c r="G113" s="8"/>
      <c r="H113" s="8"/>
      <c r="I113" s="8"/>
    </row>
    <row r="114" spans="2:9" hidden="1">
      <c r="B114" s="8"/>
      <c r="C114" s="8"/>
      <c r="D114" s="8"/>
      <c r="E114" s="8"/>
      <c r="F114" s="8"/>
      <c r="G114" s="8"/>
      <c r="H114" s="8"/>
      <c r="I114" s="8"/>
    </row>
    <row r="115" spans="2:9" hidden="1">
      <c r="B115" s="8"/>
      <c r="C115" s="8"/>
      <c r="D115" s="8"/>
      <c r="E115" s="8"/>
      <c r="F115" s="8"/>
      <c r="G115" s="8"/>
      <c r="H115" s="8"/>
      <c r="I115" s="8"/>
    </row>
    <row r="116" spans="2:9" hidden="1">
      <c r="B116" s="8"/>
      <c r="C116" s="8"/>
      <c r="D116" s="8"/>
      <c r="E116" s="8"/>
      <c r="F116" s="8"/>
      <c r="G116" s="8"/>
      <c r="H116" s="8"/>
      <c r="I116" s="8"/>
    </row>
    <row r="117" spans="2:9" hidden="1">
      <c r="B117" s="8"/>
      <c r="C117" s="8"/>
      <c r="D117" s="8"/>
      <c r="E117" s="8"/>
      <c r="F117" s="8"/>
      <c r="G117" s="8"/>
      <c r="H117" s="8"/>
      <c r="I117" s="8"/>
    </row>
    <row r="118" spans="2:9" hidden="1">
      <c r="B118" s="8"/>
      <c r="C118" s="8"/>
      <c r="D118" s="8"/>
      <c r="E118" s="8"/>
      <c r="F118" s="8"/>
      <c r="G118" s="8"/>
      <c r="H118" s="8"/>
      <c r="I118" s="8"/>
    </row>
    <row r="119" spans="2:9" hidden="1">
      <c r="B119" s="8"/>
      <c r="C119" s="8"/>
      <c r="D119" s="8"/>
      <c r="E119" s="8"/>
      <c r="F119" s="8"/>
      <c r="G119" s="8"/>
      <c r="H119" s="8"/>
      <c r="I119" s="8"/>
    </row>
    <row r="120" spans="2:9" hidden="1">
      <c r="B120" s="8"/>
      <c r="C120" s="8"/>
      <c r="D120" s="8"/>
      <c r="E120" s="8"/>
      <c r="F120" s="8"/>
      <c r="G120" s="8"/>
      <c r="H120" s="8"/>
      <c r="I120" s="8"/>
    </row>
    <row r="121" spans="2:9" hidden="1">
      <c r="B121" s="8"/>
      <c r="C121" s="8"/>
      <c r="D121" s="8"/>
      <c r="E121" s="8"/>
      <c r="F121" s="8"/>
      <c r="G121" s="8"/>
      <c r="H121" s="8"/>
      <c r="I121" s="8"/>
    </row>
    <row r="122" spans="2:9" hidden="1">
      <c r="B122" s="8"/>
      <c r="C122" s="8"/>
      <c r="D122" s="8"/>
      <c r="E122" s="8"/>
      <c r="F122" s="8"/>
      <c r="G122" s="8"/>
      <c r="H122" s="8"/>
      <c r="I122" s="8"/>
    </row>
    <row r="123" spans="2:9" hidden="1">
      <c r="B123" s="8"/>
      <c r="C123" s="8"/>
      <c r="D123" s="8"/>
      <c r="E123" s="8"/>
      <c r="F123" s="8"/>
      <c r="G123" s="8"/>
      <c r="H123" s="8"/>
      <c r="I123" s="8"/>
    </row>
    <row r="124" spans="2:9" hidden="1">
      <c r="B124" s="8"/>
      <c r="C124" s="8"/>
      <c r="D124" s="8"/>
      <c r="E124" s="8"/>
      <c r="F124" s="8"/>
      <c r="G124" s="8"/>
      <c r="H124" s="8"/>
      <c r="I124" s="8"/>
    </row>
    <row r="125" spans="2:9" hidden="1">
      <c r="B125" s="8"/>
      <c r="C125" s="8"/>
      <c r="D125" s="8"/>
      <c r="E125" s="8"/>
      <c r="F125" s="8"/>
      <c r="G125" s="8"/>
      <c r="H125" s="8"/>
      <c r="I125" s="8"/>
    </row>
    <row r="126" spans="2:9" hidden="1">
      <c r="B126" s="8"/>
      <c r="C126" s="8"/>
      <c r="D126" s="8"/>
      <c r="E126" s="8"/>
      <c r="F126" s="8"/>
      <c r="G126" s="8"/>
      <c r="H126" s="8"/>
      <c r="I126" s="8"/>
    </row>
    <row r="127" spans="2:9" hidden="1">
      <c r="B127" s="8"/>
      <c r="C127" s="8"/>
      <c r="D127" s="8"/>
      <c r="E127" s="8"/>
      <c r="F127" s="8"/>
      <c r="G127" s="8"/>
      <c r="H127" s="8"/>
      <c r="I127" s="8"/>
    </row>
    <row r="128" spans="2:9" hidden="1">
      <c r="B128" s="8"/>
      <c r="C128" s="8"/>
      <c r="D128" s="8"/>
      <c r="E128" s="8"/>
      <c r="F128" s="8"/>
      <c r="G128" s="8"/>
      <c r="H128" s="8"/>
      <c r="I128" s="8"/>
    </row>
    <row r="129" spans="2:9" hidden="1">
      <c r="B129" s="8"/>
      <c r="C129" s="8"/>
      <c r="D129" s="8"/>
      <c r="E129" s="8"/>
      <c r="F129" s="8"/>
      <c r="G129" s="8"/>
      <c r="H129" s="8"/>
      <c r="I129" s="8"/>
    </row>
    <row r="130" spans="2:9" hidden="1">
      <c r="B130" s="8"/>
      <c r="C130" s="8"/>
      <c r="D130" s="8"/>
      <c r="E130" s="8"/>
      <c r="F130" s="8"/>
      <c r="G130" s="8"/>
      <c r="H130" s="8"/>
      <c r="I130" s="8"/>
    </row>
    <row r="131" spans="2:9" hidden="1">
      <c r="B131" s="8"/>
      <c r="C131" s="8"/>
      <c r="D131" s="8"/>
      <c r="E131" s="8"/>
      <c r="F131" s="8"/>
      <c r="G131" s="8"/>
      <c r="H131" s="8"/>
      <c r="I131" s="8"/>
    </row>
    <row r="132" spans="2:9" hidden="1">
      <c r="B132" s="8"/>
      <c r="C132" s="8"/>
      <c r="D132" s="8"/>
      <c r="E132" s="8"/>
      <c r="F132" s="8"/>
      <c r="G132" s="8"/>
      <c r="H132" s="8"/>
      <c r="I132" s="8"/>
    </row>
    <row r="133" spans="2:9" hidden="1">
      <c r="B133" s="8"/>
      <c r="C133" s="8"/>
      <c r="D133" s="8"/>
      <c r="E133" s="8"/>
      <c r="F133" s="8"/>
      <c r="G133" s="8"/>
      <c r="H133" s="8"/>
      <c r="I133" s="8"/>
    </row>
    <row r="134" spans="2:9" hidden="1">
      <c r="B134" s="8"/>
      <c r="C134" s="8"/>
      <c r="D134" s="8"/>
      <c r="E134" s="8"/>
      <c r="F134" s="8"/>
      <c r="G134" s="8"/>
      <c r="H134" s="8"/>
      <c r="I134" s="8"/>
    </row>
    <row r="135" spans="2:9" hidden="1">
      <c r="B135" s="8"/>
      <c r="C135" s="8"/>
      <c r="D135" s="8"/>
      <c r="E135" s="8"/>
      <c r="F135" s="8"/>
      <c r="G135" s="8"/>
      <c r="H135" s="8"/>
      <c r="I135" s="8"/>
    </row>
    <row r="136" spans="2:9" hidden="1">
      <c r="B136" s="8"/>
      <c r="C136" s="8"/>
      <c r="D136" s="8"/>
      <c r="E136" s="8"/>
      <c r="F136" s="8"/>
      <c r="G136" s="8"/>
      <c r="H136" s="8"/>
      <c r="I136" s="8"/>
    </row>
    <row r="137" spans="2:9" hidden="1">
      <c r="B137" s="8"/>
      <c r="C137" s="8"/>
      <c r="D137" s="8"/>
      <c r="E137" s="8"/>
      <c r="F137" s="8"/>
      <c r="G137" s="8"/>
      <c r="H137" s="8"/>
      <c r="I137" s="8"/>
    </row>
    <row r="138" spans="2:9" hidden="1">
      <c r="B138" s="8"/>
      <c r="C138" s="8"/>
      <c r="D138" s="8"/>
      <c r="E138" s="8"/>
      <c r="F138" s="8"/>
      <c r="G138" s="8"/>
      <c r="H138" s="8"/>
      <c r="I138" s="8"/>
    </row>
    <row r="139" spans="2:9" hidden="1">
      <c r="B139" s="8"/>
      <c r="C139" s="8"/>
      <c r="D139" s="8"/>
      <c r="E139" s="8"/>
      <c r="F139" s="8"/>
      <c r="G139" s="8"/>
      <c r="H139" s="8"/>
      <c r="I139" s="8"/>
    </row>
    <row r="140" spans="2:9" hidden="1">
      <c r="B140" s="8"/>
      <c r="C140" s="8"/>
      <c r="D140" s="8"/>
      <c r="E140" s="8"/>
      <c r="F140" s="8"/>
      <c r="G140" s="8"/>
      <c r="H140" s="8"/>
      <c r="I140" s="8"/>
    </row>
    <row r="141" spans="2:9" hidden="1">
      <c r="B141" s="8"/>
      <c r="C141" s="8"/>
      <c r="D141" s="8"/>
      <c r="E141" s="8"/>
      <c r="F141" s="8"/>
      <c r="G141" s="8"/>
      <c r="H141" s="8"/>
      <c r="I141" s="8"/>
    </row>
    <row r="142" spans="2:9" hidden="1">
      <c r="B142" s="8"/>
      <c r="C142" s="8"/>
      <c r="D142" s="8"/>
      <c r="E142" s="8"/>
      <c r="F142" s="8"/>
      <c r="G142" s="8"/>
      <c r="H142" s="8"/>
      <c r="I142" s="8"/>
    </row>
    <row r="143" spans="2:9" hidden="1">
      <c r="B143" s="8"/>
      <c r="C143" s="8"/>
      <c r="D143" s="8"/>
      <c r="E143" s="8"/>
      <c r="F143" s="8"/>
      <c r="G143" s="8"/>
      <c r="H143" s="8"/>
      <c r="I143" s="8"/>
    </row>
    <row r="144" spans="2:9" hidden="1">
      <c r="B144" s="8"/>
      <c r="C144" s="8"/>
      <c r="D144" s="8"/>
      <c r="E144" s="8"/>
      <c r="F144" s="8"/>
      <c r="G144" s="8"/>
      <c r="H144" s="8"/>
      <c r="I144" s="8"/>
    </row>
    <row r="145" spans="2:9" hidden="1">
      <c r="B145" s="8"/>
      <c r="C145" s="8"/>
      <c r="D145" s="8"/>
      <c r="E145" s="8"/>
      <c r="F145" s="8"/>
      <c r="G145" s="8"/>
      <c r="H145" s="8"/>
      <c r="I145" s="8"/>
    </row>
    <row r="146" spans="2:9" hidden="1">
      <c r="B146" s="8"/>
      <c r="C146" s="8"/>
      <c r="D146" s="8"/>
      <c r="E146" s="8"/>
      <c r="F146" s="8"/>
      <c r="G146" s="8"/>
      <c r="H146" s="8"/>
      <c r="I146" s="8"/>
    </row>
    <row r="147" spans="2:9" hidden="1">
      <c r="B147" s="8"/>
      <c r="C147" s="8"/>
      <c r="D147" s="8"/>
      <c r="E147" s="8"/>
      <c r="F147" s="8"/>
      <c r="G147" s="8"/>
      <c r="H147" s="8"/>
      <c r="I147" s="8"/>
    </row>
    <row r="148" spans="2:9" hidden="1">
      <c r="B148" s="8"/>
      <c r="C148" s="8"/>
      <c r="D148" s="8"/>
      <c r="E148" s="8"/>
      <c r="F148" s="8"/>
      <c r="G148" s="8"/>
      <c r="H148" s="8"/>
      <c r="I148" s="8"/>
    </row>
    <row r="149" spans="2:9" hidden="1">
      <c r="B149" s="8"/>
      <c r="C149" s="8"/>
      <c r="D149" s="8"/>
      <c r="E149" s="8"/>
      <c r="F149" s="8"/>
      <c r="G149" s="8"/>
      <c r="H149" s="8"/>
      <c r="I149" s="8"/>
    </row>
    <row r="150" spans="2:9" hidden="1">
      <c r="B150" s="8"/>
      <c r="C150" s="8"/>
      <c r="D150" s="8"/>
      <c r="E150" s="8"/>
      <c r="F150" s="8"/>
      <c r="G150" s="8"/>
      <c r="H150" s="8"/>
      <c r="I150" s="8"/>
    </row>
    <row r="151" spans="2:9" hidden="1">
      <c r="B151" s="8"/>
      <c r="C151" s="8"/>
      <c r="D151" s="8"/>
      <c r="E151" s="8"/>
      <c r="F151" s="8"/>
      <c r="G151" s="8"/>
      <c r="H151" s="8"/>
      <c r="I151" s="8"/>
    </row>
    <row r="152" spans="2:9" hidden="1">
      <c r="B152" s="8"/>
      <c r="C152" s="8"/>
      <c r="D152" s="8"/>
      <c r="E152" s="8"/>
      <c r="F152" s="8"/>
      <c r="G152" s="8"/>
      <c r="H152" s="8"/>
      <c r="I152" s="8"/>
    </row>
    <row r="153" spans="2:9" hidden="1">
      <c r="B153" s="8"/>
      <c r="C153" s="8"/>
      <c r="D153" s="8"/>
      <c r="E153" s="8"/>
      <c r="F153" s="8"/>
      <c r="G153" s="8"/>
      <c r="H153" s="8"/>
      <c r="I153" s="8"/>
    </row>
    <row r="154" spans="2:9" hidden="1">
      <c r="B154" s="8"/>
      <c r="C154" s="8"/>
      <c r="D154" s="8"/>
      <c r="E154" s="8"/>
      <c r="F154" s="8"/>
      <c r="G154" s="8"/>
      <c r="H154" s="8"/>
      <c r="I154" s="8"/>
    </row>
    <row r="155" spans="2:9" hidden="1">
      <c r="B155" s="8"/>
      <c r="C155" s="8"/>
      <c r="D155" s="8"/>
      <c r="E155" s="8"/>
      <c r="F155" s="8"/>
      <c r="G155" s="8"/>
      <c r="H155" s="8"/>
      <c r="I155" s="8"/>
    </row>
    <row r="156" spans="2:9" hidden="1">
      <c r="B156" s="8"/>
      <c r="C156" s="8"/>
      <c r="D156" s="8"/>
      <c r="E156" s="8"/>
      <c r="F156" s="8"/>
      <c r="G156" s="8"/>
      <c r="H156" s="8"/>
      <c r="I156" s="8"/>
    </row>
    <row r="157" spans="2:9" hidden="1">
      <c r="B157" s="8"/>
      <c r="C157" s="8"/>
      <c r="D157" s="8"/>
      <c r="E157" s="8"/>
      <c r="F157" s="8"/>
      <c r="G157" s="8"/>
      <c r="H157" s="8"/>
      <c r="I157" s="8"/>
    </row>
    <row r="158" spans="2:9" hidden="1">
      <c r="B158" s="8"/>
      <c r="C158" s="8"/>
      <c r="D158" s="8"/>
      <c r="E158" s="8"/>
      <c r="F158" s="8"/>
      <c r="G158" s="8"/>
      <c r="H158" s="8"/>
      <c r="I158" s="8"/>
    </row>
    <row r="159" spans="2:9" hidden="1">
      <c r="B159" s="8"/>
      <c r="C159" s="8"/>
      <c r="D159" s="8"/>
      <c r="E159" s="8"/>
      <c r="F159" s="8"/>
      <c r="G159" s="8"/>
      <c r="H159" s="8"/>
      <c r="I159" s="8"/>
    </row>
    <row r="160" spans="2:9" hidden="1">
      <c r="B160" s="8"/>
      <c r="C160" s="8"/>
      <c r="D160" s="8"/>
      <c r="E160" s="8"/>
      <c r="F160" s="8"/>
      <c r="G160" s="8"/>
      <c r="H160" s="8"/>
      <c r="I160" s="8"/>
    </row>
    <row r="161" spans="2:9" hidden="1">
      <c r="B161" s="8"/>
      <c r="C161" s="8"/>
      <c r="D161" s="8"/>
      <c r="E161" s="8"/>
      <c r="F161" s="8"/>
      <c r="G161" s="8"/>
      <c r="H161" s="8"/>
      <c r="I161" s="8"/>
    </row>
    <row r="162" spans="2:9" hidden="1">
      <c r="B162" s="8"/>
      <c r="C162" s="8"/>
      <c r="D162" s="8"/>
      <c r="E162" s="8"/>
      <c r="F162" s="8"/>
      <c r="G162" s="8"/>
      <c r="H162" s="8"/>
      <c r="I162" s="8"/>
    </row>
    <row r="163" spans="2:9" hidden="1">
      <c r="B163" s="8"/>
      <c r="C163" s="8"/>
      <c r="D163" s="8"/>
      <c r="E163" s="8"/>
      <c r="F163" s="8"/>
      <c r="G163" s="8"/>
      <c r="H163" s="8"/>
      <c r="I163" s="8"/>
    </row>
    <row r="164" spans="2:9" hidden="1">
      <c r="B164" s="8"/>
      <c r="C164" s="8"/>
      <c r="D164" s="8"/>
      <c r="E164" s="8"/>
      <c r="F164" s="8"/>
      <c r="G164" s="8"/>
      <c r="H164" s="8"/>
      <c r="I164" s="8"/>
    </row>
    <row r="165" spans="2:9" hidden="1">
      <c r="B165" s="8"/>
      <c r="C165" s="8"/>
      <c r="D165" s="8"/>
      <c r="E165" s="8"/>
      <c r="F165" s="8"/>
      <c r="G165" s="8"/>
      <c r="H165" s="8"/>
      <c r="I165" s="8"/>
    </row>
    <row r="166" spans="2:9" hidden="1">
      <c r="B166" s="8"/>
      <c r="C166" s="8"/>
      <c r="D166" s="8"/>
      <c r="E166" s="8"/>
      <c r="F166" s="8"/>
      <c r="G166" s="8"/>
      <c r="H166" s="8"/>
      <c r="I166" s="8"/>
    </row>
    <row r="167" spans="2:9" hidden="1">
      <c r="B167" s="8"/>
      <c r="C167" s="8"/>
      <c r="D167" s="8"/>
      <c r="E167" s="8"/>
      <c r="F167" s="8"/>
      <c r="G167" s="8"/>
      <c r="H167" s="8"/>
      <c r="I167" s="8"/>
    </row>
    <row r="168" spans="2:9" hidden="1">
      <c r="B168" s="8"/>
      <c r="C168" s="8"/>
      <c r="D168" s="8"/>
      <c r="E168" s="8"/>
      <c r="F168" s="8"/>
      <c r="G168" s="8"/>
      <c r="H168" s="8"/>
      <c r="I168" s="8"/>
    </row>
    <row r="169" spans="2:9" hidden="1">
      <c r="B169" s="8"/>
      <c r="C169" s="8"/>
      <c r="D169" s="8"/>
      <c r="E169" s="8"/>
      <c r="F169" s="8"/>
      <c r="G169" s="8"/>
      <c r="H169" s="8"/>
      <c r="I169" s="8"/>
    </row>
    <row r="170" spans="2:9" hidden="1">
      <c r="B170" s="8"/>
      <c r="C170" s="8"/>
      <c r="D170" s="8"/>
      <c r="E170" s="8"/>
      <c r="F170" s="8"/>
      <c r="G170" s="8"/>
      <c r="H170" s="8"/>
      <c r="I170" s="8"/>
    </row>
    <row r="171" spans="2:9" hidden="1">
      <c r="B171" s="8"/>
      <c r="C171" s="8"/>
      <c r="D171" s="8"/>
      <c r="E171" s="8"/>
      <c r="F171" s="8"/>
      <c r="G171" s="8"/>
      <c r="H171" s="8"/>
      <c r="I171" s="8"/>
    </row>
    <row r="172" spans="2:9" hidden="1">
      <c r="B172" s="8"/>
      <c r="C172" s="8"/>
      <c r="D172" s="8"/>
      <c r="E172" s="8"/>
      <c r="F172" s="8"/>
      <c r="G172" s="8"/>
      <c r="H172" s="8"/>
      <c r="I172" s="8"/>
    </row>
    <row r="173" spans="2:9" hidden="1">
      <c r="B173" s="8"/>
      <c r="C173" s="8"/>
      <c r="D173" s="8"/>
      <c r="E173" s="8"/>
      <c r="F173" s="8"/>
      <c r="G173" s="8"/>
      <c r="H173" s="8"/>
      <c r="I173" s="8"/>
    </row>
    <row r="174" spans="2:9" hidden="1">
      <c r="B174" s="8"/>
      <c r="C174" s="8"/>
      <c r="D174" s="8"/>
      <c r="E174" s="8"/>
      <c r="F174" s="8"/>
      <c r="G174" s="8"/>
      <c r="H174" s="8"/>
      <c r="I174" s="8"/>
    </row>
    <row r="175" spans="2:9" hidden="1">
      <c r="B175" s="8"/>
      <c r="C175" s="8"/>
      <c r="D175" s="8"/>
      <c r="E175" s="8"/>
      <c r="F175" s="8"/>
      <c r="G175" s="8"/>
      <c r="H175" s="8"/>
      <c r="I175" s="8"/>
    </row>
    <row r="176" spans="2:9" hidden="1">
      <c r="B176" s="8"/>
      <c r="C176" s="8"/>
      <c r="D176" s="8"/>
      <c r="E176" s="8"/>
      <c r="F176" s="8"/>
      <c r="G176" s="8"/>
      <c r="H176" s="8"/>
      <c r="I176" s="8"/>
    </row>
    <row r="177" spans="2:9" hidden="1">
      <c r="B177" s="8"/>
      <c r="C177" s="8"/>
      <c r="D177" s="8"/>
      <c r="E177" s="8"/>
      <c r="F177" s="8"/>
      <c r="G177" s="8"/>
      <c r="H177" s="8"/>
      <c r="I177" s="8"/>
    </row>
    <row r="178" spans="2:9" hidden="1">
      <c r="B178" s="8"/>
      <c r="C178" s="8"/>
      <c r="D178" s="8"/>
      <c r="E178" s="8"/>
      <c r="F178" s="8"/>
      <c r="G178" s="8"/>
      <c r="H178" s="8"/>
      <c r="I178" s="8"/>
    </row>
    <row r="179" spans="2:9" hidden="1">
      <c r="B179" s="8"/>
      <c r="C179" s="8"/>
      <c r="D179" s="8"/>
      <c r="E179" s="8"/>
      <c r="F179" s="8"/>
      <c r="G179" s="8"/>
      <c r="H179" s="8"/>
      <c r="I179" s="8"/>
    </row>
    <row r="180" spans="2:9" hidden="1">
      <c r="B180" s="8"/>
      <c r="C180" s="8"/>
      <c r="D180" s="8"/>
      <c r="E180" s="8"/>
      <c r="F180" s="8"/>
      <c r="G180" s="8"/>
      <c r="H180" s="8"/>
      <c r="I180" s="8"/>
    </row>
    <row r="181" spans="2:9" hidden="1">
      <c r="B181" s="8"/>
      <c r="C181" s="8"/>
      <c r="D181" s="8"/>
      <c r="E181" s="8"/>
      <c r="F181" s="8"/>
      <c r="G181" s="8"/>
      <c r="H181" s="8"/>
      <c r="I181" s="8"/>
    </row>
    <row r="182" spans="2:9" hidden="1">
      <c r="B182" s="8"/>
      <c r="C182" s="8"/>
      <c r="D182" s="8"/>
      <c r="E182" s="8"/>
      <c r="F182" s="8"/>
      <c r="G182" s="8"/>
      <c r="H182" s="8"/>
      <c r="I182" s="8"/>
    </row>
    <row r="183" spans="2:9" hidden="1">
      <c r="B183" s="8"/>
      <c r="C183" s="8"/>
      <c r="D183" s="8"/>
      <c r="E183" s="8"/>
      <c r="F183" s="8"/>
      <c r="G183" s="8"/>
      <c r="H183" s="8"/>
      <c r="I183" s="8"/>
    </row>
    <row r="184" spans="2:9" hidden="1">
      <c r="B184" s="8"/>
      <c r="C184" s="8"/>
      <c r="D184" s="8"/>
      <c r="E184" s="8"/>
      <c r="F184" s="8"/>
      <c r="G184" s="8"/>
      <c r="H184" s="8"/>
      <c r="I184" s="8"/>
    </row>
    <row r="185" spans="2:9" hidden="1">
      <c r="B185" s="8"/>
      <c r="C185" s="8"/>
      <c r="D185" s="8"/>
      <c r="E185" s="8"/>
      <c r="F185" s="8"/>
      <c r="G185" s="8"/>
      <c r="H185" s="8"/>
      <c r="I185" s="8"/>
    </row>
    <row r="186" spans="2:9" hidden="1">
      <c r="B186" s="8"/>
      <c r="C186" s="8"/>
      <c r="D186" s="8"/>
      <c r="E186" s="8"/>
      <c r="F186" s="8"/>
      <c r="G186" s="8"/>
      <c r="H186" s="8"/>
      <c r="I186" s="8"/>
    </row>
    <row r="187" spans="2:9" hidden="1">
      <c r="B187" s="8"/>
      <c r="C187" s="8"/>
      <c r="D187" s="8"/>
      <c r="E187" s="8"/>
      <c r="F187" s="8"/>
      <c r="G187" s="8"/>
      <c r="H187" s="8"/>
      <c r="I187" s="8"/>
    </row>
    <row r="188" spans="2:9" hidden="1">
      <c r="B188" s="8"/>
      <c r="C188" s="8"/>
      <c r="D188" s="8"/>
      <c r="E188" s="8"/>
      <c r="F188" s="8"/>
      <c r="G188" s="8"/>
      <c r="H188" s="8"/>
      <c r="I188" s="8"/>
    </row>
    <row r="189" spans="2:9" hidden="1">
      <c r="B189" s="8"/>
      <c r="C189" s="8"/>
      <c r="D189" s="8"/>
      <c r="E189" s="8"/>
      <c r="F189" s="8"/>
      <c r="G189" s="8"/>
      <c r="H189" s="8"/>
      <c r="I189" s="8"/>
    </row>
    <row r="190" spans="2:9" hidden="1">
      <c r="B190" s="8"/>
      <c r="C190" s="8"/>
      <c r="D190" s="8"/>
      <c r="E190" s="8"/>
      <c r="F190" s="8"/>
      <c r="G190" s="8"/>
      <c r="H190" s="8"/>
      <c r="I190" s="8"/>
    </row>
    <row r="191" spans="2:9" hidden="1">
      <c r="B191" s="8"/>
      <c r="C191" s="8"/>
      <c r="D191" s="8"/>
      <c r="E191" s="8"/>
      <c r="F191" s="8"/>
      <c r="G191" s="8"/>
      <c r="H191" s="8"/>
      <c r="I191" s="8"/>
    </row>
    <row r="192" spans="2:9" hidden="1">
      <c r="B192" s="8"/>
      <c r="C192" s="8"/>
      <c r="D192" s="8"/>
      <c r="E192" s="8"/>
      <c r="F192" s="8"/>
      <c r="G192" s="8"/>
      <c r="H192" s="8"/>
      <c r="I192" s="8"/>
    </row>
    <row r="193" spans="2:9" hidden="1">
      <c r="B193" s="8"/>
      <c r="C193" s="8"/>
      <c r="D193" s="8"/>
      <c r="E193" s="8"/>
      <c r="F193" s="8"/>
      <c r="G193" s="8"/>
      <c r="H193" s="8"/>
      <c r="I193" s="8"/>
    </row>
    <row r="194" spans="2:9" hidden="1">
      <c r="B194" s="8"/>
      <c r="C194" s="8"/>
      <c r="D194" s="8"/>
      <c r="E194" s="8"/>
      <c r="F194" s="8"/>
      <c r="G194" s="8"/>
      <c r="H194" s="8"/>
      <c r="I194" s="8"/>
    </row>
    <row r="195" spans="2:9" hidden="1">
      <c r="B195" s="8"/>
      <c r="C195" s="8"/>
      <c r="D195" s="8"/>
      <c r="E195" s="8"/>
      <c r="F195" s="8"/>
      <c r="G195" s="8"/>
      <c r="H195" s="8"/>
      <c r="I195" s="8"/>
    </row>
    <row r="196" spans="2:9" hidden="1">
      <c r="B196" s="8"/>
      <c r="C196" s="8"/>
      <c r="D196" s="8"/>
      <c r="E196" s="8"/>
      <c r="F196" s="8"/>
      <c r="G196" s="8"/>
      <c r="H196" s="8"/>
      <c r="I196" s="8"/>
    </row>
    <row r="197" spans="2:9" hidden="1">
      <c r="B197" s="8"/>
      <c r="C197" s="8"/>
      <c r="D197" s="8"/>
      <c r="E197" s="8"/>
      <c r="F197" s="8"/>
      <c r="G197" s="8"/>
      <c r="H197" s="8"/>
      <c r="I197" s="8"/>
    </row>
    <row r="198" spans="2:9" hidden="1">
      <c r="B198" s="8"/>
      <c r="C198" s="8"/>
      <c r="D198" s="8"/>
      <c r="E198" s="8"/>
      <c r="F198" s="8"/>
      <c r="G198" s="8"/>
      <c r="H198" s="8"/>
      <c r="I198" s="8"/>
    </row>
    <row r="199" spans="2:9" hidden="1">
      <c r="B199" s="8"/>
      <c r="C199" s="8"/>
      <c r="D199" s="8"/>
      <c r="E199" s="8"/>
      <c r="F199" s="8"/>
      <c r="G199" s="8"/>
      <c r="H199" s="8"/>
      <c r="I199" s="8"/>
    </row>
    <row r="200" spans="2:9" hidden="1">
      <c r="B200" s="8"/>
      <c r="C200" s="8"/>
      <c r="D200" s="8"/>
      <c r="E200" s="8"/>
      <c r="F200" s="8"/>
      <c r="G200" s="8"/>
      <c r="H200" s="8"/>
      <c r="I200" s="8"/>
    </row>
    <row r="201" spans="2:9" hidden="1">
      <c r="B201" s="8"/>
      <c r="C201" s="8"/>
      <c r="D201" s="8"/>
      <c r="E201" s="8"/>
      <c r="F201" s="8"/>
      <c r="G201" s="8"/>
      <c r="H201" s="8"/>
      <c r="I201" s="8"/>
    </row>
    <row r="202" spans="2:9" hidden="1">
      <c r="B202" s="8"/>
      <c r="C202" s="8"/>
      <c r="D202" s="8"/>
      <c r="E202" s="8"/>
      <c r="F202" s="8"/>
      <c r="G202" s="8"/>
      <c r="H202" s="8"/>
      <c r="I202" s="8"/>
    </row>
    <row r="203" spans="2:9" hidden="1">
      <c r="B203" s="8"/>
      <c r="C203" s="8"/>
      <c r="D203" s="8"/>
      <c r="E203" s="8"/>
      <c r="F203" s="8"/>
      <c r="G203" s="8"/>
      <c r="H203" s="8"/>
      <c r="I203" s="8"/>
    </row>
    <row r="204" spans="2:9" hidden="1">
      <c r="B204" s="8"/>
      <c r="C204" s="8"/>
      <c r="D204" s="8"/>
      <c r="E204" s="8"/>
      <c r="F204" s="8"/>
      <c r="G204" s="8"/>
      <c r="H204" s="8"/>
      <c r="I204" s="8"/>
    </row>
    <row r="205" spans="2:9" hidden="1">
      <c r="B205" s="8"/>
      <c r="C205" s="8"/>
      <c r="D205" s="8"/>
      <c r="E205" s="8"/>
      <c r="F205" s="8"/>
      <c r="G205" s="8"/>
      <c r="H205" s="8"/>
      <c r="I205" s="8"/>
    </row>
    <row r="206" spans="2:9" hidden="1">
      <c r="B206" s="8"/>
      <c r="C206" s="8"/>
      <c r="D206" s="8"/>
      <c r="E206" s="8"/>
      <c r="F206" s="8"/>
      <c r="G206" s="8"/>
      <c r="H206" s="8"/>
      <c r="I206" s="8"/>
    </row>
    <row r="207" spans="2:9" hidden="1">
      <c r="B207" s="8"/>
      <c r="C207" s="8"/>
      <c r="D207" s="8"/>
      <c r="E207" s="8"/>
      <c r="F207" s="8"/>
      <c r="G207" s="8"/>
      <c r="H207" s="8"/>
      <c r="I207" s="8"/>
    </row>
    <row r="208" spans="2:9" hidden="1">
      <c r="B208" s="8"/>
      <c r="C208" s="8"/>
      <c r="D208" s="8"/>
      <c r="E208" s="8"/>
      <c r="F208" s="8"/>
      <c r="G208" s="8"/>
      <c r="H208" s="8"/>
      <c r="I208" s="8"/>
    </row>
    <row r="209" spans="2:9" hidden="1">
      <c r="B209" s="8"/>
      <c r="C209" s="8"/>
      <c r="D209" s="8"/>
      <c r="E209" s="8"/>
      <c r="F209" s="8"/>
      <c r="G209" s="8"/>
      <c r="H209" s="8"/>
      <c r="I209" s="8"/>
    </row>
    <row r="210" spans="2:9" hidden="1">
      <c r="B210" s="8"/>
      <c r="C210" s="8"/>
      <c r="D210" s="8"/>
      <c r="E210" s="8"/>
      <c r="F210" s="8"/>
      <c r="G210" s="8"/>
      <c r="H210" s="8"/>
      <c r="I210" s="8"/>
    </row>
    <row r="211" spans="2:9" hidden="1">
      <c r="B211" s="8"/>
      <c r="C211" s="8"/>
      <c r="D211" s="8"/>
      <c r="E211" s="8"/>
      <c r="F211" s="8"/>
      <c r="G211" s="8"/>
      <c r="H211" s="8"/>
      <c r="I211" s="8"/>
    </row>
    <row r="212" spans="2:9" hidden="1">
      <c r="B212" s="8"/>
      <c r="C212" s="8"/>
      <c r="D212" s="8"/>
      <c r="E212" s="8"/>
      <c r="F212" s="8"/>
      <c r="G212" s="8"/>
      <c r="H212" s="8"/>
      <c r="I212" s="8"/>
    </row>
    <row r="213" spans="2:9" hidden="1">
      <c r="B213" s="8"/>
      <c r="C213" s="8"/>
      <c r="D213" s="8"/>
      <c r="E213" s="8"/>
      <c r="F213" s="8"/>
      <c r="G213" s="8"/>
      <c r="H213" s="8"/>
      <c r="I213" s="8"/>
    </row>
    <row r="214" spans="2:9" hidden="1">
      <c r="B214" s="8"/>
      <c r="C214" s="8"/>
      <c r="D214" s="8"/>
      <c r="E214" s="8"/>
      <c r="F214" s="8"/>
      <c r="G214" s="8"/>
      <c r="H214" s="8"/>
      <c r="I214" s="8"/>
    </row>
    <row r="215" spans="2:9" hidden="1">
      <c r="B215" s="8"/>
      <c r="C215" s="8"/>
      <c r="D215" s="8"/>
      <c r="E215" s="8"/>
      <c r="F215" s="8"/>
      <c r="G215" s="8"/>
      <c r="H215" s="8"/>
      <c r="I215" s="8"/>
    </row>
    <row r="216" spans="2:9" hidden="1">
      <c r="B216" s="8"/>
      <c r="C216" s="8"/>
      <c r="D216" s="8"/>
      <c r="E216" s="8"/>
      <c r="F216" s="8"/>
      <c r="G216" s="8"/>
      <c r="H216" s="8"/>
      <c r="I216" s="8"/>
    </row>
    <row r="217" spans="2:9" hidden="1">
      <c r="B217" s="8"/>
      <c r="C217" s="8"/>
      <c r="D217" s="8"/>
      <c r="E217" s="8"/>
      <c r="F217" s="8"/>
      <c r="G217" s="8"/>
      <c r="H217" s="8"/>
      <c r="I217" s="8"/>
    </row>
    <row r="218" spans="2:9" hidden="1">
      <c r="B218" s="8"/>
      <c r="C218" s="8"/>
      <c r="D218" s="8"/>
      <c r="E218" s="8"/>
      <c r="F218" s="8"/>
      <c r="G218" s="8"/>
      <c r="H218" s="8"/>
      <c r="I218" s="8"/>
    </row>
    <row r="219" spans="2:9" hidden="1">
      <c r="B219" s="8"/>
      <c r="C219" s="8"/>
      <c r="D219" s="8"/>
      <c r="E219" s="8"/>
      <c r="F219" s="8"/>
      <c r="G219" s="8"/>
      <c r="H219" s="8"/>
      <c r="I219" s="8"/>
    </row>
    <row r="220" spans="2:9" hidden="1">
      <c r="B220" s="8"/>
      <c r="C220" s="8"/>
      <c r="D220" s="8"/>
      <c r="E220" s="8"/>
      <c r="F220" s="8"/>
      <c r="G220" s="8"/>
      <c r="H220" s="8"/>
      <c r="I220" s="8"/>
    </row>
    <row r="221" spans="2:9" hidden="1">
      <c r="B221" s="8"/>
      <c r="C221" s="8"/>
      <c r="D221" s="8"/>
      <c r="E221" s="8"/>
      <c r="F221" s="8"/>
      <c r="G221" s="8"/>
      <c r="H221" s="8"/>
      <c r="I221" s="8"/>
    </row>
    <row r="222" spans="2:9" hidden="1">
      <c r="B222" s="8"/>
      <c r="C222" s="8"/>
      <c r="D222" s="8"/>
      <c r="E222" s="8"/>
      <c r="F222" s="8"/>
      <c r="G222" s="8"/>
      <c r="H222" s="8"/>
      <c r="I222" s="8"/>
    </row>
    <row r="223" spans="2:9" hidden="1">
      <c r="B223" s="8"/>
      <c r="C223" s="8"/>
      <c r="D223" s="8"/>
      <c r="E223" s="8"/>
      <c r="F223" s="8"/>
      <c r="G223" s="8"/>
      <c r="H223" s="8"/>
      <c r="I223" s="8"/>
    </row>
    <row r="224" spans="2:9" hidden="1">
      <c r="B224" s="8"/>
      <c r="C224" s="8"/>
      <c r="D224" s="8"/>
      <c r="E224" s="8"/>
      <c r="F224" s="8"/>
      <c r="G224" s="8"/>
      <c r="H224" s="8"/>
      <c r="I224" s="8"/>
    </row>
    <row r="225" spans="2:9" hidden="1">
      <c r="B225" s="8"/>
      <c r="C225" s="8"/>
      <c r="D225" s="8"/>
      <c r="E225" s="8"/>
      <c r="F225" s="8"/>
      <c r="G225" s="8"/>
      <c r="H225" s="8"/>
      <c r="I225" s="8"/>
    </row>
    <row r="226" spans="2:9" hidden="1">
      <c r="B226" s="8"/>
      <c r="C226" s="8"/>
      <c r="D226" s="8"/>
      <c r="E226" s="8"/>
      <c r="F226" s="8"/>
      <c r="G226" s="8"/>
      <c r="H226" s="8"/>
      <c r="I226" s="8"/>
    </row>
    <row r="227" spans="2:9" hidden="1">
      <c r="B227" s="8"/>
      <c r="C227" s="8"/>
      <c r="D227" s="8"/>
      <c r="E227" s="8"/>
      <c r="F227" s="8"/>
      <c r="G227" s="8"/>
      <c r="H227" s="8"/>
      <c r="I227" s="8"/>
    </row>
    <row r="228" spans="2:9" hidden="1">
      <c r="B228" s="8"/>
      <c r="C228" s="8"/>
      <c r="D228" s="8"/>
      <c r="E228" s="8"/>
      <c r="F228" s="8"/>
      <c r="G228" s="8"/>
      <c r="H228" s="8"/>
      <c r="I228" s="8"/>
    </row>
    <row r="229" spans="2:9" hidden="1">
      <c r="B229" s="8"/>
      <c r="C229" s="8"/>
      <c r="D229" s="8"/>
      <c r="E229" s="8"/>
      <c r="F229" s="8"/>
      <c r="G229" s="8"/>
      <c r="H229" s="8"/>
      <c r="I229" s="8"/>
    </row>
    <row r="230" spans="2:9" hidden="1">
      <c r="B230" s="8"/>
      <c r="C230" s="8"/>
      <c r="D230" s="8"/>
      <c r="E230" s="8"/>
      <c r="F230" s="8"/>
      <c r="G230" s="8"/>
      <c r="H230" s="8"/>
      <c r="I230" s="8"/>
    </row>
    <row r="231" spans="2:9" hidden="1">
      <c r="B231" s="8"/>
      <c r="C231" s="8"/>
      <c r="D231" s="8"/>
      <c r="E231" s="8"/>
      <c r="F231" s="8"/>
      <c r="G231" s="8"/>
      <c r="H231" s="8"/>
      <c r="I231" s="8"/>
    </row>
    <row r="232" spans="2:9" hidden="1">
      <c r="B232" s="8"/>
      <c r="C232" s="8"/>
      <c r="D232" s="8"/>
      <c r="E232" s="8"/>
      <c r="F232" s="8"/>
      <c r="G232" s="8"/>
      <c r="H232" s="8"/>
      <c r="I232" s="8"/>
    </row>
    <row r="233" spans="2:9" hidden="1">
      <c r="B233" s="8"/>
      <c r="C233" s="8"/>
      <c r="D233" s="8"/>
      <c r="E233" s="8"/>
      <c r="F233" s="8"/>
      <c r="G233" s="8"/>
      <c r="H233" s="8"/>
      <c r="I233" s="8"/>
    </row>
    <row r="234" spans="2:9" hidden="1">
      <c r="B234" s="8"/>
      <c r="C234" s="8"/>
      <c r="D234" s="8"/>
      <c r="E234" s="8"/>
      <c r="F234" s="8"/>
      <c r="G234" s="8"/>
      <c r="H234" s="8"/>
      <c r="I234" s="8"/>
    </row>
    <row r="235" spans="2:9" hidden="1">
      <c r="B235" s="8"/>
      <c r="C235" s="8"/>
      <c r="D235" s="8"/>
      <c r="E235" s="8"/>
      <c r="F235" s="8"/>
      <c r="G235" s="8"/>
      <c r="H235" s="8"/>
      <c r="I235" s="8"/>
    </row>
    <row r="236" spans="2:9" hidden="1">
      <c r="B236" s="8"/>
      <c r="C236" s="8"/>
      <c r="D236" s="8"/>
      <c r="E236" s="8"/>
      <c r="F236" s="8"/>
      <c r="G236" s="8"/>
      <c r="H236" s="8"/>
      <c r="I236" s="8"/>
    </row>
    <row r="237" spans="2:9" hidden="1">
      <c r="B237" s="8"/>
      <c r="C237" s="8"/>
      <c r="D237" s="8"/>
      <c r="E237" s="8"/>
      <c r="F237" s="8"/>
      <c r="G237" s="8"/>
      <c r="H237" s="8"/>
      <c r="I237" s="8"/>
    </row>
    <row r="238" spans="2:9" hidden="1">
      <c r="B238" s="8"/>
      <c r="C238" s="8"/>
      <c r="D238" s="8"/>
      <c r="E238" s="8"/>
      <c r="F238" s="8"/>
      <c r="G238" s="8"/>
      <c r="H238" s="8"/>
      <c r="I238" s="8"/>
    </row>
    <row r="239" spans="2:9" hidden="1">
      <c r="B239" s="8"/>
      <c r="C239" s="8"/>
      <c r="D239" s="8"/>
      <c r="E239" s="8"/>
      <c r="F239" s="8"/>
      <c r="G239" s="8"/>
      <c r="H239" s="8"/>
      <c r="I239" s="8"/>
    </row>
    <row r="240" spans="2:9" hidden="1">
      <c r="B240" s="8"/>
      <c r="C240" s="8"/>
      <c r="D240" s="8"/>
      <c r="E240" s="8"/>
      <c r="F240" s="8"/>
      <c r="G240" s="8"/>
      <c r="H240" s="8"/>
      <c r="I240" s="8"/>
    </row>
    <row r="241" spans="2:9" hidden="1">
      <c r="B241" s="8"/>
      <c r="C241" s="8"/>
      <c r="D241" s="8"/>
      <c r="E241" s="8"/>
      <c r="F241" s="8"/>
      <c r="G241" s="8"/>
      <c r="H241" s="8"/>
      <c r="I241" s="8"/>
    </row>
    <row r="242" spans="2:9" hidden="1">
      <c r="B242" s="8"/>
      <c r="C242" s="8"/>
      <c r="D242" s="8"/>
      <c r="E242" s="8"/>
      <c r="F242" s="8"/>
      <c r="G242" s="8"/>
      <c r="H242" s="8"/>
      <c r="I242" s="8"/>
    </row>
    <row r="243" spans="2:9" hidden="1">
      <c r="B243" s="8"/>
      <c r="C243" s="8"/>
      <c r="D243" s="8"/>
      <c r="E243" s="8"/>
      <c r="F243" s="8"/>
      <c r="G243" s="8"/>
      <c r="H243" s="8"/>
      <c r="I243" s="8"/>
    </row>
    <row r="244" spans="2:9" hidden="1">
      <c r="B244" s="8"/>
      <c r="C244" s="8"/>
      <c r="D244" s="8"/>
      <c r="E244" s="8"/>
      <c r="F244" s="8"/>
      <c r="G244" s="8"/>
      <c r="H244" s="8"/>
      <c r="I244" s="8"/>
    </row>
    <row r="245" spans="2:9" hidden="1">
      <c r="B245" s="8"/>
      <c r="C245" s="8"/>
      <c r="D245" s="8"/>
      <c r="E245" s="8"/>
      <c r="F245" s="8"/>
      <c r="G245" s="8"/>
      <c r="H245" s="8"/>
      <c r="I245" s="8"/>
    </row>
    <row r="246" spans="2:9" hidden="1">
      <c r="B246" s="8"/>
      <c r="C246" s="8"/>
      <c r="D246" s="8"/>
      <c r="E246" s="8"/>
      <c r="F246" s="8"/>
      <c r="G246" s="8"/>
      <c r="H246" s="8"/>
      <c r="I246" s="8"/>
    </row>
    <row r="247" spans="2:9" hidden="1">
      <c r="B247" s="8"/>
      <c r="C247" s="8"/>
      <c r="D247" s="8"/>
      <c r="E247" s="8"/>
      <c r="F247" s="8"/>
      <c r="G247" s="8"/>
      <c r="H247" s="8"/>
      <c r="I247" s="8"/>
    </row>
    <row r="248" spans="2:9" hidden="1">
      <c r="B248" s="8"/>
      <c r="C248" s="8"/>
      <c r="D248" s="8"/>
      <c r="E248" s="8"/>
      <c r="F248" s="8"/>
      <c r="G248" s="8"/>
      <c r="H248" s="8"/>
      <c r="I248" s="8"/>
    </row>
    <row r="249" spans="2:9" hidden="1">
      <c r="B249" s="8"/>
      <c r="C249" s="8"/>
      <c r="D249" s="8"/>
      <c r="E249" s="8"/>
      <c r="F249" s="8"/>
      <c r="G249" s="8"/>
      <c r="H249" s="8"/>
      <c r="I249" s="8"/>
    </row>
    <row r="250" spans="2:9" hidden="1">
      <c r="B250" s="8"/>
      <c r="C250" s="8"/>
      <c r="D250" s="8"/>
      <c r="E250" s="8"/>
      <c r="F250" s="8"/>
      <c r="G250" s="8"/>
      <c r="H250" s="8"/>
      <c r="I250" s="8"/>
    </row>
    <row r="251" spans="2:9" hidden="1">
      <c r="B251" s="8"/>
      <c r="C251" s="8"/>
      <c r="D251" s="8"/>
      <c r="E251" s="8"/>
      <c r="F251" s="8"/>
      <c r="G251" s="8"/>
      <c r="H251" s="8"/>
      <c r="I251" s="8"/>
    </row>
    <row r="252" spans="2:9" hidden="1">
      <c r="B252" s="8"/>
      <c r="C252" s="8"/>
      <c r="D252" s="8"/>
      <c r="E252" s="8"/>
      <c r="F252" s="8"/>
      <c r="G252" s="8"/>
      <c r="H252" s="8"/>
      <c r="I252" s="8"/>
    </row>
    <row r="253" spans="2:9" hidden="1">
      <c r="B253" s="8"/>
      <c r="C253" s="8"/>
      <c r="D253" s="8"/>
      <c r="E253" s="8"/>
      <c r="F253" s="8"/>
      <c r="G253" s="8"/>
      <c r="H253" s="8"/>
      <c r="I253" s="8"/>
    </row>
    <row r="254" spans="2:9" hidden="1">
      <c r="B254" s="8"/>
      <c r="C254" s="8"/>
      <c r="D254" s="8"/>
      <c r="E254" s="8"/>
      <c r="F254" s="8"/>
      <c r="G254" s="8"/>
      <c r="H254" s="8"/>
      <c r="I254" s="8"/>
    </row>
    <row r="255" spans="2:9" hidden="1">
      <c r="B255" s="8"/>
      <c r="C255" s="8"/>
      <c r="D255" s="8"/>
      <c r="E255" s="8"/>
      <c r="F255" s="8"/>
      <c r="G255" s="8"/>
      <c r="H255" s="8"/>
      <c r="I255" s="8"/>
    </row>
    <row r="256" spans="2:9" hidden="1">
      <c r="B256" s="8"/>
      <c r="C256" s="8"/>
      <c r="D256" s="8"/>
      <c r="E256" s="8"/>
      <c r="F256" s="8"/>
      <c r="G256" s="8"/>
      <c r="H256" s="8"/>
      <c r="I256" s="8"/>
    </row>
    <row r="257" spans="2:9" hidden="1">
      <c r="B257" s="8"/>
      <c r="C257" s="8"/>
      <c r="D257" s="8"/>
      <c r="E257" s="8"/>
      <c r="F257" s="8"/>
      <c r="G257" s="8"/>
      <c r="H257" s="8"/>
      <c r="I257" s="8"/>
    </row>
    <row r="258" spans="2:9" hidden="1">
      <c r="B258" s="8"/>
      <c r="C258" s="8"/>
      <c r="D258" s="8"/>
      <c r="E258" s="8"/>
      <c r="F258" s="8"/>
      <c r="G258" s="8"/>
      <c r="H258" s="8"/>
      <c r="I258" s="8"/>
    </row>
    <row r="259" spans="2:9" hidden="1">
      <c r="B259" s="8"/>
      <c r="C259" s="8"/>
      <c r="D259" s="8"/>
      <c r="E259" s="8"/>
      <c r="F259" s="8"/>
      <c r="G259" s="8"/>
      <c r="H259" s="8"/>
      <c r="I259" s="8"/>
    </row>
    <row r="260" spans="2:9" hidden="1">
      <c r="B260" s="8"/>
      <c r="C260" s="8"/>
      <c r="D260" s="8"/>
      <c r="E260" s="8"/>
      <c r="F260" s="8"/>
      <c r="G260" s="8"/>
      <c r="H260" s="8"/>
      <c r="I260" s="8"/>
    </row>
    <row r="261" spans="2:9" hidden="1">
      <c r="B261" s="8"/>
      <c r="C261" s="8"/>
      <c r="D261" s="8"/>
      <c r="E261" s="8"/>
      <c r="F261" s="8"/>
      <c r="G261" s="8"/>
      <c r="H261" s="8"/>
      <c r="I261" s="8"/>
    </row>
    <row r="262" spans="2:9" hidden="1">
      <c r="B262" s="8"/>
      <c r="C262" s="8"/>
      <c r="D262" s="8"/>
      <c r="E262" s="8"/>
      <c r="F262" s="8"/>
      <c r="G262" s="8"/>
      <c r="H262" s="8"/>
      <c r="I262" s="8"/>
    </row>
    <row r="263" spans="2:9" hidden="1">
      <c r="B263" s="8"/>
      <c r="C263" s="8"/>
      <c r="D263" s="8"/>
      <c r="E263" s="8"/>
      <c r="F263" s="8"/>
      <c r="G263" s="8"/>
      <c r="H263" s="8"/>
      <c r="I263" s="8"/>
    </row>
    <row r="264" spans="2:9" hidden="1">
      <c r="B264" s="8"/>
      <c r="C264" s="8"/>
      <c r="D264" s="8"/>
      <c r="E264" s="8"/>
      <c r="F264" s="8"/>
      <c r="G264" s="8"/>
      <c r="H264" s="8"/>
      <c r="I264" s="8"/>
    </row>
    <row r="265" spans="2:9" hidden="1">
      <c r="B265" s="8"/>
      <c r="C265" s="8"/>
      <c r="D265" s="8"/>
      <c r="E265" s="8"/>
      <c r="F265" s="8"/>
      <c r="G265" s="8"/>
      <c r="H265" s="8"/>
      <c r="I265" s="8"/>
    </row>
    <row r="266" spans="2:9" hidden="1">
      <c r="B266" s="8"/>
      <c r="C266" s="8"/>
      <c r="D266" s="8"/>
      <c r="E266" s="8"/>
      <c r="F266" s="8"/>
      <c r="G266" s="8"/>
      <c r="H266" s="8"/>
      <c r="I266" s="8"/>
    </row>
    <row r="267" spans="2:9" hidden="1">
      <c r="B267" s="8"/>
      <c r="C267" s="8"/>
      <c r="D267" s="8"/>
      <c r="E267" s="8"/>
      <c r="F267" s="8"/>
      <c r="G267" s="8"/>
      <c r="H267" s="8"/>
      <c r="I267" s="8"/>
    </row>
    <row r="268" spans="2:9" hidden="1">
      <c r="B268" s="8"/>
      <c r="C268" s="8"/>
      <c r="D268" s="8"/>
      <c r="E268" s="8"/>
      <c r="F268" s="8"/>
      <c r="G268" s="8"/>
      <c r="H268" s="8"/>
      <c r="I268" s="8"/>
    </row>
    <row r="269" spans="2:9" hidden="1">
      <c r="B269" s="8"/>
      <c r="C269" s="8"/>
      <c r="D269" s="8"/>
      <c r="E269" s="8"/>
      <c r="F269" s="8"/>
      <c r="G269" s="8"/>
      <c r="H269" s="8"/>
      <c r="I269" s="8"/>
    </row>
    <row r="270" spans="2:9" hidden="1">
      <c r="B270" s="8"/>
      <c r="C270" s="8"/>
      <c r="D270" s="8"/>
      <c r="E270" s="8"/>
      <c r="F270" s="8"/>
      <c r="G270" s="8"/>
      <c r="H270" s="8"/>
      <c r="I270" s="8"/>
    </row>
    <row r="271" spans="2:9" hidden="1">
      <c r="B271" s="8"/>
      <c r="C271" s="8"/>
      <c r="D271" s="8"/>
      <c r="E271" s="8"/>
      <c r="F271" s="8"/>
      <c r="G271" s="8"/>
      <c r="H271" s="8"/>
      <c r="I271" s="8"/>
    </row>
    <row r="272" spans="2:9" hidden="1">
      <c r="B272" s="8"/>
      <c r="C272" s="8"/>
      <c r="D272" s="8"/>
      <c r="E272" s="8"/>
      <c r="F272" s="8"/>
      <c r="G272" s="8"/>
      <c r="H272" s="8"/>
      <c r="I272" s="8"/>
    </row>
    <row r="273" spans="2:9" hidden="1">
      <c r="B273" s="8"/>
      <c r="C273" s="8"/>
      <c r="D273" s="8"/>
      <c r="E273" s="8"/>
      <c r="F273" s="8"/>
      <c r="G273" s="8"/>
      <c r="H273" s="8"/>
      <c r="I273" s="8"/>
    </row>
    <row r="274" spans="2:9" hidden="1">
      <c r="B274" s="8"/>
      <c r="C274" s="8"/>
      <c r="D274" s="8"/>
      <c r="E274" s="8"/>
      <c r="F274" s="8"/>
      <c r="G274" s="8"/>
      <c r="H274" s="8"/>
      <c r="I274" s="8"/>
    </row>
    <row r="275" spans="2:9" hidden="1">
      <c r="B275" s="8"/>
      <c r="C275" s="8"/>
      <c r="D275" s="8"/>
      <c r="E275" s="8"/>
      <c r="F275" s="8"/>
      <c r="G275" s="8"/>
      <c r="H275" s="8"/>
      <c r="I275" s="8"/>
    </row>
    <row r="276" spans="2:9" hidden="1">
      <c r="B276" s="8"/>
      <c r="C276" s="8"/>
      <c r="D276" s="8"/>
      <c r="E276" s="8"/>
      <c r="F276" s="8"/>
      <c r="G276" s="8"/>
      <c r="H276" s="8"/>
      <c r="I276" s="8"/>
    </row>
    <row r="277" spans="2:9" hidden="1">
      <c r="B277" s="8"/>
      <c r="C277" s="8"/>
      <c r="D277" s="8"/>
      <c r="E277" s="8"/>
      <c r="F277" s="8"/>
      <c r="G277" s="8"/>
      <c r="H277" s="8"/>
      <c r="I277" s="8"/>
    </row>
    <row r="278" spans="2:9" hidden="1">
      <c r="B278" s="8"/>
      <c r="C278" s="8"/>
      <c r="D278" s="8"/>
      <c r="E278" s="8"/>
      <c r="F278" s="8"/>
      <c r="G278" s="8"/>
      <c r="H278" s="8"/>
      <c r="I278" s="8"/>
    </row>
    <row r="279" spans="2:9" hidden="1">
      <c r="B279" s="8"/>
      <c r="C279" s="8"/>
      <c r="D279" s="8"/>
      <c r="E279" s="8"/>
      <c r="F279" s="8"/>
      <c r="G279" s="8"/>
      <c r="H279" s="8"/>
      <c r="I279" s="8"/>
    </row>
    <row r="280" spans="2:9" hidden="1">
      <c r="B280" s="8"/>
      <c r="C280" s="8"/>
      <c r="D280" s="8"/>
      <c r="E280" s="8"/>
      <c r="F280" s="8"/>
      <c r="G280" s="8"/>
      <c r="H280" s="8"/>
      <c r="I280" s="8"/>
    </row>
    <row r="281" spans="2:9" hidden="1">
      <c r="B281" s="8"/>
      <c r="C281" s="8"/>
      <c r="D281" s="8"/>
      <c r="E281" s="8"/>
      <c r="F281" s="8"/>
      <c r="G281" s="8"/>
      <c r="H281" s="8"/>
      <c r="I281" s="8"/>
    </row>
    <row r="282" spans="2:9" hidden="1">
      <c r="B282" s="8"/>
      <c r="C282" s="8"/>
      <c r="D282" s="8"/>
      <c r="E282" s="8"/>
      <c r="F282" s="8"/>
      <c r="G282" s="8"/>
      <c r="H282" s="8"/>
      <c r="I282" s="8"/>
    </row>
    <row r="283" spans="2:9" hidden="1">
      <c r="B283" s="8"/>
      <c r="C283" s="8"/>
      <c r="D283" s="8"/>
      <c r="E283" s="8"/>
      <c r="F283" s="8"/>
      <c r="G283" s="8"/>
      <c r="H283" s="8"/>
      <c r="I283" s="8"/>
    </row>
    <row r="284" spans="2:9" hidden="1">
      <c r="B284" s="8"/>
      <c r="C284" s="8"/>
      <c r="D284" s="8"/>
      <c r="E284" s="8"/>
      <c r="F284" s="8"/>
      <c r="G284" s="8"/>
      <c r="H284" s="8"/>
      <c r="I284" s="8"/>
    </row>
    <row r="285" spans="2:9" hidden="1">
      <c r="B285" s="8"/>
      <c r="C285" s="8"/>
      <c r="D285" s="8"/>
      <c r="E285" s="8"/>
      <c r="F285" s="8"/>
      <c r="G285" s="8"/>
      <c r="H285" s="8"/>
      <c r="I285" s="8"/>
    </row>
    <row r="286" spans="2:9" hidden="1">
      <c r="B286" s="8"/>
      <c r="C286" s="8"/>
      <c r="D286" s="8"/>
      <c r="E286" s="8"/>
      <c r="F286" s="8"/>
      <c r="G286" s="8"/>
      <c r="H286" s="8"/>
      <c r="I286" s="8"/>
    </row>
    <row r="287" spans="2:9" hidden="1">
      <c r="B287" s="8"/>
      <c r="C287" s="8"/>
      <c r="D287" s="8"/>
      <c r="E287" s="8"/>
      <c r="F287" s="8"/>
      <c r="G287" s="8"/>
      <c r="H287" s="8"/>
      <c r="I287" s="8"/>
    </row>
    <row r="288" spans="2:9" hidden="1">
      <c r="B288" s="8"/>
      <c r="C288" s="8"/>
      <c r="D288" s="8"/>
      <c r="E288" s="8"/>
      <c r="F288" s="8"/>
      <c r="G288" s="8"/>
      <c r="H288" s="8"/>
      <c r="I288" s="8"/>
    </row>
    <row r="289" spans="2:9" hidden="1">
      <c r="B289" s="8"/>
      <c r="C289" s="8"/>
      <c r="D289" s="8"/>
      <c r="E289" s="8"/>
      <c r="F289" s="8"/>
      <c r="G289" s="8"/>
      <c r="H289" s="8"/>
      <c r="I289" s="8"/>
    </row>
    <row r="290" spans="2:9" hidden="1">
      <c r="B290" s="8"/>
      <c r="C290" s="8"/>
      <c r="D290" s="8"/>
      <c r="E290" s="8"/>
      <c r="F290" s="8"/>
      <c r="G290" s="8"/>
      <c r="H290" s="8"/>
      <c r="I290" s="8"/>
    </row>
    <row r="291" spans="2:9" hidden="1">
      <c r="B291" s="8"/>
      <c r="C291" s="8"/>
      <c r="D291" s="8"/>
      <c r="E291" s="8"/>
      <c r="F291" s="8"/>
      <c r="G291" s="8"/>
      <c r="H291" s="8"/>
      <c r="I291" s="8"/>
    </row>
    <row r="292" spans="2:9" hidden="1">
      <c r="B292" s="8"/>
      <c r="C292" s="8"/>
      <c r="D292" s="8"/>
      <c r="E292" s="8"/>
      <c r="F292" s="8"/>
      <c r="G292" s="8"/>
      <c r="H292" s="8"/>
      <c r="I292" s="8"/>
    </row>
    <row r="293" spans="2:9" hidden="1">
      <c r="B293" s="8"/>
      <c r="C293" s="8"/>
      <c r="D293" s="8"/>
      <c r="E293" s="8"/>
      <c r="F293" s="8"/>
      <c r="G293" s="8"/>
      <c r="H293" s="8"/>
      <c r="I293" s="8"/>
    </row>
    <row r="294" spans="2:9" hidden="1">
      <c r="B294" s="8"/>
      <c r="C294" s="8"/>
      <c r="D294" s="8"/>
      <c r="E294" s="8"/>
      <c r="F294" s="8"/>
      <c r="G294" s="8"/>
      <c r="H294" s="8"/>
      <c r="I294" s="8"/>
    </row>
    <row r="295" spans="2:9" hidden="1">
      <c r="B295" s="8"/>
      <c r="C295" s="8"/>
      <c r="D295" s="8"/>
      <c r="E295" s="8"/>
      <c r="F295" s="8"/>
      <c r="G295" s="8"/>
      <c r="H295" s="8"/>
      <c r="I295" s="8"/>
    </row>
    <row r="296" spans="2:9" hidden="1">
      <c r="B296" s="8"/>
      <c r="C296" s="8"/>
      <c r="D296" s="8"/>
      <c r="E296" s="8"/>
      <c r="F296" s="8"/>
      <c r="G296" s="8"/>
      <c r="H296" s="8"/>
      <c r="I296" s="8"/>
    </row>
    <row r="297" spans="2:9" hidden="1">
      <c r="B297" s="8"/>
      <c r="C297" s="8"/>
      <c r="D297" s="8"/>
      <c r="E297" s="8"/>
      <c r="F297" s="8"/>
      <c r="G297" s="8"/>
      <c r="H297" s="8"/>
      <c r="I297" s="8"/>
    </row>
    <row r="298" spans="2:9" hidden="1">
      <c r="B298" s="8"/>
      <c r="C298" s="8"/>
      <c r="D298" s="8"/>
      <c r="E298" s="8"/>
      <c r="F298" s="8"/>
      <c r="G298" s="8"/>
      <c r="H298" s="8"/>
      <c r="I298" s="8"/>
    </row>
    <row r="299" spans="2:9" hidden="1">
      <c r="B299" s="8"/>
      <c r="C299" s="8"/>
      <c r="D299" s="8"/>
      <c r="E299" s="8"/>
      <c r="F299" s="8"/>
      <c r="G299" s="8"/>
      <c r="H299" s="8"/>
      <c r="I299" s="8"/>
    </row>
    <row r="300" spans="2:9" hidden="1">
      <c r="B300" s="8"/>
      <c r="C300" s="8"/>
      <c r="D300" s="8"/>
      <c r="E300" s="8"/>
      <c r="F300" s="8"/>
      <c r="G300" s="8"/>
      <c r="H300" s="8"/>
      <c r="I300" s="8"/>
    </row>
    <row r="301" spans="2:9" hidden="1">
      <c r="B301" s="8"/>
      <c r="C301" s="8"/>
      <c r="D301" s="8"/>
      <c r="E301" s="8"/>
      <c r="F301" s="8"/>
      <c r="G301" s="8"/>
      <c r="H301" s="8"/>
      <c r="I301" s="8"/>
    </row>
    <row r="302" spans="2:9" hidden="1">
      <c r="B302" s="8"/>
      <c r="C302" s="8"/>
      <c r="D302" s="8"/>
      <c r="E302" s="8"/>
      <c r="F302" s="8"/>
      <c r="G302" s="8"/>
      <c r="H302" s="8"/>
      <c r="I302" s="8"/>
    </row>
    <row r="303" spans="2:9" hidden="1">
      <c r="B303" s="8"/>
      <c r="C303" s="8"/>
      <c r="D303" s="8"/>
      <c r="E303" s="8"/>
      <c r="F303" s="8"/>
      <c r="G303" s="8"/>
      <c r="H303" s="8"/>
      <c r="I303" s="8"/>
    </row>
    <row r="304" spans="2:9" hidden="1">
      <c r="B304" s="8"/>
      <c r="C304" s="8"/>
      <c r="D304" s="8"/>
      <c r="E304" s="8"/>
      <c r="F304" s="8"/>
      <c r="G304" s="8"/>
      <c r="H304" s="8"/>
      <c r="I304" s="8"/>
    </row>
    <row r="305" spans="2:9" hidden="1">
      <c r="B305" s="8"/>
      <c r="C305" s="8"/>
      <c r="D305" s="8"/>
      <c r="E305" s="8"/>
      <c r="F305" s="8"/>
      <c r="G305" s="8"/>
      <c r="H305" s="8"/>
      <c r="I305" s="8"/>
    </row>
    <row r="306" spans="2:9" hidden="1">
      <c r="B306" s="8"/>
      <c r="C306" s="8"/>
      <c r="D306" s="8"/>
      <c r="E306" s="8"/>
      <c r="F306" s="8"/>
      <c r="G306" s="8"/>
      <c r="H306" s="8"/>
      <c r="I306" s="8"/>
    </row>
    <row r="307" spans="2:9" hidden="1">
      <c r="B307" s="8"/>
      <c r="C307" s="8"/>
      <c r="D307" s="8"/>
      <c r="E307" s="8"/>
      <c r="F307" s="8"/>
      <c r="G307" s="8"/>
      <c r="H307" s="8"/>
      <c r="I307" s="8"/>
    </row>
    <row r="308" spans="2:9" hidden="1">
      <c r="B308" s="8"/>
      <c r="C308" s="8"/>
      <c r="D308" s="8"/>
      <c r="E308" s="8"/>
      <c r="F308" s="8"/>
      <c r="G308" s="8"/>
      <c r="H308" s="8"/>
      <c r="I308" s="8"/>
    </row>
    <row r="309" spans="2:9" hidden="1">
      <c r="B309" s="8"/>
      <c r="C309" s="8"/>
      <c r="D309" s="8"/>
      <c r="E309" s="8"/>
      <c r="F309" s="8"/>
      <c r="G309" s="8"/>
      <c r="H309" s="8"/>
      <c r="I309" s="8"/>
    </row>
    <row r="310" spans="2:9" hidden="1">
      <c r="B310" s="8"/>
      <c r="C310" s="8"/>
      <c r="D310" s="8"/>
      <c r="E310" s="8"/>
      <c r="F310" s="8"/>
      <c r="G310" s="8"/>
      <c r="H310" s="8"/>
      <c r="I310" s="8"/>
    </row>
    <row r="311" spans="2:9" hidden="1">
      <c r="B311" s="8"/>
      <c r="C311" s="8"/>
      <c r="D311" s="8"/>
      <c r="E311" s="8"/>
      <c r="F311" s="8"/>
      <c r="G311" s="8"/>
      <c r="H311" s="8"/>
      <c r="I311" s="8"/>
    </row>
    <row r="312" spans="2:9" hidden="1">
      <c r="B312" s="8"/>
      <c r="C312" s="8"/>
      <c r="D312" s="8"/>
      <c r="E312" s="8"/>
      <c r="F312" s="8"/>
      <c r="G312" s="8"/>
      <c r="H312" s="8"/>
      <c r="I312" s="8"/>
    </row>
    <row r="313" spans="2:9" hidden="1">
      <c r="B313" s="8"/>
      <c r="C313" s="8"/>
      <c r="D313" s="8"/>
      <c r="E313" s="8"/>
      <c r="F313" s="8"/>
      <c r="G313" s="8"/>
      <c r="H313" s="8"/>
      <c r="I313" s="8"/>
    </row>
    <row r="314" spans="2:9" hidden="1">
      <c r="B314" s="8"/>
      <c r="C314" s="8"/>
      <c r="D314" s="8"/>
      <c r="E314" s="8"/>
      <c r="F314" s="8"/>
      <c r="G314" s="8"/>
      <c r="H314" s="8"/>
      <c r="I314" s="8"/>
    </row>
    <row r="315" spans="2:9" hidden="1">
      <c r="B315" s="8"/>
      <c r="C315" s="8"/>
      <c r="D315" s="8"/>
      <c r="E315" s="8"/>
      <c r="F315" s="8"/>
      <c r="G315" s="8"/>
      <c r="H315" s="8"/>
      <c r="I315" s="8"/>
    </row>
    <row r="316" spans="2:9" hidden="1">
      <c r="B316" s="8"/>
      <c r="C316" s="8"/>
      <c r="D316" s="8"/>
      <c r="E316" s="8"/>
      <c r="F316" s="8"/>
      <c r="G316" s="8"/>
      <c r="H316" s="8"/>
      <c r="I316" s="8"/>
    </row>
    <row r="317" spans="2:9" hidden="1">
      <c r="B317" s="8"/>
      <c r="C317" s="8"/>
      <c r="D317" s="8"/>
      <c r="E317" s="8"/>
      <c r="F317" s="8"/>
      <c r="G317" s="8"/>
      <c r="H317" s="8"/>
      <c r="I317" s="8"/>
    </row>
    <row r="318" spans="2:9" hidden="1">
      <c r="B318" s="8"/>
      <c r="C318" s="8"/>
      <c r="D318" s="8"/>
      <c r="E318" s="8"/>
      <c r="F318" s="8"/>
      <c r="G318" s="8"/>
      <c r="H318" s="8"/>
      <c r="I318" s="8"/>
    </row>
    <row r="319" spans="2:9" hidden="1">
      <c r="B319" s="8"/>
      <c r="C319" s="8"/>
      <c r="D319" s="8"/>
      <c r="E319" s="8"/>
      <c r="F319" s="8"/>
      <c r="G319" s="8"/>
      <c r="H319" s="8"/>
      <c r="I319" s="8"/>
    </row>
    <row r="320" spans="2:9" hidden="1">
      <c r="B320" s="8"/>
      <c r="C320" s="8"/>
      <c r="D320" s="8"/>
      <c r="E320" s="8"/>
      <c r="F320" s="8"/>
      <c r="G320" s="8"/>
      <c r="H320" s="8"/>
      <c r="I320" s="8"/>
    </row>
    <row r="321" spans="2:9" hidden="1">
      <c r="B321" s="8"/>
      <c r="C321" s="8"/>
      <c r="D321" s="8"/>
      <c r="E321" s="8"/>
      <c r="F321" s="8"/>
      <c r="G321" s="8"/>
      <c r="H321" s="8"/>
      <c r="I321" s="8"/>
    </row>
    <row r="322" spans="2:9" hidden="1">
      <c r="B322" s="8"/>
      <c r="C322" s="8"/>
      <c r="D322" s="8"/>
      <c r="E322" s="8"/>
      <c r="F322" s="8"/>
      <c r="G322" s="8"/>
      <c r="H322" s="8"/>
      <c r="I322" s="8"/>
    </row>
    <row r="323" spans="2:9" hidden="1">
      <c r="B323" s="8"/>
      <c r="C323" s="8"/>
      <c r="D323" s="8"/>
      <c r="E323" s="8"/>
      <c r="F323" s="8"/>
      <c r="G323" s="8"/>
      <c r="H323" s="8"/>
      <c r="I323" s="8"/>
    </row>
    <row r="324" spans="2:9" hidden="1">
      <c r="B324" s="8"/>
      <c r="C324" s="8"/>
      <c r="D324" s="8"/>
      <c r="E324" s="8"/>
      <c r="F324" s="8"/>
      <c r="G324" s="8"/>
      <c r="H324" s="8"/>
      <c r="I324" s="8"/>
    </row>
    <row r="325" spans="2:9" hidden="1">
      <c r="B325" s="8"/>
      <c r="C325" s="8"/>
      <c r="D325" s="8"/>
      <c r="E325" s="8"/>
      <c r="F325" s="8"/>
      <c r="G325" s="8"/>
      <c r="H325" s="8"/>
      <c r="I325" s="8"/>
    </row>
    <row r="326" spans="2:9" hidden="1">
      <c r="B326" s="8"/>
      <c r="C326" s="8"/>
      <c r="D326" s="8"/>
      <c r="E326" s="8"/>
      <c r="F326" s="8"/>
      <c r="G326" s="8"/>
      <c r="H326" s="8"/>
      <c r="I326" s="8"/>
    </row>
    <row r="327" spans="2:9" hidden="1">
      <c r="B327" s="8"/>
      <c r="C327" s="8"/>
      <c r="D327" s="8"/>
      <c r="E327" s="8"/>
      <c r="F327" s="8"/>
      <c r="G327" s="8"/>
      <c r="H327" s="8"/>
      <c r="I327" s="8"/>
    </row>
    <row r="328" spans="2:9" hidden="1">
      <c r="B328" s="8"/>
      <c r="C328" s="8"/>
      <c r="D328" s="8"/>
      <c r="E328" s="8"/>
      <c r="F328" s="8"/>
      <c r="G328" s="8"/>
      <c r="H328" s="8"/>
      <c r="I328" s="8"/>
    </row>
    <row r="329" spans="2:9" hidden="1">
      <c r="B329" s="8"/>
      <c r="C329" s="8"/>
      <c r="D329" s="8"/>
      <c r="E329" s="8"/>
      <c r="F329" s="8"/>
      <c r="G329" s="8"/>
      <c r="H329" s="8"/>
      <c r="I329" s="8"/>
    </row>
    <row r="330" spans="2:9" hidden="1">
      <c r="B330" s="8"/>
      <c r="C330" s="8"/>
      <c r="D330" s="8"/>
      <c r="E330" s="8"/>
      <c r="F330" s="8"/>
      <c r="G330" s="8"/>
      <c r="H330" s="8"/>
      <c r="I330" s="8"/>
    </row>
    <row r="331" spans="2:9" hidden="1">
      <c r="B331" s="8"/>
      <c r="C331" s="8"/>
      <c r="D331" s="8"/>
      <c r="E331" s="8"/>
      <c r="F331" s="8"/>
      <c r="G331" s="8"/>
      <c r="H331" s="8"/>
      <c r="I331" s="8"/>
    </row>
    <row r="332" spans="2:9" hidden="1">
      <c r="B332" s="8"/>
      <c r="C332" s="8"/>
      <c r="D332" s="8"/>
      <c r="E332" s="8"/>
      <c r="F332" s="8"/>
      <c r="G332" s="8"/>
      <c r="H332" s="8"/>
      <c r="I332" s="8"/>
    </row>
    <row r="333" spans="2:9" hidden="1">
      <c r="B333" s="8"/>
      <c r="C333" s="8"/>
      <c r="D333" s="8"/>
      <c r="E333" s="8"/>
      <c r="F333" s="8"/>
      <c r="G333" s="8"/>
      <c r="H333" s="8"/>
      <c r="I333" s="8"/>
    </row>
    <row r="334" spans="2:9" hidden="1">
      <c r="B334" s="8"/>
      <c r="C334" s="8"/>
      <c r="D334" s="8"/>
      <c r="E334" s="8"/>
      <c r="F334" s="8"/>
      <c r="G334" s="8"/>
      <c r="H334" s="8"/>
      <c r="I334" s="8"/>
    </row>
    <row r="335" spans="2:9" hidden="1">
      <c r="B335" s="8"/>
      <c r="C335" s="8"/>
      <c r="D335" s="8"/>
      <c r="E335" s="8"/>
      <c r="F335" s="8"/>
      <c r="G335" s="8"/>
      <c r="H335" s="8"/>
      <c r="I335" s="8"/>
    </row>
    <row r="336" spans="2:9" hidden="1">
      <c r="B336" s="8"/>
      <c r="C336" s="8"/>
      <c r="D336" s="8"/>
      <c r="E336" s="8"/>
      <c r="F336" s="8"/>
      <c r="G336" s="8"/>
      <c r="H336" s="8"/>
      <c r="I336" s="8"/>
    </row>
    <row r="337" spans="2:9" hidden="1">
      <c r="B337" s="8"/>
      <c r="C337" s="8"/>
      <c r="D337" s="8"/>
      <c r="E337" s="8"/>
      <c r="F337" s="8"/>
      <c r="G337" s="8"/>
      <c r="H337" s="8"/>
      <c r="I337" s="8"/>
    </row>
    <row r="338" spans="2:9" hidden="1">
      <c r="B338" s="8"/>
      <c r="C338" s="8"/>
      <c r="D338" s="8"/>
      <c r="E338" s="8"/>
      <c r="F338" s="8"/>
      <c r="G338" s="8"/>
      <c r="H338" s="8"/>
      <c r="I338" s="8"/>
    </row>
    <row r="339" spans="2:9" hidden="1">
      <c r="B339" s="8"/>
      <c r="C339" s="8"/>
      <c r="D339" s="8"/>
      <c r="E339" s="8"/>
      <c r="F339" s="8"/>
      <c r="G339" s="8"/>
      <c r="H339" s="8"/>
      <c r="I339" s="8"/>
    </row>
    <row r="340" spans="2:9" hidden="1">
      <c r="B340" s="8"/>
      <c r="C340" s="8"/>
      <c r="D340" s="8"/>
      <c r="E340" s="8"/>
      <c r="F340" s="8"/>
      <c r="G340" s="8"/>
      <c r="H340" s="8"/>
      <c r="I340" s="8"/>
    </row>
    <row r="341" spans="2:9" hidden="1">
      <c r="B341" s="8"/>
      <c r="C341" s="8"/>
      <c r="D341" s="8"/>
      <c r="E341" s="8"/>
      <c r="F341" s="8"/>
      <c r="G341" s="8"/>
      <c r="H341" s="8"/>
      <c r="I341" s="8"/>
    </row>
    <row r="342" spans="2:9" hidden="1">
      <c r="B342" s="8"/>
      <c r="C342" s="8"/>
      <c r="D342" s="8"/>
      <c r="E342" s="8"/>
      <c r="F342" s="8"/>
      <c r="G342" s="8"/>
      <c r="H342" s="8"/>
      <c r="I342" s="8"/>
    </row>
    <row r="343" spans="2:9" hidden="1">
      <c r="B343" s="8"/>
      <c r="C343" s="8"/>
      <c r="D343" s="8"/>
      <c r="E343" s="8"/>
      <c r="F343" s="8"/>
      <c r="G343" s="8"/>
      <c r="H343" s="8"/>
      <c r="I343" s="8"/>
    </row>
    <row r="344" spans="2:9" hidden="1">
      <c r="B344" s="8"/>
      <c r="C344" s="8"/>
      <c r="D344" s="8"/>
      <c r="E344" s="8"/>
      <c r="F344" s="8"/>
      <c r="G344" s="8"/>
      <c r="H344" s="8"/>
      <c r="I344" s="8"/>
    </row>
    <row r="345" spans="2:9" hidden="1">
      <c r="B345" s="8"/>
      <c r="C345" s="8"/>
      <c r="D345" s="8"/>
      <c r="E345" s="8"/>
      <c r="F345" s="8"/>
      <c r="G345" s="8"/>
      <c r="H345" s="8"/>
      <c r="I345" s="8"/>
    </row>
    <row r="346" spans="2:9" hidden="1">
      <c r="B346" s="8"/>
      <c r="C346" s="8"/>
      <c r="D346" s="8"/>
      <c r="E346" s="8"/>
      <c r="F346" s="8"/>
      <c r="G346" s="8"/>
      <c r="H346" s="8"/>
      <c r="I346" s="8"/>
    </row>
    <row r="347" spans="2:9" hidden="1">
      <c r="B347" s="8"/>
      <c r="C347" s="8"/>
      <c r="D347" s="8"/>
      <c r="E347" s="8"/>
      <c r="F347" s="8"/>
      <c r="G347" s="8"/>
      <c r="H347" s="8"/>
      <c r="I347" s="8"/>
    </row>
    <row r="348" spans="2:9" hidden="1">
      <c r="B348" s="8"/>
      <c r="C348" s="8"/>
      <c r="D348" s="8"/>
      <c r="E348" s="8"/>
      <c r="F348" s="8"/>
      <c r="G348" s="8"/>
      <c r="H348" s="8"/>
      <c r="I348" s="8"/>
    </row>
    <row r="349" spans="2:9" hidden="1">
      <c r="B349" s="8"/>
      <c r="C349" s="8"/>
      <c r="D349" s="8"/>
      <c r="E349" s="8"/>
      <c r="F349" s="8"/>
      <c r="G349" s="8"/>
      <c r="H349" s="8"/>
      <c r="I349" s="8"/>
    </row>
    <row r="350" spans="2:9" hidden="1">
      <c r="B350" s="8"/>
      <c r="C350" s="8"/>
      <c r="D350" s="8"/>
      <c r="E350" s="8"/>
      <c r="F350" s="8"/>
      <c r="G350" s="8"/>
      <c r="H350" s="8"/>
      <c r="I350" s="8"/>
    </row>
    <row r="351" spans="2:9" hidden="1">
      <c r="B351" s="8"/>
      <c r="C351" s="8"/>
      <c r="D351" s="8"/>
      <c r="E351" s="8"/>
      <c r="F351" s="8"/>
      <c r="G351" s="8"/>
      <c r="H351" s="8"/>
      <c r="I351" s="8"/>
    </row>
    <row r="352" spans="2:9" hidden="1">
      <c r="B352" s="8"/>
      <c r="C352" s="8"/>
      <c r="D352" s="8"/>
      <c r="E352" s="8"/>
      <c r="F352" s="8"/>
      <c r="G352" s="8"/>
      <c r="H352" s="8"/>
      <c r="I352" s="8"/>
    </row>
    <row r="353" spans="2:9" hidden="1">
      <c r="B353" s="8"/>
      <c r="C353" s="8"/>
      <c r="D353" s="8"/>
      <c r="E353" s="8"/>
      <c r="F353" s="8"/>
      <c r="G353" s="8"/>
      <c r="H353" s="8"/>
      <c r="I353" s="8"/>
    </row>
    <row r="354" spans="2:9" hidden="1">
      <c r="B354" s="8"/>
      <c r="C354" s="8"/>
      <c r="D354" s="8"/>
      <c r="E354" s="8"/>
      <c r="F354" s="8"/>
      <c r="G354" s="8"/>
      <c r="H354" s="8"/>
      <c r="I354" s="8"/>
    </row>
    <row r="355" spans="2:9" hidden="1">
      <c r="B355" s="8"/>
      <c r="C355" s="8"/>
      <c r="D355" s="8"/>
      <c r="E355" s="8"/>
      <c r="F355" s="8"/>
      <c r="G355" s="8"/>
      <c r="H355" s="8"/>
      <c r="I355" s="8"/>
    </row>
    <row r="356" spans="2:9" hidden="1">
      <c r="B356" s="8"/>
      <c r="C356" s="8"/>
      <c r="D356" s="8"/>
      <c r="E356" s="8"/>
      <c r="F356" s="8"/>
      <c r="G356" s="8"/>
      <c r="H356" s="8"/>
      <c r="I356" s="8"/>
    </row>
    <row r="357" spans="2:9" hidden="1">
      <c r="B357" s="8"/>
      <c r="C357" s="8"/>
      <c r="D357" s="8"/>
      <c r="E357" s="8"/>
      <c r="F357" s="8"/>
      <c r="G357" s="8"/>
      <c r="H357" s="8"/>
      <c r="I357" s="8"/>
    </row>
    <row r="358" spans="2:9" hidden="1">
      <c r="B358" s="8"/>
      <c r="C358" s="8"/>
      <c r="D358" s="8"/>
      <c r="E358" s="8"/>
      <c r="F358" s="8"/>
      <c r="G358" s="8"/>
      <c r="H358" s="8"/>
      <c r="I358" s="8"/>
    </row>
    <row r="359" spans="2:9" hidden="1">
      <c r="B359" s="8"/>
      <c r="C359" s="8"/>
      <c r="D359" s="8"/>
      <c r="E359" s="8"/>
      <c r="F359" s="8"/>
      <c r="G359" s="8"/>
      <c r="H359" s="8"/>
      <c r="I359" s="8"/>
    </row>
    <row r="360" spans="2:9" hidden="1">
      <c r="B360" s="8"/>
      <c r="C360" s="8"/>
      <c r="D360" s="8"/>
      <c r="E360" s="8"/>
      <c r="F360" s="8"/>
      <c r="G360" s="8"/>
      <c r="H360" s="8"/>
      <c r="I360" s="8"/>
    </row>
    <row r="361" spans="2:9" hidden="1">
      <c r="B361" s="8"/>
      <c r="C361" s="8"/>
      <c r="D361" s="8"/>
      <c r="E361" s="8"/>
      <c r="F361" s="8"/>
      <c r="G361" s="8"/>
      <c r="H361" s="8"/>
      <c r="I361" s="8"/>
    </row>
    <row r="362" spans="2:9" hidden="1">
      <c r="B362" s="8"/>
      <c r="C362" s="8"/>
      <c r="D362" s="8"/>
      <c r="E362" s="8"/>
      <c r="F362" s="8"/>
      <c r="G362" s="8"/>
      <c r="H362" s="8"/>
      <c r="I362" s="8"/>
    </row>
    <row r="363" spans="2:9" hidden="1">
      <c r="B363" s="8"/>
      <c r="C363" s="8"/>
      <c r="D363" s="8"/>
      <c r="E363" s="8"/>
      <c r="F363" s="8"/>
      <c r="G363" s="8"/>
      <c r="H363" s="8"/>
      <c r="I363" s="8"/>
    </row>
    <row r="364" spans="2:9" hidden="1">
      <c r="B364" s="8"/>
      <c r="C364" s="8"/>
      <c r="D364" s="8"/>
      <c r="E364" s="8"/>
      <c r="F364" s="8"/>
      <c r="G364" s="8"/>
      <c r="H364" s="8"/>
      <c r="I364" s="8"/>
    </row>
    <row r="365" spans="2:9" hidden="1">
      <c r="B365" s="8"/>
      <c r="C365" s="8"/>
      <c r="D365" s="8"/>
      <c r="E365" s="8"/>
      <c r="F365" s="8"/>
      <c r="G365" s="8"/>
      <c r="H365" s="8"/>
      <c r="I365" s="8"/>
    </row>
    <row r="366" spans="2:9" hidden="1">
      <c r="B366" s="8"/>
      <c r="C366" s="8"/>
      <c r="D366" s="8"/>
      <c r="E366" s="8"/>
      <c r="F366" s="8"/>
      <c r="G366" s="8"/>
      <c r="H366" s="8"/>
      <c r="I366" s="8"/>
    </row>
    <row r="367" spans="2:9" hidden="1">
      <c r="B367" s="8"/>
      <c r="C367" s="8"/>
      <c r="D367" s="8"/>
      <c r="E367" s="8"/>
      <c r="F367" s="8"/>
      <c r="G367" s="8"/>
      <c r="H367" s="8"/>
      <c r="I367" s="8"/>
    </row>
    <row r="368" spans="2:9" hidden="1">
      <c r="B368" s="8"/>
      <c r="C368" s="8"/>
      <c r="D368" s="8"/>
      <c r="E368" s="8"/>
      <c r="F368" s="8"/>
      <c r="G368" s="8"/>
      <c r="H368" s="8"/>
      <c r="I368" s="8"/>
    </row>
    <row r="369" spans="2:9" hidden="1">
      <c r="B369" s="8"/>
      <c r="C369" s="8"/>
      <c r="D369" s="8"/>
      <c r="E369" s="8"/>
      <c r="F369" s="8"/>
      <c r="G369" s="8"/>
      <c r="H369" s="8"/>
      <c r="I369" s="8"/>
    </row>
    <row r="370" spans="2:9" hidden="1">
      <c r="B370" s="8"/>
      <c r="C370" s="8"/>
      <c r="D370" s="8"/>
      <c r="E370" s="8"/>
      <c r="F370" s="8"/>
      <c r="G370" s="8"/>
      <c r="H370" s="8"/>
      <c r="I370" s="8"/>
    </row>
    <row r="371" spans="2:9" hidden="1">
      <c r="B371" s="8"/>
      <c r="C371" s="8"/>
      <c r="D371" s="8"/>
      <c r="E371" s="8"/>
      <c r="F371" s="8"/>
      <c r="G371" s="8"/>
      <c r="H371" s="8"/>
      <c r="I371" s="8"/>
    </row>
    <row r="372" spans="2:9" hidden="1">
      <c r="B372" s="8"/>
      <c r="C372" s="8"/>
      <c r="D372" s="8"/>
      <c r="E372" s="8"/>
      <c r="F372" s="8"/>
      <c r="G372" s="8"/>
      <c r="H372" s="8"/>
      <c r="I372" s="8"/>
    </row>
    <row r="373" spans="2:9" hidden="1">
      <c r="B373" s="8"/>
      <c r="C373" s="8"/>
      <c r="D373" s="8"/>
      <c r="E373" s="8"/>
      <c r="F373" s="8"/>
      <c r="G373" s="8"/>
      <c r="H373" s="8"/>
      <c r="I373" s="8"/>
    </row>
    <row r="374" spans="2:9" hidden="1">
      <c r="B374" s="8"/>
      <c r="C374" s="8"/>
      <c r="D374" s="8"/>
      <c r="E374" s="8"/>
      <c r="F374" s="8"/>
      <c r="G374" s="8"/>
      <c r="H374" s="8"/>
      <c r="I374" s="8"/>
    </row>
    <row r="375" spans="2:9" hidden="1">
      <c r="B375" s="8"/>
      <c r="C375" s="8"/>
      <c r="D375" s="8"/>
      <c r="E375" s="8"/>
      <c r="F375" s="8"/>
      <c r="G375" s="8"/>
      <c r="H375" s="8"/>
      <c r="I375" s="8"/>
    </row>
    <row r="376" spans="2:9" hidden="1">
      <c r="B376" s="8"/>
      <c r="C376" s="8"/>
      <c r="D376" s="8"/>
      <c r="E376" s="8"/>
      <c r="F376" s="8"/>
      <c r="G376" s="8"/>
      <c r="H376" s="8"/>
      <c r="I376" s="8"/>
    </row>
    <row r="377" spans="2:9" hidden="1">
      <c r="B377" s="8"/>
      <c r="C377" s="8"/>
      <c r="D377" s="8"/>
      <c r="E377" s="8"/>
      <c r="F377" s="8"/>
      <c r="G377" s="8"/>
      <c r="H377" s="8"/>
      <c r="I377" s="8"/>
    </row>
    <row r="378" spans="2:9" hidden="1">
      <c r="B378" s="8"/>
      <c r="C378" s="8"/>
      <c r="D378" s="8"/>
      <c r="E378" s="8"/>
      <c r="F378" s="8"/>
      <c r="G378" s="8"/>
      <c r="H378" s="8"/>
      <c r="I378" s="8"/>
    </row>
    <row r="379" spans="2:9" hidden="1">
      <c r="B379" s="8"/>
      <c r="C379" s="8"/>
      <c r="D379" s="8"/>
      <c r="E379" s="8"/>
      <c r="F379" s="8"/>
      <c r="G379" s="8"/>
      <c r="H379" s="8"/>
      <c r="I379" s="8"/>
    </row>
    <row r="380" spans="2:9" hidden="1">
      <c r="B380" s="8"/>
      <c r="C380" s="8"/>
      <c r="D380" s="8"/>
      <c r="E380" s="8"/>
      <c r="F380" s="8"/>
      <c r="G380" s="8"/>
      <c r="H380" s="8"/>
      <c r="I380" s="8"/>
    </row>
    <row r="381" spans="2:9" hidden="1">
      <c r="B381" s="8"/>
      <c r="C381" s="8"/>
      <c r="D381" s="8"/>
      <c r="E381" s="8"/>
      <c r="F381" s="8"/>
      <c r="G381" s="8"/>
      <c r="H381" s="8"/>
      <c r="I381" s="8"/>
    </row>
    <row r="382" spans="2:9" hidden="1">
      <c r="B382" s="8"/>
      <c r="C382" s="8"/>
      <c r="D382" s="8"/>
      <c r="E382" s="8"/>
      <c r="F382" s="8"/>
      <c r="G382" s="8"/>
      <c r="H382" s="8"/>
      <c r="I382" s="8"/>
    </row>
    <row r="383" spans="2:9" hidden="1">
      <c r="B383" s="8"/>
      <c r="C383" s="8"/>
      <c r="D383" s="8"/>
      <c r="E383" s="8"/>
      <c r="F383" s="8"/>
      <c r="G383" s="8"/>
      <c r="H383" s="8"/>
      <c r="I383" s="8"/>
    </row>
    <row r="384" spans="2:9" hidden="1">
      <c r="B384" s="8"/>
      <c r="C384" s="8"/>
      <c r="D384" s="8"/>
      <c r="E384" s="8"/>
      <c r="F384" s="8"/>
      <c r="G384" s="8"/>
      <c r="H384" s="8"/>
      <c r="I384" s="8"/>
    </row>
    <row r="385" spans="2:9" hidden="1">
      <c r="B385" s="8"/>
      <c r="C385" s="8"/>
      <c r="D385" s="8"/>
      <c r="E385" s="8"/>
      <c r="F385" s="8"/>
      <c r="G385" s="8"/>
      <c r="H385" s="8"/>
      <c r="I385" s="8"/>
    </row>
    <row r="386" spans="2:9" hidden="1">
      <c r="B386" s="8"/>
      <c r="C386" s="8"/>
      <c r="D386" s="8"/>
      <c r="E386" s="8"/>
      <c r="F386" s="8"/>
      <c r="G386" s="8"/>
      <c r="H386" s="8"/>
      <c r="I386" s="8"/>
    </row>
    <row r="387" spans="2:9" hidden="1">
      <c r="B387" s="8"/>
      <c r="C387" s="8"/>
      <c r="D387" s="8"/>
      <c r="E387" s="8"/>
      <c r="F387" s="8"/>
      <c r="G387" s="8"/>
      <c r="H387" s="8"/>
      <c r="I387" s="8"/>
    </row>
    <row r="388" spans="2:9" hidden="1">
      <c r="B388" s="8"/>
      <c r="C388" s="8"/>
      <c r="D388" s="8"/>
      <c r="E388" s="8"/>
      <c r="F388" s="8"/>
      <c r="G388" s="8"/>
      <c r="H388" s="8"/>
      <c r="I388" s="8"/>
    </row>
    <row r="389" spans="2:9" hidden="1">
      <c r="B389" s="8"/>
      <c r="C389" s="8"/>
      <c r="D389" s="8"/>
      <c r="E389" s="8"/>
      <c r="F389" s="8"/>
      <c r="G389" s="8"/>
      <c r="H389" s="8"/>
      <c r="I389" s="8"/>
    </row>
    <row r="390" spans="2:9" hidden="1">
      <c r="B390" s="8"/>
      <c r="C390" s="8"/>
      <c r="D390" s="8"/>
      <c r="E390" s="8"/>
      <c r="F390" s="8"/>
      <c r="G390" s="8"/>
      <c r="H390" s="8"/>
      <c r="I390" s="8"/>
    </row>
    <row r="391" spans="2:9" hidden="1">
      <c r="B391" s="8"/>
      <c r="C391" s="8"/>
      <c r="D391" s="8"/>
      <c r="E391" s="8"/>
      <c r="F391" s="8"/>
      <c r="G391" s="8"/>
      <c r="H391" s="8"/>
      <c r="I391" s="8"/>
    </row>
    <row r="392" spans="2:9" hidden="1">
      <c r="B392" s="8"/>
      <c r="C392" s="8"/>
      <c r="D392" s="8"/>
      <c r="E392" s="8"/>
      <c r="F392" s="8"/>
      <c r="G392" s="8"/>
      <c r="H392" s="8"/>
      <c r="I392" s="8"/>
    </row>
    <row r="393" spans="2:9" hidden="1">
      <c r="B393" s="8"/>
      <c r="C393" s="8"/>
      <c r="D393" s="8"/>
      <c r="E393" s="8"/>
      <c r="F393" s="8"/>
      <c r="G393" s="8"/>
      <c r="H393" s="8"/>
      <c r="I393" s="8"/>
    </row>
    <row r="394" spans="2:9" hidden="1">
      <c r="B394" s="8"/>
      <c r="C394" s="8"/>
      <c r="D394" s="8"/>
      <c r="E394" s="8"/>
      <c r="F394" s="8"/>
      <c r="G394" s="8"/>
      <c r="H394" s="8"/>
      <c r="I394" s="8"/>
    </row>
    <row r="395" spans="2:9" hidden="1">
      <c r="B395" s="8"/>
      <c r="C395" s="8"/>
      <c r="D395" s="8"/>
      <c r="E395" s="8"/>
      <c r="F395" s="8"/>
      <c r="G395" s="8"/>
      <c r="H395" s="8"/>
      <c r="I395" s="8"/>
    </row>
    <row r="396" spans="2:9" hidden="1">
      <c r="B396" s="8"/>
      <c r="C396" s="8"/>
      <c r="D396" s="8"/>
      <c r="E396" s="8"/>
      <c r="F396" s="8"/>
      <c r="G396" s="8"/>
      <c r="H396" s="8"/>
      <c r="I396" s="8"/>
    </row>
    <row r="397" spans="2:9" hidden="1">
      <c r="B397" s="8"/>
      <c r="C397" s="8"/>
      <c r="D397" s="8"/>
      <c r="E397" s="8"/>
      <c r="F397" s="8"/>
      <c r="G397" s="8"/>
      <c r="H397" s="8"/>
      <c r="I397" s="8"/>
    </row>
    <row r="398" spans="2:9" hidden="1">
      <c r="B398" s="8"/>
      <c r="C398" s="8"/>
      <c r="D398" s="8"/>
      <c r="E398" s="8"/>
      <c r="F398" s="8"/>
      <c r="G398" s="8"/>
      <c r="H398" s="8"/>
      <c r="I398" s="8"/>
    </row>
    <row r="399" spans="2:9" hidden="1">
      <c r="B399" s="8"/>
      <c r="C399" s="8"/>
      <c r="D399" s="8"/>
      <c r="E399" s="8"/>
      <c r="F399" s="8"/>
      <c r="G399" s="8"/>
      <c r="H399" s="8"/>
      <c r="I399" s="8"/>
    </row>
    <row r="400" spans="2:9" hidden="1">
      <c r="B400" s="8"/>
      <c r="C400" s="8"/>
      <c r="D400" s="8"/>
      <c r="E400" s="8"/>
      <c r="F400" s="8"/>
      <c r="G400" s="8"/>
      <c r="H400" s="8"/>
      <c r="I400" s="8"/>
    </row>
    <row r="401" spans="2:9" hidden="1">
      <c r="B401" s="8"/>
      <c r="C401" s="8"/>
      <c r="D401" s="8"/>
      <c r="E401" s="8"/>
      <c r="F401" s="8"/>
      <c r="G401" s="8"/>
      <c r="H401" s="8"/>
      <c r="I401" s="8"/>
    </row>
    <row r="402" spans="2:9" hidden="1">
      <c r="B402" s="8"/>
      <c r="C402" s="8"/>
      <c r="D402" s="8"/>
      <c r="E402" s="8"/>
      <c r="F402" s="8"/>
      <c r="G402" s="8"/>
      <c r="H402" s="8"/>
      <c r="I402" s="8"/>
    </row>
    <row r="403" spans="2:9" hidden="1">
      <c r="B403" s="8"/>
      <c r="C403" s="8"/>
      <c r="D403" s="8"/>
      <c r="E403" s="8"/>
      <c r="F403" s="8"/>
      <c r="G403" s="8"/>
      <c r="H403" s="8"/>
      <c r="I403" s="8"/>
    </row>
    <row r="404" spans="2:9" hidden="1">
      <c r="B404" s="8"/>
      <c r="C404" s="8"/>
      <c r="D404" s="8"/>
      <c r="E404" s="8"/>
      <c r="F404" s="8"/>
      <c r="G404" s="8"/>
      <c r="H404" s="8"/>
      <c r="I404" s="8"/>
    </row>
    <row r="405" spans="2:9" hidden="1">
      <c r="B405" s="8"/>
      <c r="C405" s="8"/>
      <c r="D405" s="8"/>
      <c r="E405" s="8"/>
      <c r="F405" s="8"/>
      <c r="G405" s="8"/>
      <c r="H405" s="8"/>
      <c r="I405" s="8"/>
    </row>
    <row r="406" spans="2:9" hidden="1">
      <c r="B406" s="8"/>
      <c r="C406" s="8"/>
      <c r="D406" s="8"/>
      <c r="E406" s="8"/>
      <c r="F406" s="8"/>
      <c r="G406" s="8"/>
      <c r="H406" s="8"/>
      <c r="I406" s="8"/>
    </row>
    <row r="407" spans="2:9" hidden="1">
      <c r="B407" s="8"/>
      <c r="C407" s="8"/>
      <c r="D407" s="8"/>
      <c r="E407" s="8"/>
      <c r="F407" s="8"/>
      <c r="G407" s="8"/>
      <c r="H407" s="8"/>
      <c r="I407" s="8"/>
    </row>
    <row r="408" spans="2:9" hidden="1">
      <c r="B408" s="8"/>
      <c r="C408" s="8"/>
      <c r="D408" s="8"/>
      <c r="E408" s="8"/>
      <c r="F408" s="8"/>
      <c r="G408" s="8"/>
      <c r="H408" s="8"/>
      <c r="I408" s="8"/>
    </row>
    <row r="409" spans="2:9" hidden="1">
      <c r="B409" s="8"/>
      <c r="C409" s="8"/>
      <c r="D409" s="8"/>
      <c r="E409" s="8"/>
      <c r="F409" s="8"/>
      <c r="G409" s="8"/>
      <c r="H409" s="8"/>
      <c r="I409" s="8"/>
    </row>
    <row r="410" spans="2:9" hidden="1">
      <c r="B410" s="8"/>
      <c r="C410" s="8"/>
      <c r="D410" s="8"/>
      <c r="E410" s="8"/>
      <c r="F410" s="8"/>
      <c r="G410" s="8"/>
      <c r="H410" s="8"/>
      <c r="I410" s="8"/>
    </row>
    <row r="411" spans="2:9" hidden="1">
      <c r="B411" s="8"/>
      <c r="C411" s="8"/>
      <c r="D411" s="8"/>
      <c r="E411" s="8"/>
      <c r="F411" s="8"/>
      <c r="G411" s="8"/>
      <c r="H411" s="8"/>
      <c r="I411" s="8"/>
    </row>
    <row r="412" spans="2:9" hidden="1">
      <c r="B412" s="8"/>
      <c r="C412" s="8"/>
      <c r="D412" s="8"/>
      <c r="E412" s="8"/>
      <c r="F412" s="8"/>
      <c r="G412" s="8"/>
      <c r="H412" s="8"/>
      <c r="I412" s="8"/>
    </row>
    <row r="413" spans="2:9" hidden="1">
      <c r="B413" s="8"/>
      <c r="C413" s="8"/>
      <c r="D413" s="8"/>
      <c r="E413" s="8"/>
      <c r="F413" s="8"/>
      <c r="G413" s="8"/>
      <c r="H413" s="8"/>
      <c r="I413" s="8"/>
    </row>
    <row r="414" spans="2:9" hidden="1">
      <c r="B414" s="8"/>
      <c r="C414" s="8"/>
      <c r="D414" s="8"/>
      <c r="E414" s="8"/>
      <c r="F414" s="8"/>
      <c r="G414" s="8"/>
      <c r="H414" s="8"/>
      <c r="I414" s="8"/>
    </row>
    <row r="415" spans="2:9" hidden="1">
      <c r="B415" s="8"/>
      <c r="C415" s="8"/>
      <c r="D415" s="8"/>
      <c r="E415" s="8"/>
      <c r="F415" s="8"/>
      <c r="G415" s="8"/>
      <c r="H415" s="8"/>
      <c r="I415" s="8"/>
    </row>
    <row r="416" spans="2:9" hidden="1">
      <c r="B416" s="8"/>
      <c r="C416" s="8"/>
      <c r="D416" s="8"/>
      <c r="E416" s="8"/>
      <c r="F416" s="8"/>
      <c r="G416" s="8"/>
      <c r="H416" s="8"/>
      <c r="I416" s="8"/>
    </row>
    <row r="417" spans="2:9" hidden="1">
      <c r="B417" s="8"/>
      <c r="C417" s="8"/>
      <c r="D417" s="8"/>
      <c r="E417" s="8"/>
      <c r="F417" s="8"/>
      <c r="G417" s="8"/>
      <c r="H417" s="8"/>
      <c r="I417" s="8"/>
    </row>
    <row r="418" spans="2:9" hidden="1">
      <c r="B418" s="8"/>
      <c r="C418" s="8"/>
      <c r="D418" s="8"/>
      <c r="E418" s="8"/>
      <c r="F418" s="8"/>
      <c r="G418" s="8"/>
      <c r="H418" s="8"/>
      <c r="I418" s="8"/>
    </row>
    <row r="419" spans="2:9" hidden="1">
      <c r="B419" s="8"/>
      <c r="C419" s="8"/>
      <c r="D419" s="8"/>
      <c r="E419" s="8"/>
      <c r="F419" s="8"/>
      <c r="G419" s="8"/>
      <c r="H419" s="8"/>
      <c r="I419" s="8"/>
    </row>
    <row r="420" spans="2:9" hidden="1">
      <c r="B420" s="8"/>
      <c r="C420" s="8"/>
      <c r="D420" s="8"/>
      <c r="E420" s="8"/>
      <c r="F420" s="8"/>
      <c r="G420" s="8"/>
      <c r="H420" s="8"/>
      <c r="I420" s="8"/>
    </row>
    <row r="421" spans="2:9" hidden="1">
      <c r="B421" s="8"/>
      <c r="C421" s="8"/>
      <c r="D421" s="8"/>
      <c r="E421" s="8"/>
      <c r="F421" s="8"/>
      <c r="G421" s="8"/>
      <c r="H421" s="8"/>
      <c r="I421" s="8"/>
    </row>
    <row r="422" spans="2:9" hidden="1">
      <c r="B422" s="8"/>
      <c r="C422" s="8"/>
      <c r="D422" s="8"/>
      <c r="E422" s="8"/>
      <c r="F422" s="8"/>
      <c r="G422" s="8"/>
      <c r="H422" s="8"/>
      <c r="I422" s="8"/>
    </row>
    <row r="423" spans="2:9" hidden="1">
      <c r="B423" s="8"/>
      <c r="C423" s="8"/>
      <c r="D423" s="8"/>
      <c r="E423" s="8"/>
      <c r="F423" s="8"/>
      <c r="G423" s="8"/>
      <c r="H423" s="8"/>
      <c r="I423" s="8"/>
    </row>
    <row r="424" spans="2:9" hidden="1">
      <c r="B424" s="8"/>
      <c r="C424" s="8"/>
      <c r="D424" s="8"/>
      <c r="E424" s="8"/>
      <c r="F424" s="8"/>
      <c r="G424" s="8"/>
      <c r="H424" s="8"/>
      <c r="I424" s="8"/>
    </row>
    <row r="425" spans="2:9" hidden="1">
      <c r="B425" s="8"/>
      <c r="C425" s="8"/>
      <c r="D425" s="8"/>
      <c r="E425" s="8"/>
      <c r="F425" s="8"/>
      <c r="G425" s="8"/>
      <c r="H425" s="8"/>
      <c r="I425" s="8"/>
    </row>
    <row r="426" spans="2:9" hidden="1">
      <c r="B426" s="8"/>
      <c r="C426" s="8"/>
      <c r="D426" s="8"/>
      <c r="E426" s="8"/>
      <c r="F426" s="8"/>
      <c r="G426" s="8"/>
      <c r="H426" s="8"/>
      <c r="I426" s="8"/>
    </row>
    <row r="427" spans="2:9" hidden="1">
      <c r="B427" s="8"/>
      <c r="C427" s="8"/>
      <c r="D427" s="8"/>
      <c r="E427" s="8"/>
      <c r="F427" s="8"/>
      <c r="G427" s="8"/>
      <c r="H427" s="8"/>
      <c r="I427" s="8"/>
    </row>
    <row r="428" spans="2:9" hidden="1">
      <c r="B428" s="8"/>
      <c r="C428" s="8"/>
      <c r="D428" s="8"/>
      <c r="E428" s="8"/>
      <c r="F428" s="8"/>
      <c r="G428" s="8"/>
      <c r="H428" s="8"/>
      <c r="I428" s="8"/>
    </row>
    <row r="429" spans="2:9" hidden="1">
      <c r="B429" s="8"/>
      <c r="C429" s="8"/>
      <c r="D429" s="8"/>
      <c r="E429" s="8"/>
      <c r="F429" s="8"/>
      <c r="G429" s="8"/>
      <c r="H429" s="8"/>
      <c r="I429" s="8"/>
    </row>
    <row r="430" spans="2:9" hidden="1">
      <c r="B430" s="8"/>
      <c r="C430" s="8"/>
      <c r="D430" s="8"/>
      <c r="E430" s="8"/>
      <c r="F430" s="8"/>
      <c r="G430" s="8"/>
      <c r="H430" s="8"/>
      <c r="I430" s="8"/>
    </row>
    <row r="431" spans="2:9" hidden="1">
      <c r="B431" s="8"/>
      <c r="C431" s="8"/>
      <c r="D431" s="8"/>
      <c r="E431" s="8"/>
      <c r="F431" s="8"/>
      <c r="G431" s="8"/>
      <c r="H431" s="8"/>
      <c r="I431" s="8"/>
    </row>
    <row r="432" spans="2:9" hidden="1">
      <c r="B432" s="8"/>
      <c r="C432" s="8"/>
      <c r="D432" s="8"/>
      <c r="E432" s="8"/>
      <c r="F432" s="8"/>
      <c r="G432" s="8"/>
      <c r="H432" s="8"/>
      <c r="I432" s="8"/>
    </row>
    <row r="433" spans="2:9" hidden="1">
      <c r="B433" s="8"/>
      <c r="C433" s="8"/>
      <c r="D433" s="8"/>
      <c r="E433" s="8"/>
      <c r="F433" s="8"/>
      <c r="G433" s="8"/>
      <c r="H433" s="8"/>
      <c r="I433" s="8"/>
    </row>
    <row r="434" spans="2:9" hidden="1">
      <c r="B434" s="8"/>
      <c r="C434" s="8"/>
      <c r="D434" s="8"/>
      <c r="E434" s="8"/>
      <c r="F434" s="8"/>
      <c r="G434" s="8"/>
      <c r="H434" s="8"/>
      <c r="I434" s="8"/>
    </row>
    <row r="435" spans="2:9" hidden="1">
      <c r="B435" s="8"/>
      <c r="C435" s="8"/>
      <c r="D435" s="8"/>
      <c r="E435" s="8"/>
      <c r="F435" s="8"/>
      <c r="G435" s="8"/>
      <c r="H435" s="8"/>
      <c r="I435" s="8"/>
    </row>
    <row r="436" spans="2:9" hidden="1">
      <c r="B436" s="8"/>
      <c r="C436" s="8"/>
      <c r="D436" s="8"/>
      <c r="E436" s="8"/>
      <c r="F436" s="8"/>
      <c r="G436" s="8"/>
      <c r="H436" s="8"/>
      <c r="I436" s="8"/>
    </row>
    <row r="437" spans="2:9" hidden="1">
      <c r="B437" s="8"/>
      <c r="C437" s="8"/>
      <c r="D437" s="8"/>
      <c r="E437" s="8"/>
      <c r="F437" s="8"/>
      <c r="G437" s="8"/>
      <c r="H437" s="8"/>
      <c r="I437" s="8"/>
    </row>
    <row r="438" spans="2:9" hidden="1">
      <c r="B438" s="8"/>
      <c r="C438" s="8"/>
      <c r="D438" s="8"/>
      <c r="E438" s="8"/>
      <c r="F438" s="8"/>
      <c r="G438" s="8"/>
      <c r="H438" s="8"/>
      <c r="I438" s="8"/>
    </row>
    <row r="439" spans="2:9" hidden="1">
      <c r="B439" s="8"/>
      <c r="C439" s="8"/>
      <c r="D439" s="8"/>
      <c r="E439" s="8"/>
      <c r="F439" s="8"/>
      <c r="G439" s="8"/>
      <c r="H439" s="8"/>
      <c r="I439" s="8"/>
    </row>
    <row r="440" spans="2:9" hidden="1">
      <c r="B440" s="8"/>
      <c r="C440" s="8"/>
      <c r="D440" s="8"/>
      <c r="E440" s="8"/>
      <c r="F440" s="8"/>
      <c r="G440" s="8"/>
      <c r="H440" s="8"/>
      <c r="I440" s="8"/>
    </row>
    <row r="441" spans="2:9" hidden="1">
      <c r="B441" s="8"/>
      <c r="C441" s="8"/>
      <c r="D441" s="8"/>
      <c r="E441" s="8"/>
      <c r="F441" s="8"/>
      <c r="G441" s="8"/>
      <c r="H441" s="8"/>
      <c r="I441" s="8"/>
    </row>
    <row r="442" spans="2:9" hidden="1">
      <c r="B442" s="8"/>
      <c r="C442" s="8"/>
      <c r="D442" s="8"/>
      <c r="E442" s="8"/>
      <c r="F442" s="8"/>
      <c r="G442" s="8"/>
      <c r="H442" s="8"/>
      <c r="I442" s="8"/>
    </row>
    <row r="443" spans="2:9" hidden="1">
      <c r="B443" s="8"/>
      <c r="C443" s="8"/>
      <c r="D443" s="8"/>
      <c r="E443" s="8"/>
      <c r="F443" s="8"/>
      <c r="G443" s="8"/>
      <c r="H443" s="8"/>
      <c r="I443" s="8"/>
    </row>
    <row r="444" spans="2:9" hidden="1">
      <c r="B444" s="8"/>
      <c r="C444" s="8"/>
      <c r="D444" s="8"/>
      <c r="E444" s="8"/>
      <c r="F444" s="8"/>
      <c r="G444" s="8"/>
      <c r="H444" s="8"/>
      <c r="I444" s="8"/>
    </row>
    <row r="445" spans="2:9" hidden="1">
      <c r="B445" s="8"/>
      <c r="C445" s="8"/>
      <c r="D445" s="8"/>
      <c r="E445" s="8"/>
      <c r="F445" s="8"/>
      <c r="G445" s="8"/>
      <c r="H445" s="8"/>
      <c r="I445" s="8"/>
    </row>
    <row r="446" spans="2:9" hidden="1">
      <c r="B446" s="8"/>
      <c r="C446" s="8"/>
      <c r="D446" s="8"/>
      <c r="E446" s="8"/>
      <c r="F446" s="8"/>
      <c r="G446" s="8"/>
      <c r="H446" s="8"/>
      <c r="I446" s="8"/>
    </row>
    <row r="447" spans="2:9" hidden="1">
      <c r="B447" s="8"/>
      <c r="C447" s="8"/>
      <c r="D447" s="8"/>
      <c r="E447" s="8"/>
      <c r="F447" s="8"/>
      <c r="G447" s="8"/>
      <c r="H447" s="8"/>
      <c r="I447" s="8"/>
    </row>
    <row r="448" spans="2:9" hidden="1">
      <c r="B448" s="8"/>
      <c r="C448" s="8"/>
      <c r="D448" s="8"/>
      <c r="E448" s="8"/>
      <c r="F448" s="8"/>
      <c r="G448" s="8"/>
      <c r="H448" s="8"/>
      <c r="I448" s="8"/>
    </row>
    <row r="449" spans="2:9" hidden="1">
      <c r="B449" s="8"/>
      <c r="C449" s="8"/>
      <c r="D449" s="8"/>
      <c r="E449" s="8"/>
      <c r="F449" s="8"/>
      <c r="G449" s="8"/>
      <c r="H449" s="8"/>
      <c r="I449" s="8"/>
    </row>
    <row r="450" spans="2:9" hidden="1">
      <c r="B450" s="8"/>
      <c r="C450" s="8"/>
      <c r="D450" s="8"/>
      <c r="E450" s="8"/>
      <c r="F450" s="8"/>
      <c r="G450" s="8"/>
      <c r="H450" s="8"/>
      <c r="I450" s="8"/>
    </row>
    <row r="451" spans="2:9" hidden="1">
      <c r="B451" s="8"/>
      <c r="C451" s="8"/>
      <c r="D451" s="8"/>
      <c r="E451" s="8"/>
      <c r="F451" s="8"/>
      <c r="G451" s="8"/>
      <c r="H451" s="8"/>
      <c r="I451" s="8"/>
    </row>
    <row r="452" spans="2:9" hidden="1">
      <c r="B452" s="8"/>
      <c r="C452" s="8"/>
      <c r="D452" s="8"/>
      <c r="E452" s="8"/>
      <c r="F452" s="8"/>
      <c r="G452" s="8"/>
      <c r="H452" s="8"/>
      <c r="I452" s="8"/>
    </row>
    <row r="453" spans="2:9" hidden="1">
      <c r="B453" s="8"/>
      <c r="C453" s="8"/>
      <c r="D453" s="8"/>
      <c r="E453" s="8"/>
      <c r="F453" s="8"/>
      <c r="G453" s="8"/>
      <c r="H453" s="8"/>
      <c r="I453" s="8"/>
    </row>
    <row r="454" spans="2:9" hidden="1">
      <c r="B454" s="8"/>
      <c r="C454" s="8"/>
      <c r="D454" s="8"/>
      <c r="E454" s="8"/>
      <c r="F454" s="8"/>
      <c r="G454" s="8"/>
      <c r="H454" s="8"/>
      <c r="I454" s="8"/>
    </row>
    <row r="455" spans="2:9" hidden="1">
      <c r="B455" s="8"/>
      <c r="C455" s="8"/>
      <c r="D455" s="8"/>
      <c r="E455" s="8"/>
      <c r="F455" s="8"/>
      <c r="G455" s="8"/>
      <c r="H455" s="8"/>
      <c r="I455" s="8"/>
    </row>
    <row r="456" spans="2:9" hidden="1">
      <c r="B456" s="8"/>
      <c r="C456" s="8"/>
      <c r="D456" s="8"/>
      <c r="E456" s="8"/>
      <c r="F456" s="8"/>
      <c r="G456" s="8"/>
      <c r="H456" s="8"/>
      <c r="I456" s="8"/>
    </row>
    <row r="457" spans="2:9" hidden="1">
      <c r="B457" s="8"/>
      <c r="C457" s="8"/>
      <c r="D457" s="8"/>
      <c r="E457" s="8"/>
      <c r="F457" s="8"/>
      <c r="G457" s="8"/>
      <c r="H457" s="8"/>
      <c r="I457" s="8"/>
    </row>
    <row r="458" spans="2:9" hidden="1">
      <c r="B458" s="8"/>
      <c r="C458" s="8"/>
      <c r="D458" s="8"/>
      <c r="E458" s="8"/>
      <c r="F458" s="8"/>
      <c r="G458" s="8"/>
      <c r="H458" s="8"/>
      <c r="I458" s="8"/>
    </row>
    <row r="459" spans="2:9" hidden="1">
      <c r="B459" s="8"/>
      <c r="C459" s="8"/>
      <c r="D459" s="8"/>
      <c r="E459" s="8"/>
      <c r="F459" s="8"/>
      <c r="G459" s="8"/>
      <c r="H459" s="8"/>
      <c r="I459" s="8"/>
    </row>
    <row r="460" spans="2:9" hidden="1">
      <c r="B460" s="8"/>
      <c r="C460" s="8"/>
      <c r="D460" s="8"/>
      <c r="E460" s="8"/>
      <c r="F460" s="8"/>
      <c r="G460" s="8"/>
      <c r="H460" s="8"/>
      <c r="I460" s="8"/>
    </row>
    <row r="461" spans="2:9" hidden="1">
      <c r="B461" s="8"/>
      <c r="C461" s="8"/>
      <c r="D461" s="8"/>
      <c r="E461" s="8"/>
      <c r="F461" s="8"/>
      <c r="G461" s="8"/>
      <c r="H461" s="8"/>
      <c r="I461" s="8"/>
    </row>
    <row r="462" spans="2:9" hidden="1">
      <c r="B462" s="8"/>
      <c r="C462" s="8"/>
      <c r="D462" s="8"/>
      <c r="E462" s="8"/>
      <c r="F462" s="8"/>
      <c r="G462" s="8"/>
      <c r="H462" s="8"/>
      <c r="I462" s="8"/>
    </row>
    <row r="463" spans="2:9" hidden="1">
      <c r="B463" s="8"/>
      <c r="C463" s="8"/>
      <c r="D463" s="8"/>
      <c r="E463" s="8"/>
      <c r="F463" s="8"/>
      <c r="G463" s="8"/>
      <c r="H463" s="8"/>
      <c r="I463" s="8"/>
    </row>
    <row r="464" spans="2:9" hidden="1">
      <c r="B464" s="8"/>
      <c r="C464" s="8"/>
      <c r="D464" s="8"/>
      <c r="E464" s="8"/>
      <c r="F464" s="8"/>
      <c r="G464" s="8"/>
      <c r="H464" s="8"/>
      <c r="I464" s="8"/>
    </row>
    <row r="465" spans="2:9" hidden="1">
      <c r="B465" s="8"/>
      <c r="C465" s="8"/>
      <c r="D465" s="8"/>
      <c r="E465" s="8"/>
      <c r="F465" s="8"/>
      <c r="G465" s="8"/>
      <c r="H465" s="8"/>
      <c r="I465" s="8"/>
    </row>
    <row r="466" spans="2:9" hidden="1">
      <c r="B466" s="8"/>
      <c r="C466" s="8"/>
      <c r="D466" s="8"/>
      <c r="E466" s="8"/>
      <c r="F466" s="8"/>
      <c r="G466" s="8"/>
      <c r="H466" s="8"/>
      <c r="I466" s="8"/>
    </row>
    <row r="467" spans="2:9" hidden="1">
      <c r="B467" s="8"/>
      <c r="C467" s="8"/>
      <c r="D467" s="8"/>
      <c r="E467" s="8"/>
      <c r="F467" s="8"/>
      <c r="G467" s="8"/>
      <c r="H467" s="8"/>
      <c r="I467" s="8"/>
    </row>
    <row r="468" spans="2:9" hidden="1">
      <c r="B468" s="8"/>
      <c r="C468" s="8"/>
      <c r="D468" s="8"/>
      <c r="E468" s="8"/>
      <c r="F468" s="8"/>
      <c r="G468" s="8"/>
      <c r="H468" s="8"/>
      <c r="I468" s="8"/>
    </row>
    <row r="469" spans="2:9" hidden="1">
      <c r="B469" s="8"/>
      <c r="C469" s="8"/>
      <c r="D469" s="8"/>
      <c r="E469" s="8"/>
      <c r="F469" s="8"/>
      <c r="G469" s="8"/>
      <c r="H469" s="8"/>
      <c r="I469" s="8"/>
    </row>
    <row r="470" spans="2:9" hidden="1">
      <c r="B470" s="8"/>
      <c r="C470" s="8"/>
      <c r="D470" s="8"/>
      <c r="E470" s="8"/>
      <c r="F470" s="8"/>
      <c r="G470" s="8"/>
      <c r="H470" s="8"/>
      <c r="I470" s="8"/>
    </row>
    <row r="471" spans="2:9" hidden="1">
      <c r="B471" s="8"/>
      <c r="C471" s="8"/>
      <c r="D471" s="8"/>
      <c r="E471" s="8"/>
      <c r="F471" s="8"/>
      <c r="G471" s="8"/>
      <c r="H471" s="8"/>
      <c r="I471" s="8"/>
    </row>
    <row r="472" spans="2:9" hidden="1">
      <c r="B472" s="8"/>
      <c r="C472" s="8"/>
      <c r="D472" s="8"/>
      <c r="E472" s="8"/>
      <c r="F472" s="8"/>
      <c r="G472" s="8"/>
      <c r="H472" s="8"/>
      <c r="I472" s="8"/>
    </row>
    <row r="473" spans="2:9" hidden="1">
      <c r="B473" s="8"/>
      <c r="C473" s="8"/>
      <c r="D473" s="8"/>
      <c r="E473" s="8"/>
      <c r="F473" s="8"/>
      <c r="G473" s="8"/>
      <c r="H473" s="8"/>
      <c r="I473" s="8"/>
    </row>
    <row r="474" spans="2:9" hidden="1">
      <c r="B474" s="8"/>
      <c r="C474" s="8"/>
      <c r="D474" s="8"/>
      <c r="E474" s="8"/>
      <c r="F474" s="8"/>
      <c r="G474" s="8"/>
      <c r="H474" s="8"/>
      <c r="I474" s="8"/>
    </row>
    <row r="475" spans="2:9" hidden="1">
      <c r="B475" s="8"/>
      <c r="C475" s="8"/>
      <c r="D475" s="8"/>
      <c r="E475" s="8"/>
      <c r="F475" s="8"/>
      <c r="G475" s="8"/>
      <c r="H475" s="8"/>
      <c r="I475" s="8"/>
    </row>
    <row r="476" spans="2:9" hidden="1">
      <c r="B476" s="8"/>
      <c r="C476" s="8"/>
      <c r="D476" s="8"/>
      <c r="E476" s="8"/>
      <c r="F476" s="8"/>
      <c r="G476" s="8"/>
      <c r="H476" s="8"/>
      <c r="I476" s="8"/>
    </row>
    <row r="477" spans="2:9" hidden="1">
      <c r="B477" s="8"/>
      <c r="C477" s="8"/>
      <c r="D477" s="8"/>
      <c r="E477" s="8"/>
      <c r="F477" s="8"/>
      <c r="G477" s="8"/>
      <c r="H477" s="8"/>
      <c r="I477" s="8"/>
    </row>
    <row r="478" spans="2:9" hidden="1">
      <c r="B478" s="8"/>
      <c r="C478" s="8"/>
      <c r="D478" s="8"/>
      <c r="E478" s="8"/>
      <c r="F478" s="8"/>
      <c r="G478" s="8"/>
      <c r="H478" s="8"/>
      <c r="I478" s="8"/>
    </row>
    <row r="479" spans="2:9" hidden="1">
      <c r="B479" s="8"/>
      <c r="C479" s="8"/>
      <c r="D479" s="8"/>
      <c r="E479" s="8"/>
      <c r="F479" s="8"/>
      <c r="G479" s="8"/>
      <c r="H479" s="8"/>
      <c r="I479" s="8"/>
    </row>
    <row r="480" spans="2:9" hidden="1">
      <c r="B480" s="8"/>
      <c r="C480" s="8"/>
      <c r="D480" s="8"/>
      <c r="E480" s="8"/>
      <c r="F480" s="8"/>
      <c r="G480" s="8"/>
      <c r="H480" s="8"/>
      <c r="I480" s="8"/>
    </row>
    <row r="481" spans="2:9" hidden="1">
      <c r="B481" s="8"/>
      <c r="C481" s="8"/>
      <c r="D481" s="8"/>
      <c r="E481" s="8"/>
      <c r="F481" s="8"/>
      <c r="G481" s="8"/>
      <c r="H481" s="8"/>
      <c r="I481" s="8"/>
    </row>
    <row r="482" spans="2:9" hidden="1">
      <c r="B482" s="8"/>
      <c r="C482" s="8"/>
      <c r="D482" s="8"/>
      <c r="E482" s="8"/>
      <c r="F482" s="8"/>
      <c r="G482" s="8"/>
      <c r="H482" s="8"/>
      <c r="I482" s="8"/>
    </row>
    <row r="483" spans="2:9" hidden="1">
      <c r="B483" s="8"/>
      <c r="C483" s="8"/>
      <c r="D483" s="8"/>
      <c r="E483" s="8"/>
      <c r="F483" s="8"/>
      <c r="G483" s="8"/>
      <c r="H483" s="8"/>
      <c r="I483" s="8"/>
    </row>
    <row r="484" spans="2:9" hidden="1">
      <c r="B484" s="8"/>
      <c r="C484" s="8"/>
      <c r="D484" s="8"/>
      <c r="E484" s="8"/>
      <c r="F484" s="8"/>
      <c r="G484" s="8"/>
      <c r="H484" s="8"/>
      <c r="I484" s="8"/>
    </row>
    <row r="485" spans="2:9" hidden="1">
      <c r="B485" s="8"/>
      <c r="C485" s="8"/>
      <c r="D485" s="8"/>
      <c r="E485" s="8"/>
      <c r="F485" s="8"/>
      <c r="G485" s="8"/>
      <c r="H485" s="8"/>
      <c r="I485" s="8"/>
    </row>
    <row r="486" spans="2:9" hidden="1">
      <c r="B486" s="8"/>
      <c r="C486" s="8"/>
      <c r="D486" s="8"/>
      <c r="E486" s="8"/>
      <c r="F486" s="8"/>
      <c r="G486" s="8"/>
      <c r="H486" s="8"/>
      <c r="I486" s="8"/>
    </row>
    <row r="487" spans="2:9" hidden="1">
      <c r="B487" s="8"/>
      <c r="C487" s="8"/>
      <c r="D487" s="8"/>
      <c r="E487" s="8"/>
      <c r="F487" s="8"/>
      <c r="G487" s="8"/>
      <c r="H487" s="8"/>
      <c r="I487" s="8"/>
    </row>
    <row r="488" spans="2:9" hidden="1">
      <c r="B488" s="8"/>
      <c r="C488" s="8"/>
      <c r="D488" s="8"/>
      <c r="E488" s="8"/>
      <c r="F488" s="8"/>
      <c r="G488" s="8"/>
      <c r="H488" s="8"/>
      <c r="I488" s="8"/>
    </row>
    <row r="489" spans="2:9" hidden="1">
      <c r="B489" s="8"/>
      <c r="C489" s="8"/>
      <c r="D489" s="8"/>
      <c r="E489" s="8"/>
      <c r="F489" s="8"/>
      <c r="G489" s="8"/>
      <c r="H489" s="8"/>
      <c r="I489" s="8"/>
    </row>
    <row r="490" spans="2:9" hidden="1">
      <c r="B490" s="8"/>
      <c r="C490" s="8"/>
      <c r="D490" s="8"/>
      <c r="E490" s="8"/>
      <c r="F490" s="8"/>
      <c r="G490" s="8"/>
      <c r="H490" s="8"/>
      <c r="I490" s="8"/>
    </row>
    <row r="491" spans="2:9" hidden="1">
      <c r="B491" s="8"/>
      <c r="C491" s="8"/>
      <c r="D491" s="8"/>
      <c r="E491" s="8"/>
      <c r="F491" s="8"/>
      <c r="G491" s="8"/>
      <c r="H491" s="8"/>
      <c r="I491" s="8"/>
    </row>
    <row r="492" spans="2:9" hidden="1">
      <c r="B492" s="8"/>
      <c r="C492" s="8"/>
      <c r="D492" s="8"/>
      <c r="E492" s="8"/>
      <c r="F492" s="8"/>
      <c r="G492" s="8"/>
      <c r="H492" s="8"/>
      <c r="I492" s="8"/>
    </row>
    <row r="493" spans="2:9" hidden="1">
      <c r="B493" s="8"/>
      <c r="C493" s="8"/>
      <c r="D493" s="8"/>
      <c r="E493" s="8"/>
      <c r="F493" s="8"/>
      <c r="G493" s="8"/>
      <c r="H493" s="8"/>
      <c r="I493" s="8"/>
    </row>
    <row r="494" spans="2:9" hidden="1">
      <c r="B494" s="8"/>
      <c r="C494" s="8"/>
      <c r="D494" s="8"/>
      <c r="E494" s="8"/>
      <c r="F494" s="8"/>
      <c r="G494" s="8"/>
      <c r="H494" s="8"/>
      <c r="I494" s="8"/>
    </row>
    <row r="495" spans="2:9" hidden="1">
      <c r="B495" s="8"/>
      <c r="C495" s="8"/>
      <c r="D495" s="8"/>
      <c r="E495" s="8"/>
      <c r="F495" s="8"/>
      <c r="G495" s="8"/>
      <c r="H495" s="8"/>
      <c r="I495" s="8"/>
    </row>
    <row r="496" spans="2:9" hidden="1">
      <c r="B496" s="8"/>
      <c r="C496" s="8"/>
      <c r="D496" s="8"/>
      <c r="E496" s="8"/>
      <c r="F496" s="8"/>
      <c r="G496" s="8"/>
      <c r="H496" s="8"/>
      <c r="I496" s="8"/>
    </row>
    <row r="497" spans="2:9" hidden="1">
      <c r="B497" s="8"/>
      <c r="C497" s="8"/>
      <c r="D497" s="8"/>
      <c r="E497" s="8"/>
      <c r="F497" s="8"/>
      <c r="G497" s="8"/>
      <c r="H497" s="8"/>
      <c r="I497" s="8"/>
    </row>
    <row r="498" spans="2:9" hidden="1">
      <c r="B498" s="8"/>
      <c r="C498" s="8"/>
      <c r="D498" s="8"/>
      <c r="E498" s="8"/>
      <c r="F498" s="8"/>
      <c r="G498" s="8"/>
      <c r="H498" s="8"/>
      <c r="I498" s="8"/>
    </row>
    <row r="499" spans="2:9" hidden="1">
      <c r="B499" s="8"/>
      <c r="C499" s="8"/>
      <c r="D499" s="8"/>
      <c r="E499" s="8"/>
      <c r="F499" s="8"/>
      <c r="G499" s="8"/>
      <c r="H499" s="8"/>
      <c r="I499" s="8"/>
    </row>
    <row r="500" spans="2:9" hidden="1">
      <c r="B500" s="8"/>
      <c r="C500" s="8"/>
      <c r="D500" s="8"/>
      <c r="E500" s="8"/>
      <c r="F500" s="8"/>
      <c r="G500" s="8"/>
      <c r="H500" s="8"/>
      <c r="I500" s="8"/>
    </row>
    <row r="501" spans="2:9" hidden="1">
      <c r="B501" s="8"/>
      <c r="C501" s="8"/>
      <c r="D501" s="8"/>
      <c r="E501" s="8"/>
      <c r="F501" s="8"/>
      <c r="G501" s="8"/>
      <c r="H501" s="8"/>
      <c r="I501" s="8"/>
    </row>
    <row r="502" spans="2:9" hidden="1">
      <c r="B502" s="8"/>
      <c r="C502" s="8"/>
      <c r="D502" s="8"/>
      <c r="E502" s="8"/>
      <c r="F502" s="8"/>
      <c r="G502" s="8"/>
      <c r="H502" s="8"/>
      <c r="I502" s="8"/>
    </row>
    <row r="503" spans="2:9" hidden="1">
      <c r="B503" s="8"/>
      <c r="C503" s="8"/>
      <c r="D503" s="8"/>
      <c r="E503" s="8"/>
      <c r="F503" s="8"/>
      <c r="G503" s="8"/>
      <c r="H503" s="8"/>
      <c r="I503" s="8"/>
    </row>
    <row r="504" spans="2:9" hidden="1">
      <c r="B504" s="8"/>
      <c r="C504" s="8"/>
      <c r="D504" s="8"/>
      <c r="E504" s="8"/>
      <c r="F504" s="8"/>
      <c r="G504" s="8"/>
      <c r="H504" s="8"/>
      <c r="I504" s="8"/>
    </row>
    <row r="505" spans="2:9" hidden="1">
      <c r="B505" s="8"/>
      <c r="C505" s="8"/>
      <c r="D505" s="8"/>
      <c r="E505" s="8"/>
      <c r="F505" s="8"/>
      <c r="G505" s="8"/>
      <c r="H505" s="8"/>
      <c r="I505" s="8"/>
    </row>
    <row r="506" spans="2:9" hidden="1">
      <c r="B506" s="8"/>
      <c r="C506" s="8"/>
      <c r="D506" s="8"/>
      <c r="E506" s="8"/>
      <c r="F506" s="8"/>
      <c r="G506" s="8"/>
      <c r="H506" s="8"/>
      <c r="I506" s="8"/>
    </row>
    <row r="507" spans="2:9" hidden="1">
      <c r="B507" s="8"/>
      <c r="C507" s="8"/>
      <c r="D507" s="8"/>
      <c r="E507" s="8"/>
      <c r="F507" s="8"/>
      <c r="G507" s="8"/>
      <c r="H507" s="8"/>
      <c r="I507" s="8"/>
    </row>
    <row r="508" spans="2:9" hidden="1">
      <c r="B508" s="8"/>
      <c r="C508" s="8"/>
      <c r="D508" s="8"/>
      <c r="E508" s="8"/>
      <c r="F508" s="8"/>
      <c r="G508" s="8"/>
      <c r="H508" s="8"/>
      <c r="I508" s="8"/>
    </row>
    <row r="509" spans="2:9" hidden="1">
      <c r="B509" s="8"/>
      <c r="C509" s="8"/>
      <c r="D509" s="8"/>
      <c r="E509" s="8"/>
      <c r="F509" s="8"/>
      <c r="G509" s="8"/>
      <c r="H509" s="8"/>
      <c r="I509" s="8"/>
    </row>
    <row r="510" spans="2:9" hidden="1">
      <c r="B510" s="8"/>
      <c r="C510" s="8"/>
      <c r="D510" s="8"/>
      <c r="E510" s="8"/>
      <c r="F510" s="8"/>
      <c r="G510" s="8"/>
      <c r="H510" s="8"/>
      <c r="I510" s="8"/>
    </row>
    <row r="511" spans="2:9" hidden="1">
      <c r="B511" s="8"/>
      <c r="C511" s="8"/>
      <c r="D511" s="8"/>
      <c r="E511" s="8"/>
      <c r="F511" s="8"/>
      <c r="G511" s="8"/>
      <c r="H511" s="8"/>
      <c r="I511" s="8"/>
    </row>
    <row r="512" spans="2:9" hidden="1">
      <c r="B512" s="8"/>
      <c r="C512" s="8"/>
      <c r="D512" s="8"/>
      <c r="E512" s="8"/>
      <c r="F512" s="8"/>
      <c r="G512" s="8"/>
      <c r="H512" s="8"/>
      <c r="I512" s="8"/>
    </row>
    <row r="513" spans="2:9" hidden="1">
      <c r="B513" s="8"/>
      <c r="C513" s="8"/>
      <c r="D513" s="8"/>
      <c r="E513" s="8"/>
      <c r="F513" s="8"/>
      <c r="G513" s="8"/>
      <c r="H513" s="8"/>
      <c r="I513" s="8"/>
    </row>
    <row r="514" spans="2:9" hidden="1">
      <c r="B514" s="8"/>
      <c r="C514" s="8"/>
      <c r="D514" s="8"/>
      <c r="E514" s="8"/>
      <c r="F514" s="8"/>
      <c r="G514" s="8"/>
      <c r="H514" s="8"/>
      <c r="I514" s="8"/>
    </row>
    <row r="515" spans="2:9" hidden="1">
      <c r="B515" s="8"/>
      <c r="C515" s="8"/>
      <c r="D515" s="8"/>
      <c r="E515" s="8"/>
      <c r="F515" s="8"/>
      <c r="G515" s="8"/>
      <c r="H515" s="8"/>
      <c r="I515" s="8"/>
    </row>
    <row r="516" spans="2:9" hidden="1">
      <c r="B516" s="8"/>
      <c r="C516" s="8"/>
      <c r="D516" s="8"/>
      <c r="E516" s="8"/>
      <c r="F516" s="8"/>
      <c r="G516" s="8"/>
      <c r="H516" s="8"/>
      <c r="I516" s="8"/>
    </row>
    <row r="517" spans="2:9" hidden="1">
      <c r="B517" s="8"/>
      <c r="C517" s="8"/>
      <c r="D517" s="8"/>
      <c r="E517" s="8"/>
      <c r="F517" s="8"/>
      <c r="G517" s="8"/>
      <c r="H517" s="8"/>
      <c r="I517" s="8"/>
    </row>
    <row r="518" spans="2:9" hidden="1">
      <c r="B518" s="8"/>
      <c r="C518" s="8"/>
      <c r="D518" s="8"/>
      <c r="E518" s="8"/>
      <c r="F518" s="8"/>
      <c r="G518" s="8"/>
      <c r="H518" s="8"/>
      <c r="I518" s="8"/>
    </row>
    <row r="519" spans="2:9" hidden="1">
      <c r="B519" s="8"/>
      <c r="C519" s="8"/>
      <c r="D519" s="8"/>
      <c r="E519" s="8"/>
      <c r="F519" s="8"/>
      <c r="G519" s="8"/>
      <c r="H519" s="8"/>
      <c r="I519" s="8"/>
    </row>
    <row r="520" spans="2:9" hidden="1">
      <c r="B520" s="8"/>
      <c r="C520" s="8"/>
      <c r="D520" s="8"/>
      <c r="E520" s="8"/>
      <c r="F520" s="8"/>
      <c r="G520" s="8"/>
      <c r="H520" s="8"/>
      <c r="I520" s="8"/>
    </row>
    <row r="521" spans="2:9" hidden="1">
      <c r="B521" s="8"/>
      <c r="C521" s="8"/>
      <c r="D521" s="8"/>
      <c r="E521" s="8"/>
      <c r="F521" s="8"/>
      <c r="G521" s="8"/>
      <c r="H521" s="8"/>
      <c r="I521" s="8"/>
    </row>
    <row r="522" spans="2:9" hidden="1">
      <c r="B522" s="8"/>
      <c r="C522" s="8"/>
      <c r="D522" s="8"/>
      <c r="E522" s="8"/>
      <c r="F522" s="8"/>
      <c r="G522" s="8"/>
      <c r="H522" s="8"/>
      <c r="I522" s="8"/>
    </row>
    <row r="523" spans="2:9" hidden="1">
      <c r="B523" s="8"/>
      <c r="C523" s="8"/>
      <c r="D523" s="8"/>
      <c r="E523" s="8"/>
      <c r="F523" s="8"/>
      <c r="G523" s="8"/>
      <c r="H523" s="8"/>
      <c r="I523" s="8"/>
    </row>
    <row r="524" spans="2:9" hidden="1">
      <c r="B524" s="8"/>
      <c r="C524" s="8"/>
      <c r="D524" s="8"/>
      <c r="E524" s="8"/>
      <c r="F524" s="8"/>
      <c r="G524" s="8"/>
      <c r="H524" s="8"/>
      <c r="I524" s="8"/>
    </row>
    <row r="525" spans="2:9" hidden="1">
      <c r="B525" s="8"/>
      <c r="C525" s="8"/>
      <c r="D525" s="8"/>
      <c r="E525" s="8"/>
      <c r="F525" s="8"/>
      <c r="G525" s="8"/>
      <c r="H525" s="8"/>
      <c r="I525" s="8"/>
    </row>
    <row r="526" spans="2:9" hidden="1">
      <c r="B526" s="8"/>
      <c r="C526" s="8"/>
      <c r="D526" s="8"/>
      <c r="E526" s="8"/>
      <c r="F526" s="8"/>
      <c r="G526" s="8"/>
      <c r="H526" s="8"/>
      <c r="I526" s="8"/>
    </row>
    <row r="527" spans="2:9" hidden="1">
      <c r="B527" s="8"/>
      <c r="C527" s="8"/>
      <c r="D527" s="8"/>
      <c r="E527" s="8"/>
      <c r="F527" s="8"/>
      <c r="G527" s="8"/>
      <c r="H527" s="8"/>
      <c r="I527" s="8"/>
    </row>
    <row r="528" spans="2:9" hidden="1">
      <c r="B528" s="8"/>
      <c r="C528" s="8"/>
      <c r="D528" s="8"/>
      <c r="E528" s="8"/>
      <c r="F528" s="8"/>
      <c r="G528" s="8"/>
      <c r="H528" s="8"/>
      <c r="I528" s="8"/>
    </row>
    <row r="529" spans="2:9" hidden="1">
      <c r="B529" s="8"/>
      <c r="C529" s="8"/>
      <c r="D529" s="8"/>
      <c r="E529" s="8"/>
      <c r="F529" s="8"/>
      <c r="G529" s="8"/>
      <c r="H529" s="8"/>
      <c r="I529" s="8"/>
    </row>
    <row r="530" spans="2:9" hidden="1">
      <c r="B530" s="8"/>
      <c r="C530" s="8"/>
      <c r="D530" s="8"/>
      <c r="E530" s="8"/>
      <c r="F530" s="8"/>
      <c r="G530" s="8"/>
      <c r="H530" s="8"/>
      <c r="I530" s="8"/>
    </row>
    <row r="531" spans="2:9" hidden="1">
      <c r="B531" s="8"/>
      <c r="C531" s="8"/>
      <c r="D531" s="8"/>
      <c r="E531" s="8"/>
      <c r="F531" s="8"/>
      <c r="G531" s="8"/>
      <c r="H531" s="8"/>
      <c r="I531" s="8"/>
    </row>
    <row r="532" spans="2:9" hidden="1">
      <c r="B532" s="8"/>
      <c r="C532" s="8"/>
      <c r="D532" s="8"/>
      <c r="E532" s="8"/>
      <c r="F532" s="8"/>
      <c r="G532" s="8"/>
      <c r="H532" s="8"/>
      <c r="I532" s="8"/>
    </row>
    <row r="533" spans="2:9" hidden="1">
      <c r="B533" s="8"/>
      <c r="C533" s="8"/>
      <c r="D533" s="8"/>
      <c r="E533" s="8"/>
      <c r="F533" s="8"/>
      <c r="G533" s="8"/>
      <c r="H533" s="8"/>
      <c r="I533" s="8"/>
    </row>
    <row r="534" spans="2:9" hidden="1">
      <c r="B534" s="8"/>
      <c r="C534" s="8"/>
      <c r="D534" s="8"/>
      <c r="E534" s="8"/>
      <c r="F534" s="8"/>
      <c r="G534" s="8"/>
      <c r="H534" s="8"/>
      <c r="I534" s="8"/>
    </row>
    <row r="535" spans="2:9" hidden="1">
      <c r="B535" s="8"/>
      <c r="C535" s="8"/>
      <c r="D535" s="8"/>
      <c r="E535" s="8"/>
      <c r="F535" s="8"/>
      <c r="G535" s="8"/>
      <c r="H535" s="8"/>
      <c r="I535" s="8"/>
    </row>
    <row r="536" spans="2:9" hidden="1">
      <c r="B536" s="8"/>
      <c r="C536" s="8"/>
      <c r="D536" s="8"/>
      <c r="E536" s="8"/>
      <c r="F536" s="8"/>
      <c r="G536" s="8"/>
      <c r="H536" s="8"/>
      <c r="I536" s="8"/>
    </row>
    <row r="537" spans="2:9" hidden="1">
      <c r="B537" s="8"/>
      <c r="C537" s="8"/>
      <c r="D537" s="8"/>
      <c r="E537" s="8"/>
      <c r="F537" s="8"/>
      <c r="G537" s="8"/>
      <c r="H537" s="8"/>
      <c r="I537" s="8"/>
    </row>
    <row r="538" spans="2:9" hidden="1">
      <c r="B538" s="8"/>
      <c r="C538" s="8"/>
      <c r="D538" s="8"/>
      <c r="E538" s="8"/>
      <c r="F538" s="8"/>
      <c r="G538" s="8"/>
      <c r="H538" s="8"/>
      <c r="I538" s="8"/>
    </row>
    <row r="539" spans="2:9" hidden="1">
      <c r="B539" s="8"/>
      <c r="C539" s="8"/>
      <c r="D539" s="8"/>
      <c r="E539" s="8"/>
      <c r="F539" s="8"/>
      <c r="G539" s="8"/>
      <c r="H539" s="8"/>
      <c r="I539" s="8"/>
    </row>
    <row r="540" spans="2:9" hidden="1">
      <c r="B540" s="8"/>
      <c r="C540" s="8"/>
      <c r="D540" s="8"/>
      <c r="E540" s="8"/>
      <c r="F540" s="8"/>
      <c r="G540" s="8"/>
      <c r="H540" s="8"/>
      <c r="I540" s="8"/>
    </row>
    <row r="541" spans="2:9" hidden="1">
      <c r="B541" s="8"/>
      <c r="C541" s="8"/>
      <c r="D541" s="8"/>
      <c r="E541" s="8"/>
      <c r="F541" s="8"/>
      <c r="G541" s="8"/>
      <c r="H541" s="8"/>
      <c r="I541" s="8"/>
    </row>
    <row r="542" spans="2:9" hidden="1">
      <c r="B542" s="8"/>
      <c r="C542" s="8"/>
      <c r="D542" s="8"/>
      <c r="E542" s="8"/>
      <c r="F542" s="8"/>
      <c r="G542" s="8"/>
      <c r="H542" s="8"/>
      <c r="I542" s="8"/>
    </row>
    <row r="543" spans="2:9" hidden="1">
      <c r="B543" s="8"/>
      <c r="C543" s="8"/>
      <c r="D543" s="8"/>
      <c r="E543" s="8"/>
      <c r="F543" s="8"/>
      <c r="G543" s="8"/>
      <c r="H543" s="8"/>
      <c r="I543" s="8"/>
    </row>
    <row r="544" spans="2:9" hidden="1">
      <c r="B544" s="8"/>
      <c r="C544" s="8"/>
      <c r="D544" s="8"/>
      <c r="E544" s="8"/>
      <c r="F544" s="8"/>
      <c r="G544" s="8"/>
      <c r="H544" s="8"/>
      <c r="I544" s="8"/>
    </row>
    <row r="545" spans="2:9" hidden="1">
      <c r="B545" s="8"/>
      <c r="C545" s="8"/>
      <c r="D545" s="8"/>
      <c r="E545" s="8"/>
      <c r="F545" s="8"/>
      <c r="G545" s="8"/>
      <c r="H545" s="8"/>
      <c r="I545" s="8"/>
    </row>
    <row r="546" spans="2:9" hidden="1">
      <c r="B546" s="8"/>
      <c r="C546" s="8"/>
      <c r="D546" s="8"/>
      <c r="E546" s="8"/>
      <c r="F546" s="8"/>
      <c r="G546" s="8"/>
      <c r="H546" s="8"/>
      <c r="I546" s="8"/>
    </row>
    <row r="547" spans="2:9" hidden="1">
      <c r="B547" s="8"/>
      <c r="C547" s="8"/>
      <c r="D547" s="8"/>
      <c r="E547" s="8"/>
      <c r="F547" s="8"/>
      <c r="G547" s="8"/>
      <c r="H547" s="8"/>
      <c r="I547" s="8"/>
    </row>
    <row r="548" spans="2:9" hidden="1">
      <c r="B548" s="8"/>
      <c r="C548" s="8"/>
      <c r="D548" s="8"/>
      <c r="E548" s="8"/>
      <c r="F548" s="8"/>
      <c r="G548" s="8"/>
      <c r="H548" s="8"/>
      <c r="I548" s="8"/>
    </row>
    <row r="549" spans="2:9" hidden="1">
      <c r="B549" s="8"/>
      <c r="C549" s="8"/>
      <c r="D549" s="8"/>
      <c r="E549" s="8"/>
      <c r="F549" s="8"/>
      <c r="G549" s="8"/>
      <c r="H549" s="8"/>
      <c r="I549" s="8"/>
    </row>
    <row r="550" spans="2:9" hidden="1">
      <c r="B550" s="8"/>
      <c r="C550" s="8"/>
      <c r="D550" s="8"/>
      <c r="E550" s="8"/>
      <c r="F550" s="8"/>
      <c r="G550" s="8"/>
      <c r="H550" s="8"/>
      <c r="I550" s="8"/>
    </row>
    <row r="551" spans="2:9" hidden="1">
      <c r="B551" s="8"/>
      <c r="C551" s="8"/>
      <c r="D551" s="8"/>
      <c r="E551" s="8"/>
      <c r="F551" s="8"/>
      <c r="G551" s="8"/>
      <c r="H551" s="8"/>
      <c r="I551" s="8"/>
    </row>
    <row r="552" spans="2:9" hidden="1">
      <c r="B552" s="8"/>
      <c r="C552" s="8"/>
      <c r="D552" s="8"/>
      <c r="E552" s="8"/>
      <c r="F552" s="8"/>
      <c r="G552" s="8"/>
      <c r="H552" s="8"/>
      <c r="I552" s="8"/>
    </row>
    <row r="553" spans="2:9" hidden="1">
      <c r="B553" s="8"/>
      <c r="C553" s="8"/>
      <c r="D553" s="8"/>
      <c r="E553" s="8"/>
      <c r="F553" s="8"/>
      <c r="G553" s="8"/>
      <c r="H553" s="8"/>
      <c r="I553" s="8"/>
    </row>
    <row r="554" spans="2:9" hidden="1">
      <c r="B554" s="8"/>
      <c r="C554" s="8"/>
      <c r="D554" s="8"/>
      <c r="E554" s="8"/>
      <c r="F554" s="8"/>
      <c r="G554" s="8"/>
      <c r="H554" s="8"/>
      <c r="I554" s="8"/>
    </row>
    <row r="555" spans="2:9" hidden="1">
      <c r="B555" s="8"/>
      <c r="C555" s="8"/>
      <c r="D555" s="8"/>
      <c r="E555" s="8"/>
      <c r="F555" s="8"/>
      <c r="G555" s="8"/>
      <c r="H555" s="8"/>
      <c r="I555" s="8"/>
    </row>
    <row r="556" spans="2:9" hidden="1">
      <c r="B556" s="8"/>
      <c r="C556" s="8"/>
      <c r="D556" s="8"/>
      <c r="E556" s="8"/>
      <c r="F556" s="8"/>
      <c r="G556" s="8"/>
      <c r="H556" s="8"/>
      <c r="I556" s="8"/>
    </row>
    <row r="557" spans="2:9" hidden="1">
      <c r="B557" s="8"/>
      <c r="C557" s="8"/>
      <c r="D557" s="8"/>
      <c r="E557" s="8"/>
      <c r="F557" s="8"/>
      <c r="G557" s="8"/>
      <c r="H557" s="8"/>
      <c r="I557" s="8"/>
    </row>
    <row r="558" spans="2:9" hidden="1">
      <c r="B558" s="8"/>
      <c r="C558" s="8"/>
      <c r="D558" s="8"/>
      <c r="E558" s="8"/>
      <c r="F558" s="8"/>
      <c r="G558" s="8"/>
      <c r="H558" s="8"/>
      <c r="I558" s="8"/>
    </row>
    <row r="559" spans="2:9" hidden="1">
      <c r="B559" s="8"/>
      <c r="C559" s="8"/>
      <c r="D559" s="8"/>
      <c r="E559" s="8"/>
      <c r="F559" s="8"/>
      <c r="G559" s="8"/>
      <c r="H559" s="8"/>
      <c r="I559" s="8"/>
    </row>
    <row r="560" spans="2:9" hidden="1">
      <c r="B560" s="8"/>
      <c r="C560" s="8"/>
      <c r="D560" s="8"/>
      <c r="E560" s="8"/>
      <c r="F560" s="8"/>
      <c r="G560" s="8"/>
      <c r="H560" s="8"/>
      <c r="I560" s="8"/>
    </row>
    <row r="561" spans="2:9" hidden="1">
      <c r="B561" s="8"/>
      <c r="C561" s="8"/>
      <c r="D561" s="8"/>
      <c r="E561" s="8"/>
      <c r="F561" s="8"/>
      <c r="G561" s="8"/>
      <c r="H561" s="8"/>
      <c r="I561" s="8"/>
    </row>
    <row r="562" spans="2:9" hidden="1">
      <c r="B562" s="8"/>
      <c r="C562" s="8"/>
      <c r="D562" s="8"/>
      <c r="E562" s="8"/>
      <c r="F562" s="8"/>
      <c r="G562" s="8"/>
      <c r="H562" s="8"/>
      <c r="I562" s="8"/>
    </row>
    <row r="563" spans="2:9" hidden="1">
      <c r="B563" s="8"/>
      <c r="C563" s="8"/>
      <c r="D563" s="8"/>
      <c r="E563" s="8"/>
      <c r="F563" s="8"/>
      <c r="G563" s="8"/>
      <c r="H563" s="8"/>
      <c r="I563" s="8"/>
    </row>
    <row r="564" spans="2:9" hidden="1">
      <c r="B564" s="8"/>
      <c r="C564" s="8"/>
      <c r="D564" s="8"/>
      <c r="E564" s="8"/>
      <c r="F564" s="8"/>
      <c r="G564" s="8"/>
      <c r="H564" s="8"/>
      <c r="I564" s="8"/>
    </row>
    <row r="565" spans="2:9" hidden="1">
      <c r="B565" s="8"/>
      <c r="C565" s="8"/>
      <c r="D565" s="8"/>
      <c r="E565" s="8"/>
      <c r="F565" s="8"/>
      <c r="G565" s="8"/>
      <c r="H565" s="8"/>
      <c r="I565" s="8"/>
    </row>
    <row r="566" spans="2:9" hidden="1">
      <c r="B566" s="8"/>
      <c r="C566" s="8"/>
      <c r="D566" s="8"/>
      <c r="E566" s="8"/>
      <c r="F566" s="8"/>
      <c r="G566" s="8"/>
      <c r="H566" s="8"/>
      <c r="I566" s="8"/>
    </row>
    <row r="567" spans="2:9" hidden="1">
      <c r="B567" s="8"/>
      <c r="C567" s="8"/>
      <c r="D567" s="8"/>
      <c r="E567" s="8"/>
      <c r="F567" s="8"/>
      <c r="G567" s="8"/>
      <c r="H567" s="8"/>
      <c r="I567" s="8"/>
    </row>
    <row r="568" spans="2:9" hidden="1">
      <c r="B568" s="8"/>
      <c r="C568" s="8"/>
      <c r="D568" s="8"/>
      <c r="E568" s="8"/>
      <c r="F568" s="8"/>
      <c r="G568" s="8"/>
      <c r="H568" s="8"/>
      <c r="I568" s="8"/>
    </row>
    <row r="569" spans="2:9" hidden="1">
      <c r="B569" s="8"/>
      <c r="C569" s="8"/>
      <c r="D569" s="8"/>
      <c r="E569" s="8"/>
      <c r="F569" s="8"/>
      <c r="G569" s="8"/>
      <c r="H569" s="8"/>
      <c r="I569" s="8"/>
    </row>
    <row r="570" spans="2:9" hidden="1">
      <c r="B570" s="8"/>
      <c r="C570" s="8"/>
      <c r="D570" s="8"/>
      <c r="E570" s="8"/>
      <c r="F570" s="8"/>
      <c r="G570" s="8"/>
      <c r="H570" s="8"/>
      <c r="I570" s="8"/>
    </row>
    <row r="571" spans="2:9" hidden="1">
      <c r="B571" s="8"/>
      <c r="C571" s="8"/>
      <c r="D571" s="8"/>
      <c r="E571" s="8"/>
      <c r="F571" s="8"/>
      <c r="G571" s="8"/>
      <c r="H571" s="8"/>
      <c r="I571" s="8"/>
    </row>
    <row r="572" spans="2:9" hidden="1">
      <c r="B572" s="8"/>
      <c r="C572" s="8"/>
      <c r="D572" s="8"/>
      <c r="E572" s="8"/>
      <c r="F572" s="8"/>
      <c r="G572" s="8"/>
      <c r="H572" s="8"/>
      <c r="I572" s="8"/>
    </row>
    <row r="573" spans="2:9" hidden="1">
      <c r="B573" s="8"/>
      <c r="C573" s="8"/>
      <c r="D573" s="8"/>
      <c r="E573" s="8"/>
      <c r="F573" s="8"/>
      <c r="G573" s="8"/>
      <c r="H573" s="8"/>
      <c r="I573" s="8"/>
    </row>
    <row r="574" spans="2:9" hidden="1">
      <c r="B574" s="8"/>
      <c r="C574" s="8"/>
      <c r="D574" s="8"/>
      <c r="E574" s="8"/>
      <c r="F574" s="8"/>
      <c r="G574" s="8"/>
      <c r="H574" s="8"/>
      <c r="I574" s="8"/>
    </row>
    <row r="575" spans="2:9" hidden="1">
      <c r="B575" s="8"/>
      <c r="C575" s="8"/>
      <c r="D575" s="8"/>
      <c r="E575" s="8"/>
      <c r="F575" s="8"/>
      <c r="G575" s="8"/>
      <c r="H575" s="8"/>
      <c r="I575" s="8"/>
    </row>
    <row r="576" spans="2:9" hidden="1">
      <c r="B576" s="8"/>
      <c r="C576" s="8"/>
      <c r="D576" s="8"/>
      <c r="E576" s="8"/>
      <c r="F576" s="8"/>
      <c r="G576" s="8"/>
      <c r="H576" s="8"/>
      <c r="I576" s="8"/>
    </row>
    <row r="577" spans="2:9" hidden="1">
      <c r="B577" s="8"/>
      <c r="C577" s="8"/>
      <c r="D577" s="8"/>
      <c r="E577" s="8"/>
      <c r="F577" s="8"/>
      <c r="G577" s="8"/>
      <c r="H577" s="8"/>
      <c r="I577" s="8"/>
    </row>
    <row r="578" spans="2:9" hidden="1">
      <c r="B578" s="8"/>
      <c r="C578" s="8"/>
      <c r="D578" s="8"/>
      <c r="E578" s="8"/>
      <c r="F578" s="8"/>
      <c r="G578" s="8"/>
      <c r="H578" s="8"/>
      <c r="I578" s="8"/>
    </row>
    <row r="579" spans="2:9" hidden="1">
      <c r="B579" s="8"/>
      <c r="C579" s="8"/>
      <c r="D579" s="8"/>
      <c r="E579" s="8"/>
      <c r="F579" s="8"/>
      <c r="G579" s="8"/>
      <c r="H579" s="8"/>
      <c r="I579" s="8"/>
    </row>
    <row r="580" spans="2:9" hidden="1">
      <c r="B580" s="8"/>
      <c r="C580" s="8"/>
      <c r="D580" s="8"/>
      <c r="E580" s="8"/>
      <c r="F580" s="8"/>
      <c r="G580" s="8"/>
      <c r="H580" s="8"/>
      <c r="I580" s="8"/>
    </row>
    <row r="581" spans="2:9" hidden="1">
      <c r="B581" s="8"/>
      <c r="C581" s="8"/>
      <c r="D581" s="8"/>
      <c r="E581" s="8"/>
      <c r="F581" s="8"/>
      <c r="G581" s="8"/>
      <c r="H581" s="8"/>
      <c r="I581" s="8"/>
    </row>
    <row r="582" spans="2:9" hidden="1">
      <c r="B582" s="8"/>
      <c r="C582" s="8"/>
      <c r="D582" s="8"/>
      <c r="E582" s="8"/>
      <c r="F582" s="8"/>
      <c r="G582" s="8"/>
      <c r="H582" s="8"/>
      <c r="I582" s="8"/>
    </row>
    <row r="583" spans="2:9" hidden="1">
      <c r="B583" s="8"/>
      <c r="C583" s="8"/>
      <c r="D583" s="8"/>
      <c r="E583" s="8"/>
      <c r="F583" s="8"/>
      <c r="G583" s="8"/>
      <c r="H583" s="8"/>
      <c r="I583" s="8"/>
    </row>
    <row r="584" spans="2:9" hidden="1">
      <c r="B584" s="8"/>
      <c r="C584" s="8"/>
      <c r="D584" s="8"/>
      <c r="E584" s="8"/>
      <c r="F584" s="8"/>
      <c r="G584" s="8"/>
      <c r="H584" s="8"/>
      <c r="I584" s="8"/>
    </row>
    <row r="585" spans="2:9" hidden="1">
      <c r="B585" s="8"/>
      <c r="C585" s="8"/>
      <c r="D585" s="8"/>
      <c r="E585" s="8"/>
      <c r="F585" s="8"/>
      <c r="G585" s="8"/>
      <c r="H585" s="8"/>
      <c r="I585" s="8"/>
    </row>
    <row r="586" spans="2:9" hidden="1">
      <c r="B586" s="8"/>
      <c r="C586" s="8"/>
      <c r="D586" s="8"/>
      <c r="E586" s="8"/>
      <c r="F586" s="8"/>
      <c r="G586" s="8"/>
      <c r="H586" s="8"/>
      <c r="I586" s="8"/>
    </row>
    <row r="587" spans="2:9" hidden="1">
      <c r="B587" s="8"/>
      <c r="C587" s="8"/>
      <c r="D587" s="8"/>
      <c r="E587" s="8"/>
      <c r="F587" s="8"/>
      <c r="G587" s="8"/>
      <c r="H587" s="8"/>
      <c r="I587" s="8"/>
    </row>
    <row r="588" spans="2:9" hidden="1">
      <c r="B588" s="8"/>
      <c r="C588" s="8"/>
      <c r="D588" s="8"/>
      <c r="E588" s="8"/>
      <c r="F588" s="8"/>
      <c r="G588" s="8"/>
      <c r="H588" s="8"/>
      <c r="I588" s="8"/>
    </row>
    <row r="589" spans="2:9" hidden="1">
      <c r="B589" s="8"/>
      <c r="C589" s="8"/>
      <c r="D589" s="8"/>
      <c r="E589" s="8"/>
      <c r="F589" s="8"/>
      <c r="G589" s="8"/>
      <c r="H589" s="8"/>
      <c r="I589" s="8"/>
    </row>
    <row r="590" spans="2:9" hidden="1">
      <c r="B590" s="8"/>
      <c r="C590" s="8"/>
      <c r="D590" s="8"/>
      <c r="E590" s="8"/>
      <c r="F590" s="8"/>
      <c r="G590" s="8"/>
      <c r="H590" s="8"/>
      <c r="I590" s="8"/>
    </row>
    <row r="591" spans="2:9" hidden="1">
      <c r="B591" s="8"/>
      <c r="C591" s="8"/>
      <c r="D591" s="8"/>
      <c r="E591" s="8"/>
      <c r="F591" s="8"/>
      <c r="G591" s="8"/>
      <c r="H591" s="8"/>
      <c r="I591" s="8"/>
    </row>
    <row r="592" spans="2:9" hidden="1">
      <c r="B592" s="8"/>
      <c r="C592" s="8"/>
      <c r="D592" s="8"/>
      <c r="E592" s="8"/>
      <c r="F592" s="8"/>
      <c r="G592" s="8"/>
      <c r="H592" s="8"/>
      <c r="I592" s="8"/>
    </row>
    <row r="593" spans="2:9" hidden="1">
      <c r="B593" s="8"/>
      <c r="C593" s="8"/>
      <c r="D593" s="8"/>
      <c r="E593" s="8"/>
      <c r="F593" s="8"/>
      <c r="G593" s="8"/>
      <c r="H593" s="8"/>
      <c r="I593" s="8"/>
    </row>
    <row r="594" spans="2:9" hidden="1">
      <c r="B594" s="8"/>
      <c r="C594" s="8"/>
      <c r="D594" s="8"/>
      <c r="E594" s="8"/>
      <c r="F594" s="8"/>
      <c r="G594" s="8"/>
      <c r="H594" s="8"/>
      <c r="I594" s="8"/>
    </row>
    <row r="595" spans="2:9" hidden="1">
      <c r="B595" s="8"/>
      <c r="C595" s="8"/>
      <c r="D595" s="8"/>
      <c r="E595" s="8"/>
      <c r="F595" s="8"/>
      <c r="G595" s="8"/>
      <c r="H595" s="8"/>
      <c r="I595" s="8"/>
    </row>
    <row r="596" spans="2:9" hidden="1">
      <c r="B596" s="8"/>
      <c r="C596" s="8"/>
      <c r="D596" s="8"/>
      <c r="E596" s="8"/>
      <c r="F596" s="8"/>
      <c r="G596" s="8"/>
      <c r="H596" s="8"/>
      <c r="I596" s="8"/>
    </row>
    <row r="597" spans="2:9" hidden="1">
      <c r="B597" s="8"/>
      <c r="C597" s="8"/>
      <c r="D597" s="8"/>
      <c r="E597" s="8"/>
      <c r="F597" s="8"/>
      <c r="G597" s="8"/>
      <c r="H597" s="8"/>
      <c r="I597" s="8"/>
    </row>
    <row r="598" spans="2:9" hidden="1">
      <c r="B598" s="8"/>
      <c r="C598" s="8"/>
      <c r="D598" s="8"/>
      <c r="E598" s="8"/>
      <c r="F598" s="8"/>
      <c r="G598" s="8"/>
      <c r="H598" s="8"/>
      <c r="I598" s="8"/>
    </row>
    <row r="599" spans="2:9" hidden="1">
      <c r="B599" s="8"/>
      <c r="C599" s="8"/>
      <c r="D599" s="8"/>
      <c r="E599" s="8"/>
      <c r="F599" s="8"/>
      <c r="G599" s="8"/>
      <c r="H599" s="8"/>
      <c r="I599" s="8"/>
    </row>
    <row r="600" spans="2:9" hidden="1">
      <c r="B600" s="8"/>
      <c r="C600" s="8"/>
      <c r="D600" s="8"/>
      <c r="E600" s="8"/>
      <c r="F600" s="8"/>
      <c r="G600" s="8"/>
      <c r="H600" s="8"/>
      <c r="I600" s="8"/>
    </row>
    <row r="601" spans="2:9" hidden="1">
      <c r="B601" s="8"/>
      <c r="C601" s="8"/>
      <c r="D601" s="8"/>
      <c r="E601" s="8"/>
      <c r="F601" s="8"/>
      <c r="G601" s="8"/>
      <c r="H601" s="8"/>
      <c r="I601" s="8"/>
    </row>
    <row r="602" spans="2:9" hidden="1">
      <c r="B602" s="8"/>
      <c r="C602" s="8"/>
      <c r="D602" s="8"/>
      <c r="E602" s="8"/>
      <c r="F602" s="8"/>
      <c r="G602" s="8"/>
      <c r="H602" s="8"/>
      <c r="I602" s="8"/>
    </row>
    <row r="603" spans="2:9" hidden="1">
      <c r="B603" s="8"/>
      <c r="C603" s="8"/>
      <c r="D603" s="8"/>
      <c r="E603" s="8"/>
      <c r="F603" s="8"/>
      <c r="G603" s="8"/>
      <c r="H603" s="8"/>
      <c r="I603" s="8"/>
    </row>
    <row r="604" spans="2:9" hidden="1">
      <c r="B604" s="8"/>
      <c r="C604" s="8"/>
      <c r="D604" s="8"/>
      <c r="E604" s="8"/>
      <c r="F604" s="8"/>
      <c r="G604" s="8"/>
      <c r="H604" s="8"/>
      <c r="I604" s="8"/>
    </row>
    <row r="605" spans="2:9" hidden="1">
      <c r="B605" s="8"/>
      <c r="C605" s="8"/>
      <c r="D605" s="8"/>
      <c r="E605" s="8"/>
      <c r="F605" s="8"/>
      <c r="G605" s="8"/>
      <c r="H605" s="8"/>
      <c r="I605" s="8"/>
    </row>
    <row r="606" spans="2:9" hidden="1">
      <c r="B606" s="8"/>
      <c r="C606" s="8"/>
      <c r="D606" s="8"/>
      <c r="E606" s="8"/>
      <c r="F606" s="8"/>
      <c r="G606" s="8"/>
      <c r="H606" s="8"/>
      <c r="I606" s="8"/>
    </row>
    <row r="607" spans="2:9" hidden="1">
      <c r="B607" s="8"/>
      <c r="C607" s="8"/>
      <c r="D607" s="8"/>
      <c r="E607" s="8"/>
      <c r="F607" s="8"/>
      <c r="G607" s="8"/>
      <c r="H607" s="8"/>
      <c r="I607" s="8"/>
    </row>
    <row r="608" spans="2:9" hidden="1">
      <c r="B608" s="8"/>
      <c r="C608" s="8"/>
      <c r="D608" s="8"/>
      <c r="E608" s="8"/>
      <c r="F608" s="8"/>
      <c r="G608" s="8"/>
      <c r="H608" s="8"/>
      <c r="I608" s="8"/>
    </row>
    <row r="609" spans="2:9" hidden="1">
      <c r="B609" s="8"/>
      <c r="C609" s="8"/>
      <c r="D609" s="8"/>
      <c r="E609" s="8"/>
      <c r="F609" s="8"/>
      <c r="G609" s="8"/>
      <c r="H609" s="8"/>
      <c r="I609" s="8"/>
    </row>
    <row r="610" spans="2:9" hidden="1">
      <c r="B610" s="8"/>
      <c r="C610" s="8"/>
      <c r="D610" s="8"/>
      <c r="E610" s="8"/>
      <c r="F610" s="8"/>
      <c r="G610" s="8"/>
      <c r="H610" s="8"/>
      <c r="I610" s="8"/>
    </row>
    <row r="611" spans="2:9" hidden="1">
      <c r="B611" s="8"/>
      <c r="C611" s="8"/>
      <c r="D611" s="8"/>
      <c r="E611" s="8"/>
      <c r="F611" s="8"/>
      <c r="G611" s="8"/>
      <c r="H611" s="8"/>
      <c r="I611" s="8"/>
    </row>
    <row r="612" spans="2:9" hidden="1">
      <c r="B612" s="8"/>
      <c r="C612" s="8"/>
      <c r="D612" s="8"/>
      <c r="E612" s="8"/>
      <c r="F612" s="8"/>
      <c r="G612" s="8"/>
      <c r="H612" s="8"/>
      <c r="I612" s="8"/>
    </row>
    <row r="613" spans="2:9" hidden="1">
      <c r="B613" s="8"/>
      <c r="C613" s="8"/>
      <c r="D613" s="8"/>
      <c r="E613" s="8"/>
      <c r="F613" s="8"/>
      <c r="G613" s="8"/>
      <c r="H613" s="8"/>
      <c r="I613" s="8"/>
    </row>
    <row r="614" spans="2:9" hidden="1">
      <c r="B614" s="8"/>
      <c r="C614" s="8"/>
      <c r="D614" s="8"/>
      <c r="E614" s="8"/>
      <c r="F614" s="8"/>
      <c r="G614" s="8"/>
      <c r="H614" s="8"/>
      <c r="I614" s="8"/>
    </row>
    <row r="615" spans="2:9" hidden="1">
      <c r="B615" s="8"/>
      <c r="C615" s="8"/>
      <c r="D615" s="8"/>
      <c r="E615" s="8"/>
      <c r="F615" s="8"/>
      <c r="G615" s="8"/>
      <c r="H615" s="8"/>
      <c r="I615" s="8"/>
    </row>
    <row r="616" spans="2:9" hidden="1">
      <c r="B616" s="8"/>
      <c r="C616" s="8"/>
      <c r="D616" s="8"/>
      <c r="E616" s="8"/>
      <c r="F616" s="8"/>
      <c r="G616" s="8"/>
      <c r="H616" s="8"/>
      <c r="I616" s="8"/>
    </row>
    <row r="617" spans="2:9" hidden="1">
      <c r="B617" s="8"/>
      <c r="C617" s="8"/>
      <c r="D617" s="8"/>
      <c r="E617" s="8"/>
      <c r="F617" s="8"/>
      <c r="G617" s="8"/>
      <c r="H617" s="8"/>
      <c r="I617" s="8"/>
    </row>
    <row r="618" spans="2:9" hidden="1">
      <c r="B618" s="8"/>
      <c r="C618" s="8"/>
      <c r="D618" s="8"/>
      <c r="E618" s="8"/>
      <c r="F618" s="8"/>
      <c r="G618" s="8"/>
      <c r="H618" s="8"/>
      <c r="I618" s="8"/>
    </row>
    <row r="619" spans="2:9" hidden="1">
      <c r="B619" s="8"/>
      <c r="C619" s="8"/>
      <c r="D619" s="8"/>
      <c r="E619" s="8"/>
      <c r="F619" s="8"/>
      <c r="G619" s="8"/>
      <c r="H619" s="8"/>
      <c r="I619" s="8"/>
    </row>
    <row r="620" spans="2:9" hidden="1">
      <c r="B620" s="8"/>
      <c r="C620" s="8"/>
      <c r="D620" s="8"/>
      <c r="E620" s="8"/>
      <c r="F620" s="8"/>
      <c r="G620" s="8"/>
      <c r="H620" s="8"/>
      <c r="I620" s="8"/>
    </row>
    <row r="621" spans="2:9" hidden="1">
      <c r="B621" s="8"/>
      <c r="C621" s="8"/>
      <c r="D621" s="8"/>
      <c r="E621" s="8"/>
      <c r="F621" s="8"/>
      <c r="G621" s="8"/>
      <c r="H621" s="8"/>
      <c r="I621" s="8"/>
    </row>
    <row r="622" spans="2:9" hidden="1">
      <c r="B622" s="8"/>
      <c r="C622" s="8"/>
      <c r="D622" s="8"/>
      <c r="E622" s="8"/>
      <c r="F622" s="8"/>
      <c r="G622" s="8"/>
      <c r="H622" s="8"/>
      <c r="I622" s="8"/>
    </row>
    <row r="623" spans="2:9" hidden="1">
      <c r="B623" s="8"/>
      <c r="C623" s="8"/>
      <c r="D623" s="8"/>
      <c r="E623" s="8"/>
      <c r="F623" s="8"/>
      <c r="G623" s="8"/>
      <c r="H623" s="8"/>
      <c r="I623" s="8"/>
    </row>
    <row r="624" spans="2:9" hidden="1">
      <c r="B624" s="8"/>
      <c r="C624" s="8"/>
      <c r="D624" s="8"/>
      <c r="E624" s="8"/>
      <c r="F624" s="8"/>
      <c r="G624" s="8"/>
      <c r="H624" s="8"/>
      <c r="I624" s="8"/>
    </row>
    <row r="625" spans="2:9" hidden="1">
      <c r="B625" s="8"/>
      <c r="C625" s="8"/>
      <c r="D625" s="8"/>
      <c r="E625" s="8"/>
      <c r="F625" s="8"/>
      <c r="G625" s="8"/>
      <c r="H625" s="8"/>
      <c r="I625" s="8"/>
    </row>
    <row r="626" spans="2:9" hidden="1">
      <c r="B626" s="8"/>
      <c r="C626" s="8"/>
      <c r="D626" s="8"/>
      <c r="E626" s="8"/>
      <c r="F626" s="8"/>
      <c r="G626" s="8"/>
      <c r="H626" s="8"/>
      <c r="I626" s="8"/>
    </row>
    <row r="627" spans="2:9" hidden="1">
      <c r="B627" s="8"/>
      <c r="C627" s="8"/>
      <c r="D627" s="8"/>
      <c r="E627" s="8"/>
      <c r="F627" s="8"/>
      <c r="G627" s="8"/>
      <c r="H627" s="8"/>
      <c r="I627" s="8"/>
    </row>
    <row r="628" spans="2:9" hidden="1">
      <c r="B628" s="8"/>
      <c r="C628" s="8"/>
      <c r="D628" s="8"/>
      <c r="E628" s="8"/>
      <c r="F628" s="8"/>
      <c r="G628" s="8"/>
      <c r="H628" s="8"/>
      <c r="I628" s="8"/>
    </row>
    <row r="629" spans="2:9" hidden="1">
      <c r="B629" s="8"/>
      <c r="C629" s="8"/>
      <c r="D629" s="8"/>
      <c r="E629" s="8"/>
      <c r="F629" s="8"/>
      <c r="G629" s="8"/>
      <c r="H629" s="8"/>
      <c r="I629" s="8"/>
    </row>
    <row r="630" spans="2:9" hidden="1">
      <c r="B630" s="8"/>
      <c r="C630" s="8"/>
      <c r="D630" s="8"/>
      <c r="E630" s="8"/>
      <c r="F630" s="8"/>
      <c r="G630" s="8"/>
      <c r="H630" s="8"/>
      <c r="I630" s="8"/>
    </row>
    <row r="631" spans="2:9" hidden="1">
      <c r="B631" s="8"/>
      <c r="C631" s="8"/>
      <c r="D631" s="8"/>
      <c r="E631" s="8"/>
      <c r="F631" s="8"/>
      <c r="G631" s="8"/>
      <c r="H631" s="8"/>
      <c r="I631" s="8"/>
    </row>
    <row r="632" spans="2:9" hidden="1">
      <c r="B632" s="8"/>
      <c r="C632" s="8"/>
      <c r="D632" s="8"/>
      <c r="E632" s="8"/>
      <c r="F632" s="8"/>
      <c r="G632" s="8"/>
      <c r="H632" s="8"/>
      <c r="I632" s="8"/>
    </row>
    <row r="633" spans="2:9" hidden="1">
      <c r="B633" s="8"/>
      <c r="C633" s="8"/>
      <c r="D633" s="8"/>
      <c r="E633" s="8"/>
      <c r="F633" s="8"/>
      <c r="G633" s="8"/>
      <c r="H633" s="8"/>
      <c r="I633" s="8"/>
    </row>
    <row r="634" spans="2:9" hidden="1">
      <c r="B634" s="8"/>
      <c r="C634" s="8"/>
      <c r="D634" s="8"/>
      <c r="E634" s="8"/>
      <c r="F634" s="8"/>
      <c r="G634" s="8"/>
      <c r="H634" s="8"/>
      <c r="I634" s="8"/>
    </row>
    <row r="635" spans="2:9" hidden="1">
      <c r="B635" s="8"/>
      <c r="C635" s="8"/>
      <c r="D635" s="8"/>
      <c r="E635" s="8"/>
      <c r="F635" s="8"/>
      <c r="G635" s="8"/>
      <c r="H635" s="8"/>
      <c r="I635" s="8"/>
    </row>
    <row r="636" spans="2:9" hidden="1">
      <c r="B636" s="8"/>
      <c r="C636" s="8"/>
      <c r="D636" s="8"/>
      <c r="E636" s="8"/>
      <c r="F636" s="8"/>
      <c r="G636" s="8"/>
      <c r="H636" s="8"/>
      <c r="I636" s="8"/>
    </row>
    <row r="637" spans="2:9" hidden="1">
      <c r="B637" s="8"/>
      <c r="C637" s="8"/>
      <c r="D637" s="8"/>
      <c r="E637" s="8"/>
      <c r="F637" s="8"/>
      <c r="G637" s="8"/>
      <c r="H637" s="8"/>
      <c r="I637" s="8"/>
    </row>
    <row r="638" spans="2:9" hidden="1">
      <c r="B638" s="8"/>
      <c r="C638" s="8"/>
      <c r="D638" s="8"/>
      <c r="E638" s="8"/>
      <c r="F638" s="8"/>
      <c r="G638" s="8"/>
      <c r="H638" s="8"/>
      <c r="I638" s="8"/>
    </row>
    <row r="639" spans="2:9" hidden="1">
      <c r="B639" s="8"/>
      <c r="C639" s="8"/>
      <c r="D639" s="8"/>
      <c r="E639" s="8"/>
      <c r="F639" s="8"/>
      <c r="G639" s="8"/>
      <c r="H639" s="8"/>
      <c r="I639" s="8"/>
    </row>
    <row r="640" spans="2:9" hidden="1">
      <c r="B640" s="8"/>
      <c r="C640" s="8"/>
      <c r="D640" s="8"/>
      <c r="E640" s="8"/>
      <c r="F640" s="8"/>
      <c r="G640" s="8"/>
      <c r="H640" s="8"/>
      <c r="I640" s="8"/>
    </row>
    <row r="641" spans="2:9" hidden="1">
      <c r="B641" s="8"/>
      <c r="C641" s="8"/>
      <c r="D641" s="8"/>
      <c r="E641" s="8"/>
      <c r="F641" s="8"/>
      <c r="G641" s="8"/>
      <c r="H641" s="8"/>
      <c r="I641" s="8"/>
    </row>
    <row r="642" spans="2:9" hidden="1">
      <c r="B642" s="8"/>
      <c r="C642" s="8"/>
      <c r="D642" s="8"/>
      <c r="E642" s="8"/>
      <c r="F642" s="8"/>
      <c r="G642" s="8"/>
      <c r="H642" s="8"/>
      <c r="I642" s="8"/>
    </row>
    <row r="643" spans="2:9" hidden="1">
      <c r="B643" s="8"/>
      <c r="C643" s="8"/>
      <c r="D643" s="8"/>
      <c r="E643" s="8"/>
      <c r="F643" s="8"/>
      <c r="G643" s="8"/>
      <c r="H643" s="8"/>
      <c r="I643" s="8"/>
    </row>
    <row r="644" spans="2:9" hidden="1">
      <c r="B644" s="8"/>
      <c r="C644" s="8"/>
      <c r="D644" s="8"/>
      <c r="E644" s="8"/>
      <c r="F644" s="8"/>
      <c r="G644" s="8"/>
      <c r="H644" s="8"/>
      <c r="I644" s="8"/>
    </row>
    <row r="645" spans="2:9" hidden="1">
      <c r="B645" s="8"/>
      <c r="C645" s="8"/>
      <c r="D645" s="8"/>
      <c r="E645" s="8"/>
      <c r="F645" s="8"/>
      <c r="G645" s="8"/>
      <c r="H645" s="8"/>
      <c r="I645" s="8"/>
    </row>
    <row r="646" spans="2:9" hidden="1">
      <c r="B646" s="8"/>
      <c r="C646" s="8"/>
      <c r="D646" s="8"/>
      <c r="E646" s="8"/>
      <c r="F646" s="8"/>
      <c r="G646" s="8"/>
      <c r="H646" s="8"/>
      <c r="I646" s="8"/>
    </row>
    <row r="647" spans="2:9" hidden="1">
      <c r="B647" s="8"/>
      <c r="C647" s="8"/>
      <c r="D647" s="8"/>
      <c r="E647" s="8"/>
      <c r="F647" s="8"/>
      <c r="G647" s="8"/>
      <c r="H647" s="8"/>
      <c r="I647" s="8"/>
    </row>
    <row r="648" spans="2:9" hidden="1">
      <c r="B648" s="8"/>
      <c r="C648" s="8"/>
      <c r="D648" s="8"/>
      <c r="E648" s="8"/>
      <c r="F648" s="8"/>
      <c r="G648" s="8"/>
      <c r="H648" s="8"/>
      <c r="I648" s="8"/>
    </row>
    <row r="649" spans="2:9" hidden="1">
      <c r="B649" s="8"/>
      <c r="C649" s="8"/>
      <c r="D649" s="8"/>
      <c r="E649" s="8"/>
      <c r="F649" s="8"/>
      <c r="G649" s="8"/>
      <c r="H649" s="8"/>
      <c r="I649" s="8"/>
    </row>
    <row r="650" spans="2:9" hidden="1">
      <c r="B650" s="8"/>
      <c r="C650" s="8"/>
      <c r="D650" s="8"/>
      <c r="E650" s="8"/>
      <c r="F650" s="8"/>
      <c r="G650" s="8"/>
      <c r="H650" s="8"/>
      <c r="I650" s="8"/>
    </row>
    <row r="651" spans="2:9" hidden="1">
      <c r="B651" s="8"/>
      <c r="C651" s="8"/>
      <c r="D651" s="8"/>
      <c r="E651" s="8"/>
      <c r="F651" s="8"/>
      <c r="G651" s="8"/>
      <c r="H651" s="8"/>
      <c r="I651" s="8"/>
    </row>
    <row r="652" spans="2:9" hidden="1">
      <c r="B652" s="8"/>
      <c r="C652" s="8"/>
      <c r="D652" s="8"/>
      <c r="E652" s="8"/>
      <c r="F652" s="8"/>
      <c r="G652" s="8"/>
      <c r="H652" s="8"/>
      <c r="I652" s="8"/>
    </row>
    <row r="653" spans="2:9" hidden="1">
      <c r="B653" s="8"/>
      <c r="C653" s="8"/>
      <c r="D653" s="8"/>
      <c r="E653" s="8"/>
      <c r="F653" s="8"/>
      <c r="G653" s="8"/>
      <c r="H653" s="8"/>
      <c r="I653" s="8"/>
    </row>
    <row r="654" spans="2:9" hidden="1">
      <c r="B654" s="8"/>
      <c r="C654" s="8"/>
      <c r="D654" s="8"/>
      <c r="E654" s="8"/>
      <c r="F654" s="8"/>
      <c r="G654" s="8"/>
      <c r="H654" s="8"/>
      <c r="I654" s="8"/>
    </row>
    <row r="655" spans="2:9" hidden="1">
      <c r="B655" s="8"/>
      <c r="C655" s="8"/>
      <c r="D655" s="8"/>
      <c r="E655" s="8"/>
      <c r="F655" s="8"/>
      <c r="G655" s="8"/>
      <c r="H655" s="8"/>
      <c r="I655" s="8"/>
    </row>
    <row r="656" spans="2:9" hidden="1">
      <c r="B656" s="8"/>
      <c r="C656" s="8"/>
      <c r="D656" s="8"/>
      <c r="E656" s="8"/>
      <c r="F656" s="8"/>
      <c r="G656" s="8"/>
      <c r="H656" s="8"/>
      <c r="I656" s="8"/>
    </row>
    <row r="657" spans="2:9" hidden="1">
      <c r="B657" s="8"/>
      <c r="C657" s="8"/>
      <c r="D657" s="8"/>
      <c r="E657" s="8"/>
      <c r="F657" s="8"/>
      <c r="G657" s="8"/>
      <c r="H657" s="8"/>
      <c r="I657" s="8"/>
    </row>
    <row r="658" spans="2:9" hidden="1">
      <c r="B658" s="8"/>
      <c r="C658" s="8"/>
      <c r="D658" s="8"/>
      <c r="E658" s="8"/>
      <c r="F658" s="8"/>
      <c r="G658" s="8"/>
      <c r="H658" s="8"/>
      <c r="I658" s="8"/>
    </row>
    <row r="659" spans="2:9" hidden="1">
      <c r="B659" s="8"/>
      <c r="C659" s="8"/>
      <c r="D659" s="8"/>
      <c r="E659" s="8"/>
      <c r="F659" s="8"/>
      <c r="G659" s="8"/>
      <c r="H659" s="8"/>
      <c r="I659" s="8"/>
    </row>
    <row r="660" spans="2:9" hidden="1">
      <c r="B660" s="8"/>
      <c r="C660" s="8"/>
      <c r="D660" s="8"/>
      <c r="E660" s="8"/>
      <c r="F660" s="8"/>
      <c r="G660" s="8"/>
      <c r="H660" s="8"/>
      <c r="I660" s="8"/>
    </row>
    <row r="661" spans="2:9" hidden="1">
      <c r="B661" s="8"/>
      <c r="C661" s="8"/>
      <c r="D661" s="8"/>
      <c r="E661" s="8"/>
      <c r="F661" s="8"/>
      <c r="G661" s="8"/>
      <c r="H661" s="8"/>
      <c r="I661" s="8"/>
    </row>
    <row r="662" spans="2:9" hidden="1">
      <c r="B662" s="8"/>
      <c r="C662" s="8"/>
      <c r="D662" s="8"/>
      <c r="E662" s="8"/>
      <c r="F662" s="8"/>
      <c r="G662" s="8"/>
      <c r="H662" s="8"/>
      <c r="I662" s="8"/>
    </row>
    <row r="663" spans="2:9" hidden="1">
      <c r="B663" s="8"/>
      <c r="C663" s="8"/>
      <c r="D663" s="8"/>
      <c r="E663" s="8"/>
      <c r="F663" s="8"/>
      <c r="G663" s="8"/>
      <c r="H663" s="8"/>
      <c r="I663" s="8"/>
    </row>
    <row r="664" spans="2:9" hidden="1">
      <c r="B664" s="8"/>
      <c r="C664" s="8"/>
      <c r="D664" s="8"/>
      <c r="E664" s="8"/>
      <c r="F664" s="8"/>
      <c r="G664" s="8"/>
      <c r="H664" s="8"/>
      <c r="I664" s="8"/>
    </row>
    <row r="665" spans="2:9" hidden="1">
      <c r="B665" s="8"/>
      <c r="C665" s="8"/>
      <c r="D665" s="8"/>
      <c r="E665" s="8"/>
      <c r="F665" s="8"/>
      <c r="G665" s="8"/>
      <c r="H665" s="8"/>
      <c r="I665" s="8"/>
    </row>
    <row r="666" spans="2:9" hidden="1">
      <c r="B666" s="8"/>
      <c r="C666" s="8"/>
      <c r="D666" s="8"/>
      <c r="E666" s="8"/>
      <c r="F666" s="8"/>
      <c r="G666" s="8"/>
      <c r="H666" s="8"/>
      <c r="I666" s="8"/>
    </row>
    <row r="667" spans="2:9" hidden="1">
      <c r="B667" s="8"/>
      <c r="C667" s="8"/>
      <c r="D667" s="8"/>
      <c r="E667" s="8"/>
      <c r="F667" s="8"/>
      <c r="G667" s="8"/>
      <c r="H667" s="8"/>
      <c r="I667" s="8"/>
    </row>
    <row r="668" spans="2:9" hidden="1">
      <c r="B668" s="8"/>
      <c r="C668" s="8"/>
      <c r="D668" s="8"/>
      <c r="E668" s="8"/>
      <c r="F668" s="8"/>
      <c r="G668" s="8"/>
      <c r="H668" s="8"/>
      <c r="I668" s="8"/>
    </row>
    <row r="669" spans="2:9" hidden="1">
      <c r="B669" s="8"/>
      <c r="C669" s="8"/>
      <c r="D669" s="8"/>
      <c r="E669" s="8"/>
      <c r="F669" s="8"/>
      <c r="G669" s="8"/>
      <c r="H669" s="8"/>
      <c r="I669" s="8"/>
    </row>
    <row r="670" spans="2:9" hidden="1">
      <c r="B670" s="8"/>
      <c r="C670" s="8"/>
      <c r="D670" s="8"/>
      <c r="E670" s="8"/>
      <c r="F670" s="8"/>
      <c r="G670" s="8"/>
      <c r="H670" s="8"/>
      <c r="I670" s="8"/>
    </row>
    <row r="671" spans="2:9" hidden="1">
      <c r="B671" s="8"/>
      <c r="C671" s="8"/>
      <c r="D671" s="8"/>
      <c r="E671" s="8"/>
      <c r="F671" s="8"/>
      <c r="G671" s="8"/>
      <c r="H671" s="8"/>
      <c r="I671" s="8"/>
    </row>
    <row r="672" spans="2:9" hidden="1">
      <c r="B672" s="8"/>
      <c r="C672" s="8"/>
      <c r="D672" s="8"/>
      <c r="E672" s="8"/>
      <c r="F672" s="8"/>
      <c r="G672" s="8"/>
      <c r="H672" s="8"/>
      <c r="I672" s="8"/>
    </row>
    <row r="673" spans="2:9" hidden="1">
      <c r="B673" s="8"/>
      <c r="C673" s="8"/>
      <c r="D673" s="8"/>
      <c r="E673" s="8"/>
      <c r="F673" s="8"/>
      <c r="G673" s="8"/>
      <c r="H673" s="8"/>
      <c r="I673" s="8"/>
    </row>
    <row r="674" spans="2:9" hidden="1">
      <c r="B674" s="8"/>
      <c r="C674" s="8"/>
      <c r="D674" s="8"/>
      <c r="E674" s="8"/>
      <c r="F674" s="8"/>
      <c r="G674" s="8"/>
      <c r="H674" s="8"/>
      <c r="I674" s="8"/>
    </row>
    <row r="675" spans="2:9" hidden="1">
      <c r="B675" s="8"/>
      <c r="C675" s="8"/>
      <c r="D675" s="8"/>
      <c r="E675" s="8"/>
      <c r="F675" s="8"/>
      <c r="G675" s="8"/>
      <c r="H675" s="8"/>
      <c r="I675" s="8"/>
    </row>
    <row r="676" spans="2:9" hidden="1">
      <c r="B676" s="8"/>
      <c r="C676" s="8"/>
      <c r="D676" s="8"/>
      <c r="E676" s="8"/>
      <c r="F676" s="8"/>
      <c r="G676" s="8"/>
      <c r="H676" s="8"/>
      <c r="I676" s="8"/>
    </row>
    <row r="677" spans="2:9" hidden="1">
      <c r="B677" s="8"/>
      <c r="C677" s="8"/>
      <c r="D677" s="8"/>
      <c r="E677" s="8"/>
      <c r="F677" s="8"/>
      <c r="G677" s="8"/>
      <c r="H677" s="8"/>
      <c r="I677" s="8"/>
    </row>
    <row r="678" spans="2:9" hidden="1">
      <c r="B678" s="8"/>
      <c r="C678" s="8"/>
      <c r="D678" s="8"/>
      <c r="E678" s="8"/>
      <c r="F678" s="8"/>
      <c r="G678" s="8"/>
      <c r="H678" s="8"/>
      <c r="I678" s="8"/>
    </row>
    <row r="679" spans="2:9" hidden="1">
      <c r="B679" s="8"/>
      <c r="C679" s="8"/>
      <c r="D679" s="8"/>
      <c r="E679" s="8"/>
      <c r="F679" s="8"/>
      <c r="G679" s="8"/>
      <c r="H679" s="8"/>
      <c r="I679" s="8"/>
    </row>
    <row r="680" spans="2:9" hidden="1">
      <c r="B680" s="8"/>
      <c r="C680" s="8"/>
      <c r="D680" s="8"/>
      <c r="E680" s="8"/>
      <c r="F680" s="8"/>
      <c r="G680" s="8"/>
      <c r="H680" s="8"/>
      <c r="I680" s="8"/>
    </row>
    <row r="681" spans="2:9" hidden="1">
      <c r="B681" s="8"/>
      <c r="C681" s="8"/>
      <c r="D681" s="8"/>
      <c r="E681" s="8"/>
      <c r="F681" s="8"/>
      <c r="G681" s="8"/>
      <c r="H681" s="8"/>
      <c r="I681" s="8"/>
    </row>
    <row r="682" spans="2:9" hidden="1">
      <c r="B682" s="8"/>
      <c r="C682" s="8"/>
      <c r="D682" s="8"/>
      <c r="E682" s="8"/>
      <c r="F682" s="8"/>
      <c r="G682" s="8"/>
      <c r="H682" s="8"/>
      <c r="I682" s="8"/>
    </row>
    <row r="683" spans="2:9" hidden="1">
      <c r="B683" s="8"/>
      <c r="C683" s="8"/>
      <c r="D683" s="8"/>
      <c r="E683" s="8"/>
      <c r="F683" s="8"/>
      <c r="G683" s="8"/>
      <c r="H683" s="8"/>
      <c r="I683" s="8"/>
    </row>
    <row r="684" spans="2:9" hidden="1">
      <c r="B684" s="8"/>
      <c r="C684" s="8"/>
      <c r="D684" s="8"/>
      <c r="E684" s="8"/>
      <c r="F684" s="8"/>
      <c r="G684" s="8"/>
      <c r="H684" s="8"/>
      <c r="I684" s="8"/>
    </row>
    <row r="685" spans="2:9" hidden="1">
      <c r="B685" s="8"/>
      <c r="C685" s="8"/>
      <c r="D685" s="8"/>
      <c r="E685" s="8"/>
      <c r="F685" s="8"/>
      <c r="G685" s="8"/>
      <c r="H685" s="8"/>
      <c r="I685" s="8"/>
    </row>
    <row r="686" spans="2:9" hidden="1">
      <c r="B686" s="8"/>
      <c r="C686" s="8"/>
      <c r="D686" s="8"/>
      <c r="E686" s="8"/>
      <c r="F686" s="8"/>
      <c r="G686" s="8"/>
      <c r="H686" s="8"/>
      <c r="I686" s="8"/>
    </row>
    <row r="687" spans="2:9" hidden="1">
      <c r="B687" s="8"/>
      <c r="C687" s="8"/>
      <c r="D687" s="8"/>
      <c r="E687" s="8"/>
      <c r="F687" s="8"/>
      <c r="G687" s="8"/>
      <c r="H687" s="8"/>
      <c r="I687" s="8"/>
    </row>
    <row r="688" spans="2:9" hidden="1">
      <c r="B688" s="8"/>
      <c r="C688" s="8"/>
      <c r="D688" s="8"/>
      <c r="E688" s="8"/>
      <c r="F688" s="8"/>
      <c r="G688" s="8"/>
      <c r="H688" s="8"/>
      <c r="I688" s="8"/>
    </row>
    <row r="689" spans="2:9" hidden="1">
      <c r="B689" s="8"/>
      <c r="C689" s="8"/>
      <c r="D689" s="8"/>
      <c r="E689" s="8"/>
      <c r="F689" s="8"/>
      <c r="G689" s="8"/>
      <c r="H689" s="8"/>
      <c r="I689" s="8"/>
    </row>
    <row r="690" spans="2:9" hidden="1">
      <c r="B690" s="8"/>
      <c r="C690" s="8"/>
      <c r="D690" s="8"/>
      <c r="E690" s="8"/>
      <c r="F690" s="8"/>
      <c r="G690" s="8"/>
      <c r="H690" s="8"/>
      <c r="I690" s="8"/>
    </row>
    <row r="691" spans="2:9" hidden="1">
      <c r="B691" s="8"/>
      <c r="C691" s="8"/>
      <c r="D691" s="8"/>
      <c r="E691" s="8"/>
      <c r="F691" s="8"/>
      <c r="G691" s="8"/>
      <c r="H691" s="8"/>
      <c r="I691" s="8"/>
    </row>
    <row r="692" spans="2:9" hidden="1">
      <c r="B692" s="8"/>
      <c r="C692" s="8"/>
      <c r="D692" s="8"/>
      <c r="E692" s="8"/>
      <c r="F692" s="8"/>
      <c r="G692" s="8"/>
      <c r="H692" s="8"/>
      <c r="I692" s="8"/>
    </row>
    <row r="693" spans="2:9" hidden="1">
      <c r="B693" s="8"/>
      <c r="C693" s="8"/>
      <c r="D693" s="8"/>
      <c r="E693" s="8"/>
      <c r="F693" s="8"/>
      <c r="G693" s="8"/>
      <c r="H693" s="8"/>
      <c r="I693" s="8"/>
    </row>
    <row r="694" spans="2:9" hidden="1">
      <c r="B694" s="8"/>
      <c r="C694" s="8"/>
      <c r="D694" s="8"/>
      <c r="E694" s="8"/>
      <c r="F694" s="8"/>
      <c r="G694" s="8"/>
      <c r="H694" s="8"/>
      <c r="I694" s="8"/>
    </row>
    <row r="695" spans="2:9" hidden="1">
      <c r="B695" s="8"/>
      <c r="C695" s="8"/>
      <c r="D695" s="8"/>
      <c r="E695" s="8"/>
      <c r="F695" s="8"/>
      <c r="G695" s="8"/>
      <c r="H695" s="8"/>
      <c r="I695" s="8"/>
    </row>
    <row r="696" spans="2:9" hidden="1">
      <c r="B696" s="8"/>
      <c r="C696" s="8"/>
      <c r="D696" s="8"/>
      <c r="E696" s="8"/>
      <c r="F696" s="8"/>
      <c r="G696" s="8"/>
      <c r="H696" s="8"/>
      <c r="I696" s="8"/>
    </row>
    <row r="697" spans="2:9" hidden="1">
      <c r="B697" s="8"/>
      <c r="C697" s="8"/>
      <c r="D697" s="8"/>
      <c r="E697" s="8"/>
      <c r="F697" s="8"/>
      <c r="G697" s="8"/>
      <c r="H697" s="8"/>
      <c r="I697" s="8"/>
    </row>
    <row r="698" spans="2:9" hidden="1">
      <c r="B698" s="8"/>
      <c r="C698" s="8"/>
      <c r="D698" s="8"/>
      <c r="E698" s="8"/>
      <c r="F698" s="8"/>
      <c r="G698" s="8"/>
      <c r="H698" s="8"/>
      <c r="I698" s="8"/>
    </row>
    <row r="699" spans="2:9" hidden="1">
      <c r="B699" s="8"/>
      <c r="C699" s="8"/>
      <c r="D699" s="8"/>
      <c r="E699" s="8"/>
      <c r="F699" s="8"/>
      <c r="G699" s="8"/>
      <c r="H699" s="8"/>
      <c r="I699" s="8"/>
    </row>
    <row r="700" spans="2:9" hidden="1">
      <c r="B700" s="8"/>
      <c r="C700" s="8"/>
      <c r="D700" s="8"/>
      <c r="E700" s="8"/>
      <c r="F700" s="8"/>
      <c r="G700" s="8"/>
      <c r="H700" s="8"/>
      <c r="I700" s="8"/>
    </row>
    <row r="701" spans="2:9" hidden="1">
      <c r="B701" s="8"/>
      <c r="C701" s="8"/>
      <c r="D701" s="8"/>
      <c r="E701" s="8"/>
      <c r="F701" s="8"/>
      <c r="G701" s="8"/>
      <c r="H701" s="8"/>
      <c r="I701" s="8"/>
    </row>
    <row r="702" spans="2:9" hidden="1">
      <c r="B702" s="8"/>
      <c r="C702" s="8"/>
      <c r="D702" s="8"/>
      <c r="E702" s="8"/>
      <c r="F702" s="8"/>
      <c r="G702" s="8"/>
      <c r="H702" s="8"/>
      <c r="I702" s="8"/>
    </row>
    <row r="703" spans="2:9" hidden="1">
      <c r="B703" s="8"/>
      <c r="C703" s="8"/>
      <c r="D703" s="8"/>
      <c r="E703" s="8"/>
      <c r="F703" s="8"/>
      <c r="G703" s="8"/>
      <c r="H703" s="8"/>
      <c r="I703" s="8"/>
    </row>
    <row r="704" spans="2:9" hidden="1">
      <c r="B704" s="8"/>
      <c r="C704" s="8"/>
      <c r="D704" s="8"/>
      <c r="E704" s="8"/>
      <c r="F704" s="8"/>
      <c r="G704" s="8"/>
      <c r="H704" s="8"/>
      <c r="I704" s="8"/>
    </row>
    <row r="705" spans="2:9" hidden="1">
      <c r="B705" s="8"/>
      <c r="C705" s="8"/>
      <c r="D705" s="8"/>
      <c r="E705" s="8"/>
      <c r="F705" s="8"/>
      <c r="G705" s="8"/>
      <c r="H705" s="8"/>
      <c r="I705" s="8"/>
    </row>
    <row r="706" spans="2:9" hidden="1">
      <c r="B706" s="8"/>
      <c r="C706" s="8"/>
      <c r="D706" s="8"/>
      <c r="E706" s="8"/>
      <c r="F706" s="8"/>
      <c r="G706" s="8"/>
      <c r="H706" s="8"/>
      <c r="I706" s="8"/>
    </row>
    <row r="707" spans="2:9" hidden="1">
      <c r="B707" s="8"/>
      <c r="C707" s="8"/>
      <c r="D707" s="8"/>
      <c r="E707" s="8"/>
      <c r="F707" s="8"/>
      <c r="G707" s="8"/>
      <c r="H707" s="8"/>
      <c r="I707" s="8"/>
    </row>
    <row r="708" spans="2:9" hidden="1">
      <c r="B708" s="8"/>
      <c r="C708" s="8"/>
      <c r="D708" s="8"/>
      <c r="E708" s="8"/>
      <c r="F708" s="8"/>
      <c r="G708" s="8"/>
      <c r="H708" s="8"/>
      <c r="I708" s="8"/>
    </row>
    <row r="709" spans="2:9" hidden="1">
      <c r="B709" s="8"/>
      <c r="C709" s="8"/>
      <c r="D709" s="8"/>
      <c r="E709" s="8"/>
      <c r="F709" s="8"/>
      <c r="G709" s="8"/>
      <c r="H709" s="8"/>
      <c r="I709" s="8"/>
    </row>
    <row r="710" spans="2:9" hidden="1">
      <c r="B710" s="8"/>
      <c r="C710" s="8"/>
      <c r="D710" s="8"/>
      <c r="E710" s="8"/>
      <c r="F710" s="8"/>
      <c r="G710" s="8"/>
      <c r="H710" s="8"/>
      <c r="I710" s="8"/>
    </row>
    <row r="711" spans="2:9" hidden="1">
      <c r="B711" s="8"/>
      <c r="C711" s="8"/>
      <c r="D711" s="8"/>
      <c r="E711" s="8"/>
      <c r="F711" s="8"/>
      <c r="G711" s="8"/>
      <c r="H711" s="8"/>
      <c r="I711" s="8"/>
    </row>
    <row r="712" spans="2:9" hidden="1">
      <c r="B712" s="8"/>
      <c r="C712" s="8"/>
      <c r="D712" s="8"/>
      <c r="E712" s="8"/>
      <c r="F712" s="8"/>
      <c r="G712" s="8"/>
      <c r="H712" s="8"/>
      <c r="I712" s="8"/>
    </row>
    <row r="713" spans="2:9" hidden="1">
      <c r="B713" s="8"/>
      <c r="C713" s="8"/>
      <c r="D713" s="8"/>
      <c r="E713" s="8"/>
      <c r="F713" s="8"/>
      <c r="G713" s="8"/>
      <c r="H713" s="8"/>
      <c r="I713" s="8"/>
    </row>
    <row r="714" spans="2:9" hidden="1">
      <c r="B714" s="8"/>
      <c r="C714" s="8"/>
      <c r="D714" s="8"/>
      <c r="E714" s="8"/>
      <c r="F714" s="8"/>
      <c r="G714" s="8"/>
      <c r="H714" s="8"/>
      <c r="I714" s="8"/>
    </row>
    <row r="715" spans="2:9" hidden="1">
      <c r="B715" s="8"/>
      <c r="C715" s="8"/>
      <c r="D715" s="8"/>
      <c r="E715" s="8"/>
      <c r="F715" s="8"/>
      <c r="G715" s="8"/>
      <c r="H715" s="8"/>
      <c r="I715" s="8"/>
    </row>
    <row r="716" spans="2:9" hidden="1">
      <c r="B716" s="8"/>
      <c r="C716" s="8"/>
      <c r="D716" s="8"/>
      <c r="E716" s="8"/>
      <c r="F716" s="8"/>
      <c r="G716" s="8"/>
      <c r="H716" s="8"/>
      <c r="I716" s="8"/>
    </row>
    <row r="717" spans="2:9" hidden="1">
      <c r="B717" s="8"/>
      <c r="C717" s="8"/>
      <c r="D717" s="8"/>
      <c r="E717" s="8"/>
      <c r="F717" s="8"/>
      <c r="G717" s="8"/>
      <c r="H717" s="8"/>
      <c r="I717" s="8"/>
    </row>
    <row r="718" spans="2:9" hidden="1">
      <c r="B718" s="8"/>
      <c r="C718" s="8"/>
      <c r="D718" s="8"/>
      <c r="E718" s="8"/>
      <c r="F718" s="8"/>
      <c r="G718" s="8"/>
      <c r="H718" s="8"/>
      <c r="I718" s="8"/>
    </row>
    <row r="719" spans="2:9" hidden="1">
      <c r="B719" s="8"/>
      <c r="C719" s="8"/>
      <c r="D719" s="8"/>
      <c r="E719" s="8"/>
      <c r="F719" s="8"/>
      <c r="G719" s="8"/>
      <c r="H719" s="8"/>
      <c r="I719" s="8"/>
    </row>
    <row r="720" spans="2:9" hidden="1">
      <c r="B720" s="8"/>
      <c r="C720" s="8"/>
      <c r="D720" s="8"/>
      <c r="E720" s="8"/>
      <c r="F720" s="8"/>
      <c r="G720" s="8"/>
      <c r="H720" s="8"/>
      <c r="I720" s="8"/>
    </row>
    <row r="721" spans="2:9" hidden="1">
      <c r="B721" s="8"/>
      <c r="C721" s="8"/>
      <c r="D721" s="8"/>
      <c r="E721" s="8"/>
      <c r="F721" s="8"/>
      <c r="G721" s="8"/>
      <c r="H721" s="8"/>
      <c r="I721" s="8"/>
    </row>
    <row r="722" spans="2:9" hidden="1">
      <c r="B722" s="8"/>
      <c r="C722" s="8"/>
      <c r="D722" s="8"/>
      <c r="E722" s="8"/>
      <c r="F722" s="8"/>
      <c r="G722" s="8"/>
      <c r="H722" s="8"/>
      <c r="I722" s="8"/>
    </row>
    <row r="723" spans="2:9" hidden="1">
      <c r="B723" s="8"/>
      <c r="C723" s="8"/>
      <c r="D723" s="8"/>
      <c r="E723" s="8"/>
      <c r="F723" s="8"/>
      <c r="G723" s="8"/>
      <c r="H723" s="8"/>
      <c r="I723" s="8"/>
    </row>
    <row r="724" spans="2:9" hidden="1">
      <c r="B724" s="8"/>
      <c r="C724" s="8"/>
      <c r="D724" s="8"/>
      <c r="E724" s="8"/>
      <c r="F724" s="8"/>
      <c r="G724" s="8"/>
      <c r="H724" s="8"/>
      <c r="I724" s="8"/>
    </row>
    <row r="725" spans="2:9" hidden="1">
      <c r="B725" s="8"/>
      <c r="C725" s="8"/>
      <c r="D725" s="8"/>
      <c r="E725" s="8"/>
      <c r="F725" s="8"/>
      <c r="G725" s="8"/>
      <c r="H725" s="8"/>
      <c r="I725" s="8"/>
    </row>
    <row r="726" spans="2:9" hidden="1">
      <c r="B726" s="8"/>
      <c r="C726" s="8"/>
      <c r="D726" s="8"/>
      <c r="E726" s="8"/>
      <c r="F726" s="8"/>
      <c r="G726" s="8"/>
      <c r="H726" s="8"/>
      <c r="I726" s="8"/>
    </row>
    <row r="727" spans="2:9" hidden="1">
      <c r="B727" s="8"/>
      <c r="C727" s="8"/>
      <c r="D727" s="8"/>
      <c r="E727" s="8"/>
      <c r="F727" s="8"/>
      <c r="G727" s="8"/>
      <c r="H727" s="8"/>
      <c r="I727" s="8"/>
    </row>
    <row r="728" spans="2:9" hidden="1">
      <c r="B728" s="8"/>
      <c r="C728" s="8"/>
      <c r="D728" s="8"/>
      <c r="E728" s="8"/>
      <c r="F728" s="8"/>
      <c r="G728" s="8"/>
      <c r="H728" s="8"/>
      <c r="I728" s="8"/>
    </row>
    <row r="729" spans="2:9" hidden="1">
      <c r="B729" s="8"/>
      <c r="C729" s="8"/>
      <c r="D729" s="8"/>
      <c r="E729" s="8"/>
      <c r="F729" s="8"/>
      <c r="G729" s="8"/>
      <c r="H729" s="8"/>
      <c r="I729" s="8"/>
    </row>
    <row r="730" spans="2:9" hidden="1">
      <c r="B730" s="8"/>
      <c r="C730" s="8"/>
      <c r="D730" s="8"/>
      <c r="E730" s="8"/>
      <c r="F730" s="8"/>
      <c r="G730" s="8"/>
      <c r="H730" s="8"/>
      <c r="I730" s="8"/>
    </row>
    <row r="731" spans="2:9" hidden="1">
      <c r="B731" s="8"/>
      <c r="C731" s="8"/>
      <c r="D731" s="8"/>
      <c r="E731" s="8"/>
      <c r="F731" s="8"/>
      <c r="G731" s="8"/>
      <c r="H731" s="8"/>
      <c r="I731" s="8"/>
    </row>
    <row r="732" spans="2:9" hidden="1">
      <c r="B732" s="8"/>
      <c r="C732" s="8"/>
      <c r="D732" s="8"/>
      <c r="E732" s="8"/>
      <c r="F732" s="8"/>
      <c r="G732" s="8"/>
      <c r="H732" s="8"/>
      <c r="I732" s="8"/>
    </row>
    <row r="733" spans="2:9" hidden="1">
      <c r="B733" s="8"/>
      <c r="C733" s="8"/>
      <c r="D733" s="8"/>
      <c r="E733" s="8"/>
      <c r="F733" s="8"/>
      <c r="G733" s="8"/>
      <c r="H733" s="8"/>
      <c r="I733" s="8"/>
    </row>
    <row r="734" spans="2:9" hidden="1">
      <c r="B734" s="8"/>
      <c r="C734" s="8"/>
      <c r="D734" s="8"/>
      <c r="E734" s="8"/>
      <c r="F734" s="8"/>
      <c r="G734" s="8"/>
      <c r="H734" s="8"/>
      <c r="I734" s="8"/>
    </row>
    <row r="735" spans="2:9" hidden="1">
      <c r="B735" s="8"/>
      <c r="C735" s="8"/>
      <c r="D735" s="8"/>
      <c r="E735" s="8"/>
      <c r="F735" s="8"/>
      <c r="G735" s="8"/>
      <c r="H735" s="8"/>
      <c r="I735" s="8"/>
    </row>
    <row r="736" spans="2:9" hidden="1">
      <c r="B736" s="8"/>
      <c r="C736" s="8"/>
      <c r="D736" s="8"/>
      <c r="E736" s="8"/>
      <c r="F736" s="8"/>
      <c r="G736" s="8"/>
      <c r="H736" s="8"/>
      <c r="I736" s="8"/>
    </row>
    <row r="737" spans="2:9" hidden="1">
      <c r="B737" s="8"/>
      <c r="C737" s="8"/>
      <c r="D737" s="8"/>
      <c r="E737" s="8"/>
      <c r="F737" s="8"/>
      <c r="G737" s="8"/>
      <c r="H737" s="8"/>
      <c r="I737" s="8"/>
    </row>
    <row r="738" spans="2:9" hidden="1">
      <c r="B738" s="8"/>
      <c r="C738" s="8"/>
      <c r="D738" s="8"/>
      <c r="E738" s="8"/>
      <c r="F738" s="8"/>
      <c r="G738" s="8"/>
      <c r="H738" s="8"/>
      <c r="I738" s="8"/>
    </row>
    <row r="739" spans="2:9" hidden="1">
      <c r="B739" s="8"/>
      <c r="C739" s="8"/>
      <c r="D739" s="8"/>
      <c r="E739" s="8"/>
      <c r="F739" s="8"/>
      <c r="G739" s="8"/>
      <c r="H739" s="8"/>
      <c r="I739" s="8"/>
    </row>
    <row r="740" spans="2:9" hidden="1">
      <c r="B740" s="8"/>
      <c r="C740" s="8"/>
      <c r="D740" s="8"/>
      <c r="E740" s="8"/>
      <c r="F740" s="8"/>
      <c r="G740" s="8"/>
      <c r="H740" s="8"/>
      <c r="I740" s="8"/>
    </row>
    <row r="741" spans="2:9" hidden="1">
      <c r="B741" s="8"/>
      <c r="C741" s="8"/>
      <c r="D741" s="8"/>
      <c r="E741" s="8"/>
      <c r="F741" s="8"/>
      <c r="G741" s="8"/>
      <c r="H741" s="8"/>
      <c r="I741" s="8"/>
    </row>
    <row r="742" spans="2:9" hidden="1">
      <c r="B742" s="8"/>
      <c r="C742" s="8"/>
      <c r="D742" s="8"/>
      <c r="E742" s="8"/>
      <c r="F742" s="8"/>
      <c r="G742" s="8"/>
      <c r="H742" s="8"/>
      <c r="I742" s="8"/>
    </row>
    <row r="743" spans="2:9" hidden="1">
      <c r="B743" s="8"/>
      <c r="C743" s="8"/>
      <c r="D743" s="8"/>
      <c r="E743" s="8"/>
      <c r="F743" s="8"/>
      <c r="G743" s="8"/>
      <c r="H743" s="8"/>
      <c r="I743" s="8"/>
    </row>
    <row r="744" spans="2:9" hidden="1">
      <c r="B744" s="8"/>
      <c r="C744" s="8"/>
      <c r="D744" s="8"/>
      <c r="E744" s="8"/>
      <c r="F744" s="8"/>
      <c r="G744" s="8"/>
      <c r="H744" s="8"/>
      <c r="I744" s="8"/>
    </row>
    <row r="745" spans="2:9" hidden="1">
      <c r="B745" s="8"/>
      <c r="C745" s="8"/>
      <c r="D745" s="8"/>
      <c r="E745" s="8"/>
      <c r="F745" s="8"/>
      <c r="G745" s="8"/>
      <c r="H745" s="8"/>
      <c r="I745" s="8"/>
    </row>
    <row r="746" spans="2:9" hidden="1">
      <c r="B746" s="8"/>
      <c r="C746" s="8"/>
      <c r="D746" s="8"/>
      <c r="E746" s="8"/>
      <c r="F746" s="8"/>
      <c r="G746" s="8"/>
      <c r="H746" s="8"/>
      <c r="I746" s="8"/>
    </row>
    <row r="747" spans="2:9" hidden="1">
      <c r="B747" s="8"/>
      <c r="C747" s="8"/>
      <c r="D747" s="8"/>
      <c r="E747" s="8"/>
      <c r="F747" s="8"/>
      <c r="G747" s="8"/>
      <c r="H747" s="8"/>
      <c r="I747" s="8"/>
    </row>
    <row r="748" spans="2:9" hidden="1">
      <c r="B748" s="8"/>
      <c r="C748" s="8"/>
      <c r="D748" s="8"/>
      <c r="E748" s="8"/>
      <c r="F748" s="8"/>
      <c r="G748" s="8"/>
      <c r="H748" s="8"/>
      <c r="I748" s="8"/>
    </row>
    <row r="749" spans="2:9" hidden="1">
      <c r="B749" s="8"/>
      <c r="C749" s="8"/>
      <c r="D749" s="8"/>
      <c r="E749" s="8"/>
      <c r="F749" s="8"/>
      <c r="G749" s="8"/>
      <c r="H749" s="8"/>
      <c r="I749" s="8"/>
    </row>
    <row r="750" spans="2:9" hidden="1">
      <c r="B750" s="8"/>
      <c r="C750" s="8"/>
      <c r="D750" s="8"/>
      <c r="E750" s="8"/>
      <c r="F750" s="8"/>
      <c r="G750" s="8"/>
      <c r="H750" s="8"/>
      <c r="I750" s="8"/>
    </row>
    <row r="751" spans="2:9" hidden="1">
      <c r="B751" s="8"/>
      <c r="C751" s="8"/>
      <c r="D751" s="8"/>
      <c r="E751" s="8"/>
      <c r="F751" s="8"/>
      <c r="G751" s="8"/>
      <c r="H751" s="8"/>
      <c r="I751" s="8"/>
    </row>
    <row r="752" spans="2:9" hidden="1">
      <c r="B752" s="8"/>
      <c r="C752" s="8"/>
      <c r="D752" s="8"/>
      <c r="E752" s="8"/>
      <c r="F752" s="8"/>
      <c r="G752" s="8"/>
      <c r="H752" s="8"/>
      <c r="I752" s="8"/>
    </row>
    <row r="753" spans="2:9" hidden="1">
      <c r="B753" s="8"/>
      <c r="C753" s="8"/>
      <c r="D753" s="8"/>
      <c r="E753" s="8"/>
      <c r="F753" s="8"/>
      <c r="G753" s="8"/>
      <c r="H753" s="8"/>
      <c r="I753" s="8"/>
    </row>
    <row r="754" spans="2:9" hidden="1">
      <c r="B754" s="8"/>
      <c r="C754" s="8"/>
      <c r="D754" s="8"/>
      <c r="E754" s="8"/>
      <c r="F754" s="8"/>
      <c r="G754" s="8"/>
      <c r="H754" s="8"/>
      <c r="I754" s="8"/>
    </row>
    <row r="755" spans="2:9" hidden="1">
      <c r="B755" s="8"/>
      <c r="C755" s="8"/>
      <c r="D755" s="8"/>
      <c r="E755" s="8"/>
      <c r="F755" s="8"/>
      <c r="G755" s="8"/>
      <c r="H755" s="8"/>
      <c r="I755" s="8"/>
    </row>
    <row r="756" spans="2:9" hidden="1">
      <c r="B756" s="8"/>
      <c r="C756" s="8"/>
      <c r="D756" s="8"/>
      <c r="E756" s="8"/>
      <c r="F756" s="8"/>
      <c r="G756" s="8"/>
      <c r="H756" s="8"/>
      <c r="I756" s="8"/>
    </row>
    <row r="757" spans="2:9" hidden="1">
      <c r="B757" s="8"/>
      <c r="C757" s="8"/>
      <c r="D757" s="8"/>
      <c r="E757" s="8"/>
      <c r="F757" s="8"/>
      <c r="G757" s="8"/>
      <c r="H757" s="8"/>
      <c r="I757" s="8"/>
    </row>
    <row r="758" spans="2:9" hidden="1">
      <c r="B758" s="8"/>
      <c r="C758" s="8"/>
      <c r="D758" s="8"/>
      <c r="E758" s="8"/>
      <c r="F758" s="8"/>
      <c r="G758" s="8"/>
      <c r="H758" s="8"/>
      <c r="I758" s="8"/>
    </row>
    <row r="759" spans="2:9" hidden="1">
      <c r="B759" s="8"/>
      <c r="C759" s="8"/>
      <c r="D759" s="8"/>
      <c r="E759" s="8"/>
      <c r="F759" s="8"/>
      <c r="G759" s="8"/>
      <c r="H759" s="8"/>
      <c r="I759" s="8"/>
    </row>
    <row r="760" spans="2:9" hidden="1">
      <c r="B760" s="8"/>
      <c r="C760" s="8"/>
      <c r="D760" s="8"/>
      <c r="E760" s="8"/>
      <c r="F760" s="8"/>
      <c r="G760" s="8"/>
      <c r="H760" s="8"/>
      <c r="I760" s="8"/>
    </row>
    <row r="761" spans="2:9" hidden="1">
      <c r="B761" s="8"/>
      <c r="C761" s="8"/>
      <c r="D761" s="8"/>
      <c r="E761" s="8"/>
      <c r="F761" s="8"/>
      <c r="G761" s="8"/>
      <c r="H761" s="8"/>
      <c r="I761" s="8"/>
    </row>
    <row r="762" spans="2:9" hidden="1">
      <c r="B762" s="8"/>
      <c r="C762" s="8"/>
      <c r="D762" s="8"/>
      <c r="E762" s="8"/>
      <c r="F762" s="8"/>
      <c r="G762" s="8"/>
      <c r="H762" s="8"/>
      <c r="I762" s="8"/>
    </row>
    <row r="763" spans="2:9" hidden="1">
      <c r="B763" s="8"/>
      <c r="C763" s="8"/>
      <c r="D763" s="8"/>
      <c r="E763" s="8"/>
      <c r="F763" s="8"/>
      <c r="G763" s="8"/>
      <c r="H763" s="8"/>
      <c r="I763" s="8"/>
    </row>
    <row r="764" spans="2:9" hidden="1">
      <c r="B764" s="8"/>
      <c r="C764" s="8"/>
      <c r="D764" s="8"/>
      <c r="E764" s="8"/>
      <c r="F764" s="8"/>
      <c r="G764" s="8"/>
      <c r="H764" s="8"/>
      <c r="I764" s="8"/>
    </row>
    <row r="765" spans="2:9" hidden="1">
      <c r="B765" s="8"/>
      <c r="C765" s="8"/>
      <c r="D765" s="8"/>
      <c r="E765" s="8"/>
      <c r="F765" s="8"/>
      <c r="G765" s="8"/>
      <c r="H765" s="8"/>
      <c r="I765" s="8"/>
    </row>
    <row r="766" spans="2:9" hidden="1">
      <c r="B766" s="8"/>
      <c r="C766" s="8"/>
      <c r="D766" s="8"/>
      <c r="E766" s="8"/>
      <c r="F766" s="8"/>
      <c r="G766" s="8"/>
      <c r="H766" s="8"/>
      <c r="I766" s="8"/>
    </row>
    <row r="767" spans="2:9" hidden="1">
      <c r="B767" s="8"/>
      <c r="C767" s="8"/>
      <c r="D767" s="8"/>
      <c r="E767" s="8"/>
      <c r="F767" s="8"/>
      <c r="G767" s="8"/>
      <c r="H767" s="8"/>
      <c r="I767" s="8"/>
    </row>
    <row r="768" spans="2:9" hidden="1">
      <c r="B768" s="8"/>
      <c r="C768" s="8"/>
      <c r="D768" s="8"/>
      <c r="E768" s="8"/>
      <c r="F768" s="8"/>
      <c r="G768" s="8"/>
      <c r="H768" s="8"/>
      <c r="I768" s="8"/>
    </row>
    <row r="769" spans="2:9" hidden="1">
      <c r="B769" s="8"/>
      <c r="C769" s="8"/>
      <c r="D769" s="8"/>
      <c r="E769" s="8"/>
      <c r="F769" s="8"/>
      <c r="G769" s="8"/>
      <c r="H769" s="8"/>
      <c r="I769" s="8"/>
    </row>
    <row r="770" spans="2:9" hidden="1">
      <c r="B770" s="8"/>
      <c r="C770" s="8"/>
      <c r="D770" s="8"/>
      <c r="E770" s="8"/>
      <c r="F770" s="8"/>
      <c r="G770" s="8"/>
      <c r="H770" s="8"/>
      <c r="I770" s="8"/>
    </row>
    <row r="771" spans="2:9" hidden="1">
      <c r="B771" s="8"/>
      <c r="C771" s="8"/>
      <c r="D771" s="8"/>
      <c r="E771" s="8"/>
      <c r="F771" s="8"/>
      <c r="G771" s="8"/>
      <c r="H771" s="8"/>
      <c r="I771" s="8"/>
    </row>
    <row r="772" spans="2:9" hidden="1">
      <c r="B772" s="8"/>
      <c r="C772" s="8"/>
      <c r="D772" s="8"/>
      <c r="E772" s="8"/>
      <c r="F772" s="8"/>
      <c r="G772" s="8"/>
      <c r="H772" s="8"/>
      <c r="I772" s="8"/>
    </row>
    <row r="773" spans="2:9" hidden="1">
      <c r="B773" s="8"/>
      <c r="C773" s="8"/>
      <c r="D773" s="8"/>
      <c r="E773" s="8"/>
      <c r="F773" s="8"/>
      <c r="G773" s="8"/>
      <c r="H773" s="8"/>
      <c r="I773" s="8"/>
    </row>
    <row r="774" spans="2:9" hidden="1">
      <c r="B774" s="8"/>
      <c r="C774" s="8"/>
      <c r="D774" s="8"/>
      <c r="E774" s="8"/>
      <c r="F774" s="8"/>
      <c r="G774" s="8"/>
      <c r="H774" s="8"/>
      <c r="I774" s="8"/>
    </row>
    <row r="775" spans="2:9" hidden="1">
      <c r="B775" s="8"/>
      <c r="C775" s="8"/>
      <c r="D775" s="8"/>
      <c r="E775" s="8"/>
      <c r="F775" s="8"/>
      <c r="G775" s="8"/>
      <c r="H775" s="8"/>
      <c r="I775" s="8"/>
    </row>
    <row r="776" spans="2:9" hidden="1">
      <c r="B776" s="8"/>
      <c r="C776" s="8"/>
      <c r="D776" s="8"/>
      <c r="E776" s="8"/>
      <c r="F776" s="8"/>
      <c r="G776" s="8"/>
      <c r="H776" s="8"/>
      <c r="I776" s="8"/>
    </row>
    <row r="777" spans="2:9" hidden="1">
      <c r="B777" s="8"/>
      <c r="C777" s="8"/>
      <c r="D777" s="8"/>
      <c r="E777" s="8"/>
      <c r="F777" s="8"/>
      <c r="G777" s="8"/>
      <c r="H777" s="8"/>
      <c r="I777" s="8"/>
    </row>
    <row r="778" spans="2:9" hidden="1">
      <c r="B778" s="8"/>
      <c r="C778" s="8"/>
      <c r="D778" s="8"/>
      <c r="E778" s="8"/>
      <c r="F778" s="8"/>
      <c r="G778" s="8"/>
      <c r="H778" s="8"/>
      <c r="I778" s="8"/>
    </row>
    <row r="779" spans="2:9" hidden="1">
      <c r="B779" s="8"/>
      <c r="C779" s="8"/>
      <c r="D779" s="8"/>
      <c r="E779" s="8"/>
      <c r="F779" s="8"/>
      <c r="G779" s="8"/>
      <c r="H779" s="8"/>
      <c r="I779" s="8"/>
    </row>
    <row r="780" spans="2:9" hidden="1">
      <c r="B780" s="8"/>
      <c r="C780" s="8"/>
      <c r="D780" s="8"/>
      <c r="E780" s="8"/>
      <c r="F780" s="8"/>
      <c r="G780" s="8"/>
      <c r="H780" s="8"/>
      <c r="I780" s="8"/>
    </row>
    <row r="781" spans="2:9" hidden="1">
      <c r="B781" s="8"/>
      <c r="C781" s="8"/>
      <c r="D781" s="8"/>
      <c r="E781" s="8"/>
      <c r="F781" s="8"/>
      <c r="G781" s="8"/>
      <c r="H781" s="8"/>
      <c r="I781" s="8"/>
    </row>
    <row r="782" spans="2:9" hidden="1">
      <c r="B782" s="8"/>
      <c r="C782" s="8"/>
      <c r="D782" s="8"/>
      <c r="E782" s="8"/>
      <c r="F782" s="8"/>
      <c r="G782" s="8"/>
      <c r="H782" s="8"/>
      <c r="I782" s="8"/>
    </row>
    <row r="783" spans="2:9" hidden="1">
      <c r="B783" s="8"/>
      <c r="C783" s="8"/>
      <c r="D783" s="8"/>
      <c r="E783" s="8"/>
      <c r="F783" s="8"/>
      <c r="G783" s="8"/>
      <c r="H783" s="8"/>
      <c r="I783" s="8"/>
    </row>
    <row r="784" spans="2:9" hidden="1">
      <c r="B784" s="8"/>
      <c r="C784" s="8"/>
      <c r="D784" s="8"/>
      <c r="E784" s="8"/>
      <c r="F784" s="8"/>
      <c r="G784" s="8"/>
      <c r="H784" s="8"/>
      <c r="I784" s="8"/>
    </row>
    <row r="785" spans="2:9" hidden="1">
      <c r="B785" s="8"/>
      <c r="C785" s="8"/>
      <c r="D785" s="8"/>
      <c r="E785" s="8"/>
      <c r="F785" s="8"/>
      <c r="G785" s="8"/>
      <c r="H785" s="8"/>
      <c r="I785" s="8"/>
    </row>
    <row r="786" spans="2:9" hidden="1">
      <c r="B786" s="8"/>
      <c r="C786" s="8"/>
      <c r="D786" s="8"/>
      <c r="E786" s="8"/>
      <c r="F786" s="8"/>
      <c r="G786" s="8"/>
      <c r="H786" s="8"/>
      <c r="I786" s="8"/>
    </row>
    <row r="787" spans="2:9" hidden="1">
      <c r="B787" s="8"/>
      <c r="C787" s="8"/>
      <c r="D787" s="8"/>
      <c r="E787" s="8"/>
      <c r="F787" s="8"/>
      <c r="G787" s="8"/>
      <c r="H787" s="8"/>
      <c r="I787" s="8"/>
    </row>
    <row r="788" spans="2:9" hidden="1">
      <c r="B788" s="8"/>
      <c r="C788" s="8"/>
      <c r="D788" s="8"/>
      <c r="E788" s="8"/>
      <c r="F788" s="8"/>
      <c r="G788" s="8"/>
      <c r="H788" s="8"/>
      <c r="I788" s="8"/>
    </row>
    <row r="789" spans="2:9" hidden="1">
      <c r="B789" s="8"/>
      <c r="C789" s="8"/>
      <c r="D789" s="8"/>
      <c r="E789" s="8"/>
      <c r="F789" s="8"/>
      <c r="G789" s="8"/>
      <c r="H789" s="8"/>
      <c r="I789" s="8"/>
    </row>
    <row r="790" spans="2:9" hidden="1">
      <c r="B790" s="8"/>
      <c r="C790" s="8"/>
      <c r="D790" s="8"/>
      <c r="E790" s="8"/>
      <c r="F790" s="8"/>
      <c r="G790" s="8"/>
      <c r="H790" s="8"/>
      <c r="I790" s="8"/>
    </row>
    <row r="791" spans="2:9" hidden="1">
      <c r="B791" s="8"/>
      <c r="C791" s="8"/>
      <c r="D791" s="8"/>
      <c r="E791" s="8"/>
      <c r="F791" s="8"/>
      <c r="G791" s="8"/>
      <c r="H791" s="8"/>
      <c r="I791" s="8"/>
    </row>
    <row r="792" spans="2:9" hidden="1">
      <c r="B792" s="8"/>
      <c r="C792" s="8"/>
      <c r="D792" s="8"/>
      <c r="E792" s="8"/>
      <c r="F792" s="8"/>
      <c r="G792" s="8"/>
      <c r="H792" s="8"/>
      <c r="I792" s="8"/>
    </row>
    <row r="793" spans="2:9" hidden="1">
      <c r="B793" s="8"/>
      <c r="C793" s="8"/>
      <c r="D793" s="8"/>
      <c r="E793" s="8"/>
      <c r="F793" s="8"/>
      <c r="G793" s="8"/>
      <c r="H793" s="8"/>
      <c r="I793" s="8"/>
    </row>
    <row r="794" spans="2:9" hidden="1">
      <c r="B794" s="8"/>
      <c r="C794" s="8"/>
      <c r="D794" s="8"/>
      <c r="E794" s="8"/>
      <c r="F794" s="8"/>
      <c r="G794" s="8"/>
      <c r="H794" s="8"/>
      <c r="I794" s="8"/>
    </row>
    <row r="795" spans="2:9" hidden="1">
      <c r="B795" s="8"/>
      <c r="C795" s="8"/>
      <c r="D795" s="8"/>
      <c r="E795" s="8"/>
      <c r="F795" s="8"/>
      <c r="G795" s="8"/>
      <c r="H795" s="8"/>
      <c r="I795" s="8"/>
    </row>
    <row r="796" spans="2:9" hidden="1">
      <c r="B796" s="8"/>
      <c r="C796" s="8"/>
      <c r="D796" s="8"/>
      <c r="E796" s="8"/>
      <c r="F796" s="8"/>
      <c r="G796" s="8"/>
      <c r="H796" s="8"/>
      <c r="I796" s="8"/>
    </row>
    <row r="797" spans="2:9" hidden="1">
      <c r="B797" s="8"/>
      <c r="C797" s="8"/>
      <c r="D797" s="8"/>
      <c r="E797" s="8"/>
      <c r="F797" s="8"/>
      <c r="G797" s="8"/>
      <c r="H797" s="8"/>
      <c r="I797" s="8"/>
    </row>
    <row r="798" spans="2:9" hidden="1">
      <c r="B798" s="8"/>
      <c r="C798" s="8"/>
      <c r="D798" s="8"/>
      <c r="E798" s="8"/>
      <c r="F798" s="8"/>
      <c r="G798" s="8"/>
      <c r="H798" s="8"/>
      <c r="I798" s="8"/>
    </row>
    <row r="799" spans="2:9" hidden="1">
      <c r="B799" s="8"/>
      <c r="C799" s="8"/>
      <c r="D799" s="8"/>
      <c r="E799" s="8"/>
      <c r="F799" s="8"/>
      <c r="G799" s="8"/>
      <c r="H799" s="8"/>
      <c r="I799" s="8"/>
    </row>
    <row r="800" spans="2:9" hidden="1">
      <c r="B800" s="8"/>
      <c r="C800" s="8"/>
      <c r="D800" s="8"/>
      <c r="E800" s="8"/>
      <c r="F800" s="8"/>
      <c r="G800" s="8"/>
      <c r="H800" s="8"/>
      <c r="I800" s="8"/>
    </row>
    <row r="801" spans="2:9" hidden="1">
      <c r="B801" s="8"/>
      <c r="C801" s="8"/>
      <c r="D801" s="8"/>
      <c r="E801" s="8"/>
      <c r="F801" s="8"/>
      <c r="G801" s="8"/>
      <c r="H801" s="8"/>
      <c r="I801" s="8"/>
    </row>
    <row r="802" spans="2:9" hidden="1">
      <c r="B802" s="8"/>
      <c r="C802" s="8"/>
      <c r="D802" s="8"/>
      <c r="E802" s="8"/>
      <c r="F802" s="8"/>
      <c r="G802" s="8"/>
      <c r="H802" s="8"/>
      <c r="I802" s="8"/>
    </row>
    <row r="803" spans="2:9" hidden="1">
      <c r="B803" s="8"/>
      <c r="C803" s="8"/>
      <c r="D803" s="8"/>
      <c r="E803" s="8"/>
      <c r="F803" s="8"/>
      <c r="G803" s="8"/>
      <c r="H803" s="8"/>
      <c r="I803" s="8"/>
    </row>
    <row r="804" spans="2:9" hidden="1">
      <c r="B804" s="8"/>
      <c r="C804" s="8"/>
      <c r="D804" s="8"/>
      <c r="E804" s="8"/>
      <c r="F804" s="8"/>
      <c r="G804" s="8"/>
      <c r="H804" s="8"/>
      <c r="I804" s="8"/>
    </row>
    <row r="805" spans="2:9" hidden="1">
      <c r="B805" s="8"/>
      <c r="C805" s="8"/>
      <c r="D805" s="8"/>
      <c r="E805" s="8"/>
      <c r="F805" s="8"/>
      <c r="G805" s="8"/>
      <c r="H805" s="8"/>
      <c r="I805" s="8"/>
    </row>
    <row r="806" spans="2:9" hidden="1">
      <c r="B806" s="8"/>
      <c r="C806" s="8"/>
      <c r="D806" s="8"/>
      <c r="E806" s="8"/>
      <c r="F806" s="8"/>
      <c r="G806" s="8"/>
      <c r="H806" s="8"/>
      <c r="I806" s="8"/>
    </row>
    <row r="807" spans="2:9" hidden="1">
      <c r="B807" s="8"/>
      <c r="C807" s="8"/>
      <c r="D807" s="8"/>
      <c r="E807" s="8"/>
      <c r="F807" s="8"/>
      <c r="G807" s="8"/>
      <c r="H807" s="8"/>
      <c r="I807" s="8"/>
    </row>
    <row r="808" spans="2:9" hidden="1">
      <c r="B808" s="8"/>
      <c r="C808" s="8"/>
      <c r="D808" s="8"/>
      <c r="E808" s="8"/>
      <c r="F808" s="8"/>
      <c r="G808" s="8"/>
      <c r="H808" s="8"/>
      <c r="I808" s="8"/>
    </row>
    <row r="809" spans="2:9" hidden="1">
      <c r="B809" s="8"/>
      <c r="C809" s="8"/>
      <c r="D809" s="8"/>
      <c r="E809" s="8"/>
      <c r="F809" s="8"/>
      <c r="G809" s="8"/>
      <c r="H809" s="8"/>
      <c r="I809" s="8"/>
    </row>
    <row r="810" spans="2:9" hidden="1">
      <c r="B810" s="8"/>
      <c r="C810" s="8"/>
      <c r="D810" s="8"/>
      <c r="E810" s="8"/>
      <c r="F810" s="8"/>
      <c r="G810" s="8"/>
      <c r="H810" s="8"/>
      <c r="I810" s="8"/>
    </row>
    <row r="811" spans="2:9" hidden="1">
      <c r="B811" s="8"/>
      <c r="C811" s="8"/>
      <c r="D811" s="8"/>
      <c r="E811" s="8"/>
      <c r="F811" s="8"/>
      <c r="G811" s="8"/>
      <c r="H811" s="8"/>
      <c r="I811" s="8"/>
    </row>
    <row r="812" spans="2:9" hidden="1">
      <c r="B812" s="8"/>
      <c r="C812" s="8"/>
      <c r="D812" s="8"/>
      <c r="E812" s="8"/>
      <c r="F812" s="8"/>
      <c r="G812" s="8"/>
      <c r="H812" s="8"/>
      <c r="I812" s="8"/>
    </row>
    <row r="813" spans="2:9" hidden="1">
      <c r="B813" s="8"/>
      <c r="C813" s="8"/>
      <c r="D813" s="8"/>
      <c r="E813" s="8"/>
      <c r="F813" s="8"/>
      <c r="G813" s="8"/>
      <c r="H813" s="8"/>
      <c r="I813" s="8"/>
    </row>
    <row r="814" spans="2:9" hidden="1">
      <c r="B814" s="8"/>
      <c r="C814" s="8"/>
      <c r="D814" s="8"/>
      <c r="E814" s="8"/>
      <c r="F814" s="8"/>
      <c r="G814" s="8"/>
      <c r="H814" s="8"/>
      <c r="I814" s="8"/>
    </row>
    <row r="815" spans="2:9" hidden="1">
      <c r="B815" s="8"/>
      <c r="C815" s="8"/>
      <c r="D815" s="8"/>
      <c r="E815" s="8"/>
      <c r="F815" s="8"/>
      <c r="G815" s="8"/>
      <c r="H815" s="8"/>
      <c r="I815" s="8"/>
    </row>
    <row r="816" spans="2:9" hidden="1">
      <c r="B816" s="8"/>
      <c r="C816" s="8"/>
      <c r="D816" s="8"/>
      <c r="E816" s="8"/>
      <c r="F816" s="8"/>
      <c r="G816" s="8"/>
      <c r="H816" s="8"/>
      <c r="I816" s="8"/>
    </row>
    <row r="817" spans="2:9" hidden="1">
      <c r="B817" s="8"/>
      <c r="C817" s="8"/>
      <c r="D817" s="8"/>
      <c r="E817" s="8"/>
      <c r="F817" s="8"/>
      <c r="G817" s="8"/>
      <c r="H817" s="8"/>
      <c r="I817" s="8"/>
    </row>
    <row r="818" spans="2:9" hidden="1">
      <c r="B818" s="8"/>
      <c r="C818" s="8"/>
      <c r="D818" s="8"/>
      <c r="E818" s="8"/>
      <c r="F818" s="8"/>
      <c r="G818" s="8"/>
      <c r="H818" s="8"/>
      <c r="I818" s="8"/>
    </row>
    <row r="819" spans="2:9" hidden="1">
      <c r="B819" s="8"/>
      <c r="C819" s="8"/>
      <c r="D819" s="8"/>
      <c r="E819" s="8"/>
      <c r="F819" s="8"/>
      <c r="G819" s="8"/>
      <c r="H819" s="8"/>
      <c r="I819" s="8"/>
    </row>
    <row r="820" spans="2:9" hidden="1">
      <c r="B820" s="8"/>
      <c r="C820" s="8"/>
      <c r="D820" s="8"/>
      <c r="E820" s="8"/>
      <c r="F820" s="8"/>
      <c r="G820" s="8"/>
      <c r="H820" s="8"/>
      <c r="I820" s="8"/>
    </row>
    <row r="821" spans="2:9" hidden="1">
      <c r="B821" s="8"/>
      <c r="C821" s="8"/>
      <c r="D821" s="8"/>
      <c r="E821" s="8"/>
      <c r="F821" s="8"/>
      <c r="G821" s="8"/>
      <c r="H821" s="8"/>
      <c r="I821" s="8"/>
    </row>
    <row r="822" spans="2:9" hidden="1">
      <c r="B822" s="8"/>
      <c r="C822" s="8"/>
      <c r="D822" s="8"/>
      <c r="E822" s="8"/>
      <c r="F822" s="8"/>
      <c r="G822" s="8"/>
      <c r="H822" s="8"/>
      <c r="I822" s="8"/>
    </row>
    <row r="823" spans="2:9" hidden="1">
      <c r="B823" s="8"/>
      <c r="C823" s="8"/>
      <c r="D823" s="8"/>
      <c r="E823" s="8"/>
      <c r="F823" s="8"/>
      <c r="G823" s="8"/>
      <c r="H823" s="8"/>
      <c r="I823" s="8"/>
    </row>
    <row r="824" spans="2:9" hidden="1">
      <c r="B824" s="8"/>
      <c r="C824" s="8"/>
      <c r="D824" s="8"/>
      <c r="E824" s="8"/>
      <c r="F824" s="8"/>
      <c r="G824" s="8"/>
      <c r="H824" s="8"/>
      <c r="I824" s="8"/>
    </row>
    <row r="825" spans="2:9" hidden="1">
      <c r="B825" s="8"/>
      <c r="C825" s="8"/>
      <c r="D825" s="8"/>
      <c r="E825" s="8"/>
      <c r="F825" s="8"/>
      <c r="G825" s="8"/>
      <c r="H825" s="8"/>
      <c r="I825" s="8"/>
    </row>
    <row r="826" spans="2:9" hidden="1">
      <c r="B826" s="8"/>
      <c r="C826" s="8"/>
      <c r="D826" s="8"/>
      <c r="E826" s="8"/>
      <c r="F826" s="8"/>
      <c r="G826" s="8"/>
      <c r="H826" s="8"/>
      <c r="I826" s="8"/>
    </row>
    <row r="827" spans="2:9" hidden="1">
      <c r="B827" s="8"/>
      <c r="C827" s="8"/>
      <c r="D827" s="8"/>
      <c r="E827" s="8"/>
      <c r="F827" s="8"/>
      <c r="G827" s="8"/>
      <c r="H827" s="8"/>
      <c r="I827" s="8"/>
    </row>
    <row r="828" spans="2:9" hidden="1">
      <c r="B828" s="8"/>
      <c r="C828" s="8"/>
      <c r="D828" s="8"/>
      <c r="E828" s="8"/>
      <c r="F828" s="8"/>
      <c r="G828" s="8"/>
      <c r="H828" s="8"/>
      <c r="I828" s="8"/>
    </row>
    <row r="829" spans="2:9" hidden="1">
      <c r="B829" s="8"/>
      <c r="C829" s="8"/>
      <c r="D829" s="8"/>
      <c r="E829" s="8"/>
      <c r="F829" s="8"/>
      <c r="G829" s="8"/>
      <c r="H829" s="8"/>
      <c r="I829" s="8"/>
    </row>
    <row r="830" spans="2:9" hidden="1">
      <c r="B830" s="8"/>
      <c r="C830" s="8"/>
      <c r="D830" s="8"/>
      <c r="E830" s="8"/>
      <c r="F830" s="8"/>
      <c r="G830" s="8"/>
      <c r="H830" s="8"/>
      <c r="I830" s="8"/>
    </row>
    <row r="831" spans="2:9" hidden="1">
      <c r="B831" s="8"/>
      <c r="C831" s="8"/>
      <c r="D831" s="8"/>
      <c r="E831" s="8"/>
      <c r="F831" s="8"/>
      <c r="G831" s="8"/>
      <c r="H831" s="8"/>
      <c r="I831" s="8"/>
    </row>
    <row r="832" spans="2:9" hidden="1">
      <c r="B832" s="8"/>
      <c r="C832" s="8"/>
      <c r="D832" s="8"/>
      <c r="E832" s="8"/>
      <c r="F832" s="8"/>
      <c r="G832" s="8"/>
      <c r="H832" s="8"/>
      <c r="I832" s="8"/>
    </row>
    <row r="833" spans="2:9" hidden="1">
      <c r="B833" s="8"/>
      <c r="C833" s="8"/>
      <c r="D833" s="8"/>
      <c r="E833" s="8"/>
      <c r="F833" s="8"/>
      <c r="G833" s="8"/>
      <c r="H833" s="8"/>
      <c r="I833" s="8"/>
    </row>
    <row r="834" spans="2:9" hidden="1">
      <c r="B834" s="8"/>
      <c r="C834" s="8"/>
      <c r="D834" s="8"/>
      <c r="E834" s="8"/>
      <c r="F834" s="8"/>
      <c r="G834" s="8"/>
      <c r="H834" s="8"/>
      <c r="I834" s="8"/>
    </row>
    <row r="835" spans="2:9" hidden="1">
      <c r="B835" s="8"/>
      <c r="C835" s="8"/>
      <c r="D835" s="8"/>
      <c r="E835" s="8"/>
      <c r="F835" s="8"/>
      <c r="G835" s="8"/>
      <c r="H835" s="8"/>
      <c r="I835" s="8"/>
    </row>
    <row r="836" spans="2:9" hidden="1">
      <c r="B836" s="8"/>
      <c r="C836" s="8"/>
      <c r="D836" s="8"/>
      <c r="E836" s="8"/>
      <c r="F836" s="8"/>
      <c r="G836" s="8"/>
      <c r="H836" s="8"/>
      <c r="I836" s="8"/>
    </row>
    <row r="837" spans="2:9" hidden="1">
      <c r="B837" s="8"/>
      <c r="C837" s="8"/>
      <c r="D837" s="8"/>
      <c r="E837" s="8"/>
      <c r="F837" s="8"/>
      <c r="G837" s="8"/>
      <c r="H837" s="8"/>
      <c r="I837" s="8"/>
    </row>
    <row r="838" spans="2:9" hidden="1">
      <c r="B838" s="8"/>
      <c r="C838" s="8"/>
      <c r="D838" s="8"/>
      <c r="E838" s="8"/>
      <c r="F838" s="8"/>
      <c r="G838" s="8"/>
      <c r="H838" s="8"/>
      <c r="I838" s="8"/>
    </row>
    <row r="839" spans="2:9" hidden="1">
      <c r="B839" s="8"/>
      <c r="C839" s="8"/>
      <c r="D839" s="8"/>
      <c r="E839" s="8"/>
      <c r="F839" s="8"/>
      <c r="G839" s="8"/>
      <c r="H839" s="8"/>
      <c r="I839" s="8"/>
    </row>
    <row r="840" spans="2:9" hidden="1">
      <c r="B840" s="8"/>
      <c r="C840" s="8"/>
      <c r="D840" s="8"/>
      <c r="E840" s="8"/>
      <c r="F840" s="8"/>
      <c r="G840" s="8"/>
      <c r="H840" s="8"/>
      <c r="I840" s="8"/>
    </row>
    <row r="841" spans="2:9" hidden="1">
      <c r="B841" s="8"/>
      <c r="C841" s="8"/>
      <c r="D841" s="8"/>
      <c r="E841" s="8"/>
      <c r="F841" s="8"/>
      <c r="G841" s="8"/>
      <c r="H841" s="8"/>
      <c r="I841" s="8"/>
    </row>
    <row r="842" spans="2:9" hidden="1">
      <c r="B842" s="8"/>
      <c r="C842" s="8"/>
      <c r="D842" s="8"/>
      <c r="E842" s="8"/>
      <c r="F842" s="8"/>
      <c r="G842" s="8"/>
      <c r="H842" s="8"/>
      <c r="I842" s="8"/>
    </row>
    <row r="843" spans="2:9" hidden="1">
      <c r="B843" s="8"/>
      <c r="C843" s="8"/>
      <c r="D843" s="8"/>
      <c r="E843" s="8"/>
      <c r="F843" s="8"/>
      <c r="G843" s="8"/>
      <c r="H843" s="8"/>
      <c r="I843" s="8"/>
    </row>
    <row r="844" spans="2:9" hidden="1">
      <c r="B844" s="8"/>
      <c r="C844" s="8"/>
      <c r="D844" s="8"/>
      <c r="E844" s="8"/>
      <c r="F844" s="8"/>
      <c r="G844" s="8"/>
      <c r="H844" s="8"/>
      <c r="I844" s="8"/>
    </row>
    <row r="845" spans="2:9" hidden="1">
      <c r="B845" s="8"/>
      <c r="C845" s="8"/>
      <c r="D845" s="8"/>
      <c r="E845" s="8"/>
      <c r="F845" s="8"/>
      <c r="G845" s="8"/>
      <c r="H845" s="8"/>
      <c r="I845" s="8"/>
    </row>
    <row r="846" spans="2:9" hidden="1">
      <c r="B846" s="8"/>
      <c r="C846" s="8"/>
      <c r="D846" s="8"/>
      <c r="E846" s="8"/>
      <c r="F846" s="8"/>
      <c r="G846" s="8"/>
      <c r="H846" s="8"/>
      <c r="I846" s="8"/>
    </row>
    <row r="847" spans="2:9" hidden="1">
      <c r="B847" s="8"/>
      <c r="C847" s="8"/>
      <c r="D847" s="8"/>
      <c r="E847" s="8"/>
      <c r="F847" s="8"/>
      <c r="G847" s="8"/>
      <c r="H847" s="8"/>
      <c r="I847" s="8"/>
    </row>
    <row r="848" spans="2:9" hidden="1">
      <c r="B848" s="8"/>
      <c r="C848" s="8"/>
      <c r="D848" s="8"/>
      <c r="E848" s="8"/>
      <c r="F848" s="8"/>
      <c r="G848" s="8"/>
      <c r="H848" s="8"/>
      <c r="I848" s="8"/>
    </row>
    <row r="849" spans="2:9" hidden="1">
      <c r="B849" s="8"/>
      <c r="C849" s="8"/>
      <c r="D849" s="8"/>
      <c r="E849" s="8"/>
      <c r="F849" s="8"/>
      <c r="G849" s="8"/>
      <c r="H849" s="8"/>
      <c r="I849" s="8"/>
    </row>
    <row r="850" spans="2:9" hidden="1">
      <c r="B850" s="8"/>
      <c r="C850" s="8"/>
      <c r="D850" s="8"/>
      <c r="E850" s="8"/>
      <c r="F850" s="8"/>
      <c r="G850" s="8"/>
      <c r="H850" s="8"/>
      <c r="I850" s="8"/>
    </row>
    <row r="851" spans="2:9" hidden="1">
      <c r="B851" s="8"/>
      <c r="C851" s="8"/>
      <c r="D851" s="8"/>
      <c r="E851" s="8"/>
      <c r="F851" s="8"/>
      <c r="G851" s="8"/>
      <c r="H851" s="8"/>
      <c r="I851" s="8"/>
    </row>
    <row r="852" spans="2:9" hidden="1">
      <c r="B852" s="8"/>
      <c r="C852" s="8"/>
      <c r="D852" s="8"/>
      <c r="E852" s="8"/>
      <c r="F852" s="8"/>
      <c r="G852" s="8"/>
      <c r="H852" s="8"/>
      <c r="I852" s="8"/>
    </row>
    <row r="853" spans="2:9" hidden="1">
      <c r="B853" s="8"/>
      <c r="C853" s="8"/>
      <c r="D853" s="8"/>
      <c r="E853" s="8"/>
      <c r="F853" s="8"/>
      <c r="G853" s="8"/>
      <c r="H853" s="8"/>
      <c r="I853" s="8"/>
    </row>
    <row r="854" spans="2:9" hidden="1">
      <c r="B854" s="8"/>
      <c r="C854" s="8"/>
      <c r="D854" s="8"/>
      <c r="E854" s="8"/>
      <c r="F854" s="8"/>
      <c r="G854" s="8"/>
      <c r="H854" s="8"/>
      <c r="I854" s="8"/>
    </row>
    <row r="855" spans="2:9" hidden="1">
      <c r="B855" s="8"/>
      <c r="C855" s="8"/>
      <c r="D855" s="8"/>
      <c r="E855" s="8"/>
      <c r="F855" s="8"/>
      <c r="G855" s="8"/>
      <c r="H855" s="8"/>
      <c r="I855" s="8"/>
    </row>
    <row r="856" spans="2:9" hidden="1">
      <c r="B856" s="8"/>
      <c r="C856" s="8"/>
      <c r="D856" s="8"/>
      <c r="E856" s="8"/>
      <c r="F856" s="8"/>
      <c r="G856" s="8"/>
      <c r="H856" s="8"/>
      <c r="I856" s="8"/>
    </row>
    <row r="857" spans="2:9" hidden="1">
      <c r="B857" s="8"/>
      <c r="C857" s="8"/>
      <c r="D857" s="8"/>
      <c r="E857" s="8"/>
      <c r="F857" s="8"/>
      <c r="G857" s="8"/>
      <c r="H857" s="8"/>
      <c r="I857" s="8"/>
    </row>
    <row r="858" spans="2:9" hidden="1">
      <c r="B858" s="8"/>
      <c r="C858" s="8"/>
      <c r="D858" s="8"/>
      <c r="E858" s="8"/>
      <c r="F858" s="8"/>
      <c r="G858" s="8"/>
      <c r="H858" s="8"/>
      <c r="I858" s="8"/>
    </row>
    <row r="859" spans="2:9" hidden="1">
      <c r="B859" s="8"/>
      <c r="C859" s="8"/>
      <c r="D859" s="8"/>
      <c r="E859" s="8"/>
      <c r="F859" s="8"/>
      <c r="G859" s="8"/>
      <c r="H859" s="8"/>
      <c r="I859" s="8"/>
    </row>
    <row r="860" spans="2:9" hidden="1">
      <c r="B860" s="8"/>
      <c r="C860" s="8"/>
      <c r="D860" s="8"/>
      <c r="E860" s="8"/>
      <c r="F860" s="8"/>
      <c r="G860" s="8"/>
      <c r="H860" s="8"/>
      <c r="I860" s="8"/>
    </row>
    <row r="861" spans="2:9" hidden="1">
      <c r="B861" s="8"/>
      <c r="C861" s="8"/>
      <c r="D861" s="8"/>
      <c r="E861" s="8"/>
      <c r="F861" s="8"/>
      <c r="G861" s="8"/>
      <c r="H861" s="8"/>
      <c r="I861" s="8"/>
    </row>
    <row r="862" spans="2:9" hidden="1">
      <c r="B862" s="8"/>
      <c r="C862" s="8"/>
      <c r="D862" s="8"/>
      <c r="E862" s="8"/>
      <c r="F862" s="8"/>
      <c r="G862" s="8"/>
      <c r="H862" s="8"/>
      <c r="I862" s="8"/>
    </row>
    <row r="863" spans="2:9" hidden="1">
      <c r="B863" s="8"/>
      <c r="C863" s="8"/>
      <c r="D863" s="8"/>
      <c r="E863" s="8"/>
      <c r="F863" s="8"/>
      <c r="G863" s="8"/>
      <c r="H863" s="8"/>
      <c r="I863" s="8"/>
    </row>
    <row r="864" spans="2:9" hidden="1">
      <c r="B864" s="8"/>
      <c r="C864" s="8"/>
      <c r="D864" s="8"/>
      <c r="E864" s="8"/>
      <c r="F864" s="8"/>
      <c r="G864" s="8"/>
      <c r="H864" s="8"/>
      <c r="I864" s="8"/>
    </row>
    <row r="865" spans="2:9" hidden="1">
      <c r="B865" s="8"/>
      <c r="C865" s="8"/>
      <c r="D865" s="8"/>
      <c r="E865" s="8"/>
      <c r="F865" s="8"/>
      <c r="G865" s="8"/>
      <c r="H865" s="8"/>
      <c r="I865" s="8"/>
    </row>
    <row r="866" spans="2:9" hidden="1">
      <c r="B866" s="8"/>
      <c r="C866" s="8"/>
      <c r="D866" s="8"/>
      <c r="E866" s="8"/>
      <c r="F866" s="8"/>
      <c r="G866" s="8"/>
      <c r="H866" s="8"/>
      <c r="I866" s="8"/>
    </row>
    <row r="867" spans="2:9" hidden="1">
      <c r="B867" s="8"/>
      <c r="C867" s="8"/>
      <c r="D867" s="8"/>
      <c r="E867" s="8"/>
      <c r="F867" s="8"/>
      <c r="G867" s="8"/>
      <c r="H867" s="8"/>
      <c r="I867" s="8"/>
    </row>
    <row r="868" spans="2:9" hidden="1">
      <c r="B868" s="8"/>
      <c r="C868" s="8"/>
      <c r="D868" s="8"/>
      <c r="E868" s="8"/>
      <c r="F868" s="8"/>
      <c r="G868" s="8"/>
      <c r="H868" s="8"/>
      <c r="I868" s="8"/>
    </row>
    <row r="869" spans="2:9" hidden="1">
      <c r="B869" s="8"/>
      <c r="C869" s="8"/>
      <c r="D869" s="8"/>
      <c r="E869" s="8"/>
      <c r="F869" s="8"/>
      <c r="G869" s="8"/>
      <c r="H869" s="8"/>
      <c r="I869" s="8"/>
    </row>
    <row r="870" spans="2:9" hidden="1">
      <c r="B870" s="8"/>
      <c r="C870" s="8"/>
      <c r="D870" s="8"/>
      <c r="E870" s="8"/>
      <c r="F870" s="8"/>
      <c r="G870" s="8"/>
      <c r="H870" s="8"/>
      <c r="I870" s="8"/>
    </row>
    <row r="871" spans="2:9" hidden="1">
      <c r="B871" s="8"/>
      <c r="C871" s="8"/>
      <c r="D871" s="8"/>
      <c r="E871" s="8"/>
      <c r="F871" s="8"/>
      <c r="G871" s="8"/>
      <c r="H871" s="8"/>
      <c r="I871" s="8"/>
    </row>
    <row r="872" spans="2:9" hidden="1">
      <c r="B872" s="8"/>
      <c r="C872" s="8"/>
      <c r="D872" s="8"/>
      <c r="E872" s="8"/>
      <c r="F872" s="8"/>
      <c r="G872" s="8"/>
      <c r="H872" s="8"/>
      <c r="I872" s="8"/>
    </row>
    <row r="873" spans="2:9" hidden="1">
      <c r="B873" s="8"/>
      <c r="C873" s="8"/>
      <c r="D873" s="8"/>
      <c r="E873" s="8"/>
      <c r="F873" s="8"/>
      <c r="G873" s="8"/>
      <c r="H873" s="8"/>
      <c r="I873" s="8"/>
    </row>
    <row r="874" spans="2:9" hidden="1">
      <c r="B874" s="8"/>
      <c r="C874" s="8"/>
      <c r="D874" s="8"/>
      <c r="E874" s="8"/>
      <c r="F874" s="8"/>
      <c r="G874" s="8"/>
      <c r="H874" s="8"/>
      <c r="I874" s="8"/>
    </row>
    <row r="875" spans="2:9" hidden="1">
      <c r="B875" s="8"/>
      <c r="C875" s="8"/>
      <c r="D875" s="8"/>
      <c r="E875" s="8"/>
      <c r="F875" s="8"/>
      <c r="G875" s="8"/>
      <c r="H875" s="8"/>
      <c r="I875" s="8"/>
    </row>
    <row r="876" spans="2:9" hidden="1">
      <c r="B876" s="8"/>
      <c r="C876" s="8"/>
      <c r="D876" s="8"/>
      <c r="E876" s="8"/>
      <c r="F876" s="8"/>
      <c r="G876" s="8"/>
      <c r="H876" s="8"/>
      <c r="I876" s="8"/>
    </row>
    <row r="877" spans="2:9" hidden="1">
      <c r="B877" s="8"/>
      <c r="C877" s="8"/>
      <c r="D877" s="8"/>
      <c r="E877" s="8"/>
      <c r="F877" s="8"/>
      <c r="G877" s="8"/>
      <c r="H877" s="8"/>
      <c r="I877" s="8"/>
    </row>
    <row r="878" spans="2:9" hidden="1">
      <c r="B878" s="8"/>
      <c r="C878" s="8"/>
      <c r="D878" s="8"/>
      <c r="E878" s="8"/>
      <c r="F878" s="8"/>
      <c r="G878" s="8"/>
      <c r="H878" s="8"/>
      <c r="I878" s="8"/>
    </row>
    <row r="879" spans="2:9" hidden="1">
      <c r="B879" s="8"/>
      <c r="C879" s="8"/>
      <c r="D879" s="8"/>
      <c r="E879" s="8"/>
      <c r="F879" s="8"/>
      <c r="G879" s="8"/>
      <c r="H879" s="8"/>
      <c r="I879" s="8"/>
    </row>
    <row r="880" spans="2:9" hidden="1">
      <c r="B880" s="8"/>
      <c r="C880" s="8"/>
      <c r="D880" s="8"/>
      <c r="E880" s="8"/>
      <c r="F880" s="8"/>
      <c r="G880" s="8"/>
      <c r="H880" s="8"/>
      <c r="I880" s="8"/>
    </row>
    <row r="881" spans="2:9" hidden="1">
      <c r="B881" s="8"/>
      <c r="C881" s="8"/>
      <c r="D881" s="8"/>
      <c r="E881" s="8"/>
      <c r="F881" s="8"/>
      <c r="G881" s="8"/>
      <c r="H881" s="8"/>
      <c r="I881" s="8"/>
    </row>
    <row r="882" spans="2:9" hidden="1">
      <c r="B882" s="8"/>
      <c r="C882" s="8"/>
      <c r="D882" s="8"/>
      <c r="E882" s="8"/>
      <c r="F882" s="8"/>
      <c r="G882" s="8"/>
      <c r="H882" s="8"/>
      <c r="I882" s="8"/>
    </row>
    <row r="883" spans="2:9" hidden="1">
      <c r="B883" s="8"/>
      <c r="C883" s="8"/>
      <c r="D883" s="8"/>
      <c r="E883" s="8"/>
      <c r="F883" s="8"/>
      <c r="G883" s="8"/>
      <c r="H883" s="8"/>
      <c r="I883" s="8"/>
    </row>
    <row r="884" spans="2:9" hidden="1">
      <c r="B884" s="8"/>
      <c r="C884" s="8"/>
      <c r="D884" s="8"/>
      <c r="E884" s="8"/>
      <c r="F884" s="8"/>
      <c r="G884" s="8"/>
      <c r="H884" s="8"/>
      <c r="I884" s="8"/>
    </row>
    <row r="885" spans="2:9" hidden="1">
      <c r="B885" s="8"/>
      <c r="C885" s="8"/>
      <c r="D885" s="8"/>
      <c r="E885" s="8"/>
      <c r="F885" s="8"/>
      <c r="G885" s="8"/>
      <c r="H885" s="8"/>
      <c r="I885" s="8"/>
    </row>
    <row r="886" spans="2:9" hidden="1">
      <c r="B886" s="8"/>
      <c r="C886" s="8"/>
      <c r="D886" s="8"/>
      <c r="E886" s="8"/>
      <c r="F886" s="8"/>
      <c r="G886" s="8"/>
      <c r="H886" s="8"/>
      <c r="I886" s="8"/>
    </row>
    <row r="887" spans="2:9" hidden="1">
      <c r="B887" s="8"/>
      <c r="C887" s="8"/>
      <c r="D887" s="8"/>
      <c r="E887" s="8"/>
      <c r="F887" s="8"/>
      <c r="G887" s="8"/>
      <c r="H887" s="8"/>
      <c r="I887" s="8"/>
    </row>
    <row r="888" spans="2:9" hidden="1">
      <c r="B888" s="8"/>
      <c r="C888" s="8"/>
      <c r="D888" s="8"/>
      <c r="E888" s="8"/>
      <c r="F888" s="8"/>
      <c r="G888" s="8"/>
      <c r="H888" s="8"/>
      <c r="I888" s="8"/>
    </row>
    <row r="889" spans="2:9" hidden="1">
      <c r="B889" s="8"/>
      <c r="C889" s="8"/>
      <c r="D889" s="8"/>
      <c r="E889" s="8"/>
      <c r="F889" s="8"/>
      <c r="G889" s="8"/>
      <c r="H889" s="8"/>
      <c r="I889" s="8"/>
    </row>
    <row r="890" spans="2:9" hidden="1">
      <c r="B890" s="8"/>
      <c r="C890" s="8"/>
      <c r="D890" s="8"/>
      <c r="E890" s="8"/>
      <c r="F890" s="8"/>
      <c r="G890" s="8"/>
      <c r="H890" s="8"/>
      <c r="I890" s="8"/>
    </row>
    <row r="891" spans="2:9" hidden="1">
      <c r="B891" s="8"/>
      <c r="C891" s="8"/>
      <c r="D891" s="8"/>
      <c r="E891" s="8"/>
      <c r="F891" s="8"/>
      <c r="G891" s="8"/>
      <c r="H891" s="8"/>
      <c r="I891" s="8"/>
    </row>
    <row r="892" spans="2:9" hidden="1">
      <c r="B892" s="8"/>
      <c r="C892" s="8"/>
      <c r="D892" s="8"/>
      <c r="E892" s="8"/>
      <c r="F892" s="8"/>
      <c r="G892" s="8"/>
      <c r="H892" s="8"/>
      <c r="I892" s="8"/>
    </row>
    <row r="893" spans="2:9" hidden="1">
      <c r="B893" s="8"/>
      <c r="C893" s="8"/>
      <c r="D893" s="8"/>
      <c r="E893" s="8"/>
      <c r="F893" s="8"/>
      <c r="G893" s="8"/>
      <c r="H893" s="8"/>
      <c r="I893" s="8"/>
    </row>
    <row r="894" spans="2:9" hidden="1">
      <c r="B894" s="8"/>
      <c r="C894" s="8"/>
      <c r="D894" s="8"/>
      <c r="E894" s="8"/>
      <c r="F894" s="8"/>
      <c r="G894" s="8"/>
      <c r="H894" s="8"/>
      <c r="I894" s="8"/>
    </row>
    <row r="895" spans="2:9" hidden="1">
      <c r="B895" s="8"/>
      <c r="C895" s="8"/>
      <c r="D895" s="8"/>
      <c r="E895" s="8"/>
      <c r="F895" s="8"/>
      <c r="G895" s="8"/>
      <c r="H895" s="8"/>
      <c r="I895" s="8"/>
    </row>
    <row r="896" spans="2:9" hidden="1">
      <c r="B896" s="8"/>
      <c r="C896" s="8"/>
      <c r="D896" s="8"/>
      <c r="E896" s="8"/>
      <c r="F896" s="8"/>
      <c r="G896" s="8"/>
      <c r="H896" s="8"/>
      <c r="I896" s="8"/>
    </row>
    <row r="897" spans="2:9" hidden="1">
      <c r="B897" s="8"/>
      <c r="C897" s="8"/>
      <c r="D897" s="8"/>
      <c r="E897" s="8"/>
      <c r="F897" s="8"/>
      <c r="G897" s="8"/>
      <c r="H897" s="8"/>
      <c r="I897" s="8"/>
    </row>
    <row r="898" spans="2:9" hidden="1">
      <c r="B898" s="8"/>
      <c r="C898" s="8"/>
      <c r="D898" s="8"/>
      <c r="E898" s="8"/>
      <c r="F898" s="8"/>
      <c r="G898" s="8"/>
      <c r="H898" s="8"/>
      <c r="I898" s="8"/>
    </row>
    <row r="899" spans="2:9" hidden="1">
      <c r="B899" s="8"/>
      <c r="C899" s="8"/>
      <c r="D899" s="8"/>
      <c r="E899" s="8"/>
      <c r="F899" s="8"/>
      <c r="G899" s="8"/>
      <c r="H899" s="8"/>
      <c r="I899" s="8"/>
    </row>
    <row r="900" spans="2:9" hidden="1">
      <c r="B900" s="8"/>
      <c r="C900" s="8"/>
      <c r="D900" s="8"/>
      <c r="E900" s="8"/>
      <c r="F900" s="8"/>
      <c r="G900" s="8"/>
      <c r="H900" s="8"/>
      <c r="I900" s="8"/>
    </row>
    <row r="901" spans="2:9" hidden="1">
      <c r="B901" s="8"/>
      <c r="C901" s="8"/>
      <c r="D901" s="8"/>
      <c r="E901" s="8"/>
      <c r="F901" s="8"/>
      <c r="G901" s="8"/>
      <c r="H901" s="8"/>
      <c r="I901" s="8"/>
    </row>
    <row r="902" spans="2:9" hidden="1">
      <c r="B902" s="8"/>
      <c r="C902" s="8"/>
      <c r="D902" s="8"/>
      <c r="E902" s="8"/>
      <c r="F902" s="8"/>
      <c r="G902" s="8"/>
      <c r="H902" s="8"/>
      <c r="I902" s="8"/>
    </row>
    <row r="903" spans="2:9" hidden="1">
      <c r="B903" s="8"/>
      <c r="C903" s="8"/>
      <c r="D903" s="8"/>
      <c r="E903" s="8"/>
      <c r="F903" s="8"/>
      <c r="G903" s="8"/>
      <c r="H903" s="8"/>
      <c r="I903" s="8"/>
    </row>
    <row r="904" spans="2:9" hidden="1">
      <c r="B904" s="8"/>
      <c r="C904" s="8"/>
      <c r="D904" s="8"/>
      <c r="E904" s="8"/>
      <c r="F904" s="8"/>
      <c r="G904" s="8"/>
      <c r="H904" s="8"/>
      <c r="I904" s="8"/>
    </row>
    <row r="905" spans="2:9" hidden="1">
      <c r="B905" s="8"/>
      <c r="C905" s="8"/>
      <c r="D905" s="8"/>
      <c r="E905" s="8"/>
      <c r="F905" s="8"/>
      <c r="G905" s="8"/>
      <c r="H905" s="8"/>
      <c r="I905" s="8"/>
    </row>
    <row r="906" spans="2:9" hidden="1">
      <c r="B906" s="8"/>
      <c r="C906" s="8"/>
      <c r="D906" s="8"/>
      <c r="E906" s="8"/>
      <c r="F906" s="8"/>
      <c r="G906" s="8"/>
      <c r="H906" s="8"/>
      <c r="I906" s="8"/>
    </row>
    <row r="907" spans="2:9" hidden="1">
      <c r="B907" s="8"/>
      <c r="C907" s="8"/>
      <c r="D907" s="8"/>
      <c r="E907" s="8"/>
      <c r="F907" s="8"/>
      <c r="G907" s="8"/>
      <c r="H907" s="8"/>
      <c r="I907" s="8"/>
    </row>
    <row r="908" spans="2:9" hidden="1">
      <c r="B908" s="8"/>
      <c r="C908" s="8"/>
      <c r="D908" s="8"/>
      <c r="E908" s="8"/>
      <c r="F908" s="8"/>
      <c r="G908" s="8"/>
      <c r="H908" s="8"/>
      <c r="I908" s="8"/>
    </row>
    <row r="909" spans="2:9" hidden="1">
      <c r="B909" s="8"/>
      <c r="C909" s="8"/>
      <c r="D909" s="8"/>
      <c r="E909" s="8"/>
      <c r="F909" s="8"/>
      <c r="G909" s="8"/>
      <c r="H909" s="8"/>
      <c r="I909" s="8"/>
    </row>
    <row r="910" spans="2:9" hidden="1">
      <c r="B910" s="8"/>
      <c r="C910" s="8"/>
      <c r="D910" s="8"/>
      <c r="E910" s="8"/>
      <c r="F910" s="8"/>
      <c r="G910" s="8"/>
      <c r="H910" s="8"/>
      <c r="I910" s="8"/>
    </row>
    <row r="911" spans="2:9" hidden="1">
      <c r="B911" s="8"/>
      <c r="C911" s="8"/>
      <c r="D911" s="8"/>
      <c r="E911" s="8"/>
      <c r="F911" s="8"/>
      <c r="G911" s="8"/>
      <c r="H911" s="8"/>
      <c r="I911" s="8"/>
    </row>
    <row r="912" spans="2:9" hidden="1">
      <c r="B912" s="8"/>
      <c r="C912" s="8"/>
      <c r="D912" s="8"/>
      <c r="E912" s="8"/>
      <c r="F912" s="8"/>
      <c r="G912" s="8"/>
      <c r="H912" s="8"/>
      <c r="I912" s="8"/>
    </row>
    <row r="913" spans="2:9" hidden="1">
      <c r="B913" s="8"/>
      <c r="C913" s="8"/>
      <c r="D913" s="8"/>
      <c r="E913" s="8"/>
      <c r="F913" s="8"/>
      <c r="G913" s="8"/>
      <c r="H913" s="8"/>
      <c r="I913" s="8"/>
    </row>
    <row r="914" spans="2:9" hidden="1">
      <c r="B914" s="8"/>
      <c r="C914" s="8"/>
      <c r="D914" s="8"/>
      <c r="E914" s="8"/>
      <c r="F914" s="8"/>
      <c r="G914" s="8"/>
      <c r="H914" s="8"/>
      <c r="I914" s="8"/>
    </row>
    <row r="915" spans="2:9" hidden="1">
      <c r="B915" s="8"/>
      <c r="C915" s="8"/>
      <c r="D915" s="8"/>
      <c r="E915" s="8"/>
      <c r="F915" s="8"/>
      <c r="G915" s="8"/>
      <c r="H915" s="8"/>
      <c r="I915" s="8"/>
    </row>
    <row r="916" spans="2:9" hidden="1">
      <c r="B916" s="8"/>
      <c r="C916" s="8"/>
      <c r="D916" s="8"/>
      <c r="E916" s="8"/>
      <c r="F916" s="8"/>
      <c r="G916" s="8"/>
      <c r="H916" s="8"/>
      <c r="I916" s="8"/>
    </row>
    <row r="917" spans="2:9" hidden="1">
      <c r="B917" s="8"/>
      <c r="C917" s="8"/>
      <c r="D917" s="8"/>
      <c r="E917" s="8"/>
      <c r="F917" s="8"/>
      <c r="G917" s="8"/>
      <c r="H917" s="8"/>
      <c r="I917" s="8"/>
    </row>
    <row r="918" spans="2:9" hidden="1">
      <c r="B918" s="8"/>
      <c r="C918" s="8"/>
      <c r="D918" s="8"/>
      <c r="E918" s="8"/>
      <c r="F918" s="8"/>
      <c r="G918" s="8"/>
      <c r="H918" s="8"/>
      <c r="I918" s="8"/>
    </row>
    <row r="919" spans="2:9" hidden="1">
      <c r="B919" s="8"/>
      <c r="C919" s="8"/>
      <c r="D919" s="8"/>
      <c r="E919" s="8"/>
      <c r="F919" s="8"/>
      <c r="G919" s="8"/>
      <c r="H919" s="8"/>
      <c r="I919" s="8"/>
    </row>
    <row r="920" spans="2:9" hidden="1">
      <c r="B920" s="8"/>
      <c r="C920" s="8"/>
      <c r="D920" s="8"/>
      <c r="E920" s="8"/>
      <c r="F920" s="8"/>
      <c r="G920" s="8"/>
      <c r="H920" s="8"/>
      <c r="I920" s="8"/>
    </row>
    <row r="921" spans="2:9" hidden="1">
      <c r="B921" s="8"/>
      <c r="C921" s="8"/>
      <c r="D921" s="8"/>
      <c r="E921" s="8"/>
      <c r="F921" s="8"/>
      <c r="G921" s="8"/>
      <c r="H921" s="8"/>
      <c r="I921" s="8"/>
    </row>
    <row r="922" spans="2:9" hidden="1">
      <c r="B922" s="8"/>
      <c r="C922" s="8"/>
      <c r="D922" s="8"/>
      <c r="E922" s="8"/>
      <c r="F922" s="8"/>
      <c r="G922" s="8"/>
      <c r="H922" s="8"/>
      <c r="I922" s="8"/>
    </row>
    <row r="923" spans="2:9" hidden="1">
      <c r="B923" s="8"/>
      <c r="C923" s="8"/>
      <c r="D923" s="8"/>
      <c r="E923" s="8"/>
      <c r="F923" s="8"/>
      <c r="G923" s="8"/>
      <c r="H923" s="8"/>
      <c r="I923" s="8"/>
    </row>
    <row r="924" spans="2:9" hidden="1">
      <c r="B924" s="8"/>
      <c r="C924" s="8"/>
      <c r="D924" s="8"/>
      <c r="E924" s="8"/>
      <c r="F924" s="8"/>
      <c r="G924" s="8"/>
      <c r="H924" s="8"/>
      <c r="I924" s="8"/>
    </row>
    <row r="925" spans="2:9" hidden="1">
      <c r="B925" s="8"/>
      <c r="C925" s="8"/>
      <c r="D925" s="8"/>
      <c r="E925" s="8"/>
      <c r="F925" s="8"/>
      <c r="G925" s="8"/>
      <c r="H925" s="8"/>
      <c r="I925" s="8"/>
    </row>
    <row r="926" spans="2:9" hidden="1">
      <c r="B926" s="8"/>
      <c r="C926" s="8"/>
      <c r="D926" s="8"/>
      <c r="E926" s="8"/>
      <c r="F926" s="8"/>
      <c r="G926" s="8"/>
      <c r="H926" s="8"/>
      <c r="I926" s="8"/>
    </row>
    <row r="927" spans="2:9" hidden="1">
      <c r="B927" s="8"/>
      <c r="C927" s="8"/>
      <c r="D927" s="8"/>
      <c r="E927" s="8"/>
      <c r="F927" s="8"/>
      <c r="G927" s="8"/>
      <c r="H927" s="8"/>
      <c r="I927" s="8"/>
    </row>
    <row r="928" spans="2:9" hidden="1">
      <c r="B928" s="8"/>
      <c r="C928" s="8"/>
      <c r="D928" s="8"/>
      <c r="E928" s="8"/>
      <c r="F928" s="8"/>
      <c r="G928" s="8"/>
      <c r="H928" s="8"/>
      <c r="I928" s="8"/>
    </row>
    <row r="929" spans="2:9" hidden="1">
      <c r="B929" s="8"/>
      <c r="C929" s="8"/>
      <c r="D929" s="8"/>
      <c r="E929" s="8"/>
      <c r="F929" s="8"/>
      <c r="G929" s="8"/>
      <c r="H929" s="8"/>
      <c r="I929" s="8"/>
    </row>
    <row r="930" spans="2:9" hidden="1">
      <c r="B930" s="8"/>
      <c r="C930" s="8"/>
      <c r="D930" s="8"/>
      <c r="E930" s="8"/>
      <c r="F930" s="8"/>
      <c r="G930" s="8"/>
      <c r="H930" s="8"/>
      <c r="I930" s="8"/>
    </row>
    <row r="931" spans="2:9" hidden="1">
      <c r="B931" s="8"/>
      <c r="C931" s="8"/>
      <c r="D931" s="8"/>
      <c r="E931" s="8"/>
      <c r="F931" s="8"/>
      <c r="G931" s="8"/>
      <c r="H931" s="8"/>
      <c r="I931" s="8"/>
    </row>
    <row r="932" spans="2:9" hidden="1">
      <c r="B932" s="8"/>
      <c r="C932" s="8"/>
      <c r="D932" s="8"/>
      <c r="E932" s="8"/>
      <c r="F932" s="8"/>
      <c r="G932" s="8"/>
      <c r="H932" s="8"/>
      <c r="I932" s="8"/>
    </row>
    <row r="933" spans="2:9" hidden="1">
      <c r="B933" s="8"/>
      <c r="C933" s="8"/>
      <c r="D933" s="8"/>
      <c r="E933" s="8"/>
      <c r="F933" s="8"/>
      <c r="G933" s="8"/>
      <c r="H933" s="8"/>
      <c r="I933" s="8"/>
    </row>
    <row r="934" spans="2:9" hidden="1">
      <c r="B934" s="8"/>
      <c r="C934" s="8"/>
      <c r="D934" s="8"/>
      <c r="E934" s="8"/>
      <c r="F934" s="8"/>
      <c r="G934" s="8"/>
      <c r="H934" s="8"/>
      <c r="I934" s="8"/>
    </row>
    <row r="935" spans="2:9" hidden="1">
      <c r="B935" s="8"/>
      <c r="C935" s="8"/>
      <c r="D935" s="8"/>
      <c r="E935" s="8"/>
      <c r="F935" s="8"/>
      <c r="G935" s="8"/>
      <c r="H935" s="8"/>
      <c r="I935" s="8"/>
    </row>
    <row r="936" spans="2:9" hidden="1">
      <c r="B936" s="8"/>
      <c r="C936" s="8"/>
      <c r="D936" s="8"/>
      <c r="E936" s="8"/>
      <c r="F936" s="8"/>
      <c r="G936" s="8"/>
      <c r="H936" s="8"/>
      <c r="I936" s="8"/>
    </row>
    <row r="937" spans="2:9" hidden="1">
      <c r="B937" s="8"/>
      <c r="C937" s="8"/>
      <c r="D937" s="8"/>
      <c r="E937" s="8"/>
      <c r="F937" s="8"/>
      <c r="G937" s="8"/>
      <c r="H937" s="8"/>
      <c r="I937" s="8"/>
    </row>
    <row r="938" spans="2:9" hidden="1">
      <c r="B938" s="8"/>
      <c r="C938" s="8"/>
      <c r="D938" s="8"/>
      <c r="E938" s="8"/>
      <c r="F938" s="8"/>
      <c r="G938" s="8"/>
      <c r="H938" s="8"/>
      <c r="I938" s="8"/>
    </row>
    <row r="939" spans="2:9" hidden="1">
      <c r="B939" s="8"/>
      <c r="C939" s="8"/>
      <c r="D939" s="8"/>
      <c r="E939" s="8"/>
      <c r="F939" s="8"/>
      <c r="G939" s="8"/>
      <c r="H939" s="8"/>
      <c r="I939" s="8"/>
    </row>
    <row r="940" spans="2:9" hidden="1">
      <c r="B940" s="8"/>
      <c r="C940" s="8"/>
      <c r="D940" s="8"/>
      <c r="E940" s="8"/>
      <c r="F940" s="8"/>
      <c r="G940" s="8"/>
      <c r="H940" s="8"/>
      <c r="I940" s="8"/>
    </row>
    <row r="941" spans="2:9" hidden="1">
      <c r="B941" s="8"/>
      <c r="C941" s="8"/>
      <c r="D941" s="8"/>
      <c r="E941" s="8"/>
      <c r="F941" s="8"/>
      <c r="G941" s="8"/>
      <c r="H941" s="8"/>
      <c r="I941" s="8"/>
    </row>
    <row r="942" spans="2:9" hidden="1">
      <c r="B942" s="8"/>
      <c r="C942" s="8"/>
      <c r="D942" s="8"/>
      <c r="E942" s="8"/>
      <c r="F942" s="8"/>
      <c r="G942" s="8"/>
      <c r="H942" s="8"/>
      <c r="I942" s="8"/>
    </row>
    <row r="943" spans="2:9" hidden="1">
      <c r="B943" s="8"/>
      <c r="C943" s="8"/>
      <c r="D943" s="8"/>
      <c r="E943" s="8"/>
      <c r="F943" s="8"/>
      <c r="G943" s="8"/>
      <c r="H943" s="8"/>
      <c r="I943" s="8"/>
    </row>
    <row r="944" spans="2:9" hidden="1">
      <c r="B944" s="8"/>
      <c r="C944" s="8"/>
      <c r="D944" s="8"/>
      <c r="E944" s="8"/>
      <c r="F944" s="8"/>
      <c r="G944" s="8"/>
      <c r="H944" s="8"/>
      <c r="I944" s="8"/>
    </row>
    <row r="945" spans="2:9" hidden="1">
      <c r="B945" s="8"/>
      <c r="C945" s="8"/>
      <c r="D945" s="8"/>
      <c r="E945" s="8"/>
      <c r="F945" s="8"/>
      <c r="G945" s="8"/>
      <c r="H945" s="8"/>
      <c r="I945" s="8"/>
    </row>
    <row r="946" spans="2:9" hidden="1">
      <c r="B946" s="8"/>
      <c r="C946" s="8"/>
      <c r="D946" s="8"/>
      <c r="E946" s="8"/>
      <c r="F946" s="8"/>
      <c r="G946" s="8"/>
      <c r="H946" s="8"/>
      <c r="I946" s="8"/>
    </row>
    <row r="947" spans="2:9" hidden="1">
      <c r="B947" s="8"/>
      <c r="C947" s="8"/>
      <c r="D947" s="8"/>
      <c r="E947" s="8"/>
      <c r="F947" s="8"/>
      <c r="G947" s="8"/>
      <c r="H947" s="8"/>
      <c r="I947" s="8"/>
    </row>
    <row r="948" spans="2:9" hidden="1">
      <c r="B948" s="8"/>
      <c r="C948" s="8"/>
      <c r="D948" s="8"/>
      <c r="E948" s="8"/>
      <c r="F948" s="8"/>
      <c r="G948" s="8"/>
      <c r="H948" s="8"/>
      <c r="I948" s="8"/>
    </row>
    <row r="949" spans="2:9" hidden="1">
      <c r="B949" s="8"/>
      <c r="C949" s="8"/>
      <c r="D949" s="8"/>
      <c r="E949" s="8"/>
      <c r="F949" s="8"/>
      <c r="G949" s="8"/>
      <c r="H949" s="8"/>
      <c r="I949" s="8"/>
    </row>
    <row r="950" spans="2:9" hidden="1">
      <c r="B950" s="8"/>
      <c r="C950" s="8"/>
      <c r="D950" s="8"/>
      <c r="E950" s="8"/>
      <c r="F950" s="8"/>
      <c r="G950" s="8"/>
      <c r="H950" s="8"/>
      <c r="I950" s="8"/>
    </row>
    <row r="951" spans="2:9" hidden="1">
      <c r="B951" s="8"/>
      <c r="C951" s="8"/>
      <c r="D951" s="8"/>
      <c r="E951" s="8"/>
      <c r="F951" s="8"/>
      <c r="G951" s="8"/>
      <c r="H951" s="8"/>
      <c r="I951" s="8"/>
    </row>
    <row r="952" spans="2:9" hidden="1">
      <c r="B952" s="8"/>
      <c r="C952" s="8"/>
      <c r="D952" s="8"/>
      <c r="E952" s="8"/>
      <c r="F952" s="8"/>
      <c r="G952" s="8"/>
      <c r="H952" s="8"/>
      <c r="I952" s="8"/>
    </row>
    <row r="953" spans="2:9" hidden="1">
      <c r="B953" s="8"/>
      <c r="C953" s="8"/>
      <c r="D953" s="8"/>
      <c r="E953" s="8"/>
      <c r="F953" s="8"/>
      <c r="G953" s="8"/>
      <c r="H953" s="8"/>
      <c r="I953" s="8"/>
    </row>
    <row r="954" spans="2:9" hidden="1">
      <c r="B954" s="8"/>
      <c r="C954" s="8"/>
      <c r="D954" s="8"/>
      <c r="E954" s="8"/>
      <c r="F954" s="8"/>
      <c r="G954" s="8"/>
      <c r="H954" s="8"/>
      <c r="I954" s="8"/>
    </row>
    <row r="955" spans="2:9" hidden="1">
      <c r="B955" s="8"/>
      <c r="C955" s="8"/>
      <c r="D955" s="8"/>
      <c r="E955" s="8"/>
      <c r="F955" s="8"/>
      <c r="G955" s="8"/>
      <c r="H955" s="8"/>
      <c r="I955" s="8"/>
    </row>
    <row r="956" spans="2:9" hidden="1">
      <c r="B956" s="8"/>
      <c r="C956" s="8"/>
      <c r="D956" s="8"/>
      <c r="E956" s="8"/>
      <c r="F956" s="8"/>
      <c r="G956" s="8"/>
      <c r="H956" s="8"/>
      <c r="I956" s="8"/>
    </row>
    <row r="957" spans="2:9" hidden="1">
      <c r="B957" s="8"/>
      <c r="C957" s="8"/>
      <c r="D957" s="8"/>
      <c r="E957" s="8"/>
      <c r="F957" s="8"/>
      <c r="G957" s="8"/>
      <c r="H957" s="8"/>
      <c r="I957" s="8"/>
    </row>
    <row r="958" spans="2:9" hidden="1">
      <c r="B958" s="8"/>
      <c r="C958" s="8"/>
      <c r="D958" s="8"/>
      <c r="E958" s="8"/>
      <c r="F958" s="8"/>
      <c r="G958" s="8"/>
      <c r="H958" s="8"/>
      <c r="I958" s="8"/>
    </row>
    <row r="959" spans="2:9" hidden="1">
      <c r="B959" s="8"/>
      <c r="C959" s="8"/>
      <c r="D959" s="8"/>
      <c r="E959" s="8"/>
      <c r="F959" s="8"/>
      <c r="G959" s="8"/>
      <c r="H959" s="8"/>
      <c r="I959" s="8"/>
    </row>
    <row r="960" spans="2:9" hidden="1">
      <c r="B960" s="8"/>
      <c r="C960" s="8"/>
      <c r="D960" s="8"/>
      <c r="E960" s="8"/>
      <c r="F960" s="8"/>
      <c r="G960" s="8"/>
      <c r="H960" s="8"/>
      <c r="I960" s="8"/>
    </row>
    <row r="961" spans="2:9" hidden="1">
      <c r="B961" s="8"/>
      <c r="C961" s="8"/>
      <c r="D961" s="8"/>
      <c r="E961" s="8"/>
      <c r="F961" s="8"/>
      <c r="G961" s="8"/>
      <c r="H961" s="8"/>
      <c r="I961" s="8"/>
    </row>
    <row r="962" spans="2:9" hidden="1">
      <c r="B962" s="8"/>
      <c r="C962" s="8"/>
      <c r="D962" s="8"/>
      <c r="E962" s="8"/>
      <c r="F962" s="8"/>
      <c r="G962" s="8"/>
      <c r="H962" s="8"/>
      <c r="I962" s="8"/>
    </row>
    <row r="963" spans="2:9" hidden="1">
      <c r="B963" s="8"/>
      <c r="C963" s="8"/>
      <c r="D963" s="8"/>
      <c r="E963" s="8"/>
      <c r="F963" s="8"/>
      <c r="G963" s="8"/>
      <c r="H963" s="8"/>
      <c r="I963" s="8"/>
    </row>
    <row r="964" spans="2:9" hidden="1">
      <c r="B964" s="8"/>
      <c r="C964" s="8"/>
      <c r="D964" s="8"/>
      <c r="E964" s="8"/>
      <c r="F964" s="8"/>
      <c r="G964" s="8"/>
      <c r="H964" s="8"/>
      <c r="I964" s="8"/>
    </row>
    <row r="965" spans="2:9" hidden="1">
      <c r="B965" s="8"/>
      <c r="C965" s="8"/>
      <c r="D965" s="8"/>
      <c r="E965" s="8"/>
      <c r="F965" s="8"/>
      <c r="G965" s="8"/>
      <c r="H965" s="8"/>
      <c r="I965" s="8"/>
    </row>
    <row r="966" spans="2:9" hidden="1">
      <c r="B966" s="8"/>
      <c r="C966" s="8"/>
      <c r="D966" s="8"/>
      <c r="E966" s="8"/>
      <c r="F966" s="8"/>
      <c r="G966" s="8"/>
      <c r="H966" s="8"/>
      <c r="I966" s="8"/>
    </row>
    <row r="967" spans="2:9" hidden="1">
      <c r="B967" s="8"/>
      <c r="C967" s="8"/>
      <c r="D967" s="8"/>
      <c r="E967" s="8"/>
      <c r="F967" s="8"/>
      <c r="G967" s="8"/>
      <c r="H967" s="8"/>
      <c r="I967" s="8"/>
    </row>
    <row r="968" spans="2:9" hidden="1">
      <c r="B968" s="8"/>
      <c r="C968" s="8"/>
      <c r="D968" s="8"/>
      <c r="E968" s="8"/>
      <c r="F968" s="8"/>
      <c r="G968" s="8"/>
      <c r="H968" s="8"/>
      <c r="I968" s="8"/>
    </row>
    <row r="969" spans="2:9" hidden="1">
      <c r="B969" s="8"/>
      <c r="C969" s="8"/>
      <c r="D969" s="8"/>
      <c r="E969" s="8"/>
      <c r="F969" s="8"/>
      <c r="G969" s="8"/>
      <c r="H969" s="8"/>
      <c r="I969" s="8"/>
    </row>
    <row r="970" spans="2:9" hidden="1">
      <c r="B970" s="8"/>
      <c r="C970" s="8"/>
      <c r="D970" s="8"/>
      <c r="E970" s="8"/>
      <c r="F970" s="8"/>
      <c r="G970" s="8"/>
      <c r="H970" s="8"/>
      <c r="I970" s="8"/>
    </row>
    <row r="971" spans="2:9" hidden="1">
      <c r="B971" s="8"/>
      <c r="C971" s="8"/>
      <c r="D971" s="8"/>
      <c r="E971" s="8"/>
      <c r="F971" s="8"/>
      <c r="G971" s="8"/>
      <c r="H971" s="8"/>
      <c r="I971" s="8"/>
    </row>
    <row r="972" spans="2:9" hidden="1">
      <c r="B972" s="8"/>
      <c r="C972" s="8"/>
      <c r="D972" s="8"/>
      <c r="E972" s="8"/>
      <c r="F972" s="8"/>
      <c r="G972" s="8"/>
      <c r="H972" s="8"/>
      <c r="I972" s="8"/>
    </row>
    <row r="973" spans="2:9" hidden="1">
      <c r="B973" s="8"/>
      <c r="C973" s="8"/>
      <c r="D973" s="8"/>
      <c r="E973" s="8"/>
      <c r="F973" s="8"/>
      <c r="G973" s="8"/>
      <c r="H973" s="8"/>
      <c r="I973" s="8"/>
    </row>
    <row r="974" spans="2:9" hidden="1">
      <c r="B974" s="8"/>
      <c r="C974" s="8"/>
      <c r="D974" s="8"/>
      <c r="E974" s="8"/>
      <c r="F974" s="8"/>
      <c r="G974" s="8"/>
      <c r="H974" s="8"/>
      <c r="I974" s="8"/>
    </row>
    <row r="975" spans="2:9" hidden="1">
      <c r="B975" s="8"/>
      <c r="C975" s="8"/>
      <c r="D975" s="8"/>
      <c r="E975" s="8"/>
      <c r="F975" s="8"/>
      <c r="G975" s="8"/>
      <c r="H975" s="8"/>
      <c r="I975" s="8"/>
    </row>
    <row r="976" spans="2:9" hidden="1">
      <c r="B976" s="8"/>
      <c r="C976" s="8"/>
      <c r="D976" s="8"/>
      <c r="E976" s="8"/>
      <c r="F976" s="8"/>
      <c r="G976" s="8"/>
      <c r="H976" s="8"/>
      <c r="I976" s="8"/>
    </row>
    <row r="977" spans="2:9" hidden="1">
      <c r="B977" s="8"/>
      <c r="C977" s="8"/>
      <c r="D977" s="8"/>
      <c r="E977" s="8"/>
      <c r="F977" s="8"/>
      <c r="G977" s="8"/>
      <c r="H977" s="8"/>
      <c r="I977" s="8"/>
    </row>
    <row r="978" spans="2:9" hidden="1">
      <c r="B978" s="8"/>
      <c r="C978" s="8"/>
      <c r="D978" s="8"/>
      <c r="E978" s="8"/>
      <c r="F978" s="8"/>
      <c r="G978" s="8"/>
      <c r="H978" s="8"/>
      <c r="I978" s="8"/>
    </row>
    <row r="979" spans="2:9" hidden="1">
      <c r="B979" s="8"/>
      <c r="C979" s="8"/>
      <c r="D979" s="8"/>
      <c r="E979" s="8"/>
      <c r="F979" s="8"/>
      <c r="G979" s="8"/>
      <c r="H979" s="8"/>
      <c r="I979" s="8"/>
    </row>
    <row r="980" spans="2:9" hidden="1">
      <c r="B980" s="8"/>
      <c r="C980" s="8"/>
      <c r="D980" s="8"/>
      <c r="E980" s="8"/>
      <c r="F980" s="8"/>
      <c r="G980" s="8"/>
      <c r="H980" s="8"/>
      <c r="I980" s="8"/>
    </row>
    <row r="981" spans="2:9" hidden="1">
      <c r="B981" s="8"/>
      <c r="C981" s="8"/>
      <c r="D981" s="8"/>
      <c r="E981" s="8"/>
      <c r="F981" s="8"/>
      <c r="G981" s="8"/>
      <c r="H981" s="8"/>
      <c r="I981" s="8"/>
    </row>
    <row r="982" spans="2:9" hidden="1">
      <c r="B982" s="8"/>
      <c r="C982" s="8"/>
      <c r="D982" s="8"/>
      <c r="E982" s="8"/>
      <c r="F982" s="8"/>
      <c r="G982" s="8"/>
      <c r="H982" s="8"/>
      <c r="I982" s="8"/>
    </row>
    <row r="983" spans="2:9" hidden="1">
      <c r="B983" s="8"/>
      <c r="C983" s="8"/>
      <c r="D983" s="8"/>
      <c r="E983" s="8"/>
      <c r="F983" s="8"/>
      <c r="G983" s="8"/>
      <c r="H983" s="8"/>
      <c r="I983" s="8"/>
    </row>
    <row r="984" spans="2:9" hidden="1">
      <c r="B984" s="8"/>
      <c r="C984" s="8"/>
      <c r="D984" s="8"/>
      <c r="E984" s="8"/>
      <c r="F984" s="8"/>
      <c r="G984" s="8"/>
      <c r="H984" s="8"/>
      <c r="I984" s="8"/>
    </row>
    <row r="985" spans="2:9" hidden="1">
      <c r="B985" s="8"/>
      <c r="C985" s="8"/>
      <c r="D985" s="8"/>
      <c r="E985" s="8"/>
      <c r="F985" s="8"/>
      <c r="G985" s="8"/>
      <c r="H985" s="8"/>
      <c r="I985" s="8"/>
    </row>
    <row r="986" spans="2:9" hidden="1">
      <c r="B986" s="8"/>
      <c r="C986" s="8"/>
      <c r="D986" s="8"/>
      <c r="E986" s="8"/>
      <c r="F986" s="8"/>
      <c r="G986" s="8"/>
      <c r="H986" s="8"/>
      <c r="I986" s="8"/>
    </row>
    <row r="987" spans="2:9" hidden="1">
      <c r="B987" s="8"/>
      <c r="C987" s="8"/>
      <c r="D987" s="8"/>
      <c r="E987" s="8"/>
      <c r="F987" s="8"/>
      <c r="G987" s="8"/>
      <c r="H987" s="8"/>
      <c r="I987" s="8"/>
    </row>
    <row r="988" spans="2:9" hidden="1">
      <c r="B988" s="8"/>
      <c r="C988" s="8"/>
      <c r="D988" s="8"/>
      <c r="E988" s="8"/>
      <c r="F988" s="8"/>
      <c r="G988" s="8"/>
      <c r="H988" s="8"/>
      <c r="I988" s="8"/>
    </row>
    <row r="989" spans="2:9" hidden="1">
      <c r="B989" s="8"/>
      <c r="C989" s="8"/>
      <c r="D989" s="8"/>
      <c r="E989" s="8"/>
      <c r="F989" s="8"/>
      <c r="G989" s="8"/>
      <c r="H989" s="8"/>
      <c r="I989" s="8"/>
    </row>
    <row r="990" spans="2:9" hidden="1">
      <c r="B990" s="8"/>
      <c r="C990" s="8"/>
      <c r="D990" s="8"/>
      <c r="E990" s="8"/>
      <c r="F990" s="8"/>
      <c r="G990" s="8"/>
      <c r="H990" s="8"/>
      <c r="I990" s="8"/>
    </row>
    <row r="991" spans="2:9" hidden="1">
      <c r="B991" s="8"/>
      <c r="C991" s="8"/>
      <c r="D991" s="8"/>
      <c r="E991" s="8"/>
      <c r="F991" s="8"/>
      <c r="G991" s="8"/>
      <c r="H991" s="8"/>
      <c r="I991" s="8"/>
    </row>
    <row r="992" spans="2:9" hidden="1">
      <c r="B992" s="8"/>
      <c r="C992" s="8"/>
      <c r="D992" s="8"/>
      <c r="E992" s="8"/>
      <c r="F992" s="8"/>
      <c r="G992" s="8"/>
      <c r="H992" s="8"/>
      <c r="I992" s="8"/>
    </row>
    <row r="993" spans="2:9" hidden="1">
      <c r="B993" s="8"/>
      <c r="C993" s="8"/>
      <c r="D993" s="8"/>
      <c r="E993" s="8"/>
      <c r="F993" s="8"/>
      <c r="G993" s="8"/>
      <c r="H993" s="8"/>
      <c r="I993" s="8"/>
    </row>
    <row r="994" spans="2:9" hidden="1">
      <c r="B994" s="8"/>
      <c r="C994" s="8"/>
      <c r="D994" s="8"/>
      <c r="E994" s="8"/>
      <c r="F994" s="8"/>
      <c r="G994" s="8"/>
      <c r="H994" s="8"/>
      <c r="I994" s="8"/>
    </row>
    <row r="995" spans="2:9" hidden="1">
      <c r="B995" s="8"/>
      <c r="C995" s="8"/>
      <c r="D995" s="8"/>
      <c r="E995" s="8"/>
      <c r="F995" s="8"/>
      <c r="G995" s="8"/>
      <c r="H995" s="8"/>
      <c r="I995" s="8"/>
    </row>
    <row r="996" spans="2:9" hidden="1">
      <c r="B996" s="8"/>
      <c r="C996" s="8"/>
      <c r="D996" s="8"/>
      <c r="E996" s="8"/>
      <c r="F996" s="8"/>
      <c r="G996" s="8"/>
      <c r="H996" s="8"/>
      <c r="I996" s="8"/>
    </row>
    <row r="997" spans="2:9" hidden="1">
      <c r="B997" s="8"/>
      <c r="C997" s="8"/>
      <c r="D997" s="8"/>
      <c r="E997" s="8"/>
      <c r="F997" s="8"/>
      <c r="G997" s="8"/>
      <c r="H997" s="8"/>
      <c r="I997" s="8"/>
    </row>
    <row r="998" spans="2:9" hidden="1">
      <c r="B998" s="8"/>
      <c r="C998" s="8"/>
      <c r="D998" s="8"/>
      <c r="E998" s="8"/>
      <c r="F998" s="8"/>
      <c r="G998" s="8"/>
      <c r="H998" s="8"/>
      <c r="I998" s="8"/>
    </row>
    <row r="999" spans="2:9" hidden="1">
      <c r="B999" s="8"/>
      <c r="C999" s="8"/>
      <c r="D999" s="8"/>
      <c r="E999" s="8"/>
      <c r="F999" s="8"/>
      <c r="G999" s="8"/>
      <c r="H999" s="8"/>
      <c r="I999" s="8"/>
    </row>
    <row r="1000" spans="2:9" hidden="1">
      <c r="B1000" s="8"/>
      <c r="C1000" s="8"/>
      <c r="D1000" s="8"/>
      <c r="E1000" s="8"/>
      <c r="F1000" s="8"/>
      <c r="G1000" s="8"/>
      <c r="H1000" s="8"/>
      <c r="I1000" s="8"/>
    </row>
    <row r="1001" spans="2:9" hidden="1">
      <c r="B1001" s="8"/>
      <c r="C1001" s="8"/>
      <c r="D1001" s="8"/>
      <c r="E1001" s="8"/>
      <c r="F1001" s="8"/>
      <c r="G1001" s="8"/>
      <c r="H1001" s="8"/>
      <c r="I1001" s="8"/>
    </row>
    <row r="1002" spans="2:9" hidden="1">
      <c r="B1002" s="8"/>
      <c r="C1002" s="8"/>
      <c r="D1002" s="8"/>
      <c r="E1002" s="8"/>
      <c r="F1002" s="8"/>
      <c r="G1002" s="8"/>
      <c r="H1002" s="8"/>
      <c r="I1002" s="8"/>
    </row>
    <row r="1003" spans="2:9" hidden="1">
      <c r="B1003" s="8"/>
      <c r="C1003" s="8"/>
      <c r="D1003" s="8"/>
      <c r="E1003" s="8"/>
      <c r="F1003" s="8"/>
      <c r="G1003" s="8"/>
      <c r="H1003" s="8"/>
      <c r="I1003" s="8"/>
    </row>
    <row r="1004" spans="2:9" hidden="1">
      <c r="B1004" s="8"/>
      <c r="C1004" s="8"/>
      <c r="D1004" s="8"/>
      <c r="E1004" s="8"/>
      <c r="F1004" s="8"/>
      <c r="G1004" s="8"/>
      <c r="H1004" s="8"/>
      <c r="I1004" s="8"/>
    </row>
    <row r="1005" spans="2:9" hidden="1">
      <c r="B1005" s="8"/>
      <c r="C1005" s="8"/>
      <c r="D1005" s="8"/>
      <c r="E1005" s="8"/>
      <c r="F1005" s="8"/>
      <c r="G1005" s="8"/>
      <c r="H1005" s="8"/>
    </row>
    <row r="1006" spans="2:9" hidden="1">
      <c r="B1006" s="8"/>
      <c r="C1006" s="8"/>
      <c r="D1006" s="8"/>
      <c r="E1006" s="8"/>
      <c r="F1006" s="8"/>
      <c r="G1006" s="8"/>
      <c r="H1006" s="8"/>
    </row>
  </sheetData>
  <sheetProtection password="8B16" sheet="1" objects="1" scenarios="1"/>
  <mergeCells count="7">
    <mergeCell ref="B2:H3"/>
    <mergeCell ref="H15:H16"/>
    <mergeCell ref="F11:F12"/>
    <mergeCell ref="F15:F16"/>
    <mergeCell ref="B14:B15"/>
    <mergeCell ref="G9:G10"/>
    <mergeCell ref="F5:G5"/>
  </mergeCells>
  <phoneticPr fontId="0" type="noConversion"/>
  <printOptions horizontalCentered="1" verticalCentered="1"/>
  <pageMargins left="0.25" right="0.25" top="0.75" bottom="0.75" header="0.3" footer="0.3"/>
  <pageSetup scale="92" orientation="landscape" horizontalDpi="1200" r:id="rId1"/>
  <headerFooter alignWithMargins="0">
    <oddFooter>&amp;CAWWA Free Water Audit Software v5.0&amp;R&amp;A     &amp;P</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5DEEE-8E25-434F-8301-2510551806EF}">
  <sheetPr codeName="Sheet7"/>
  <dimension ref="A1:M27"/>
  <sheetViews>
    <sheetView workbookViewId="0">
      <selection activeCell="N8" sqref="N8"/>
    </sheetView>
  </sheetViews>
  <sheetFormatPr defaultRowHeight="12.75"/>
  <cols>
    <col min="1" max="1" width="2.7109375" customWidth="1"/>
    <col min="2" max="2" width="61.7109375" customWidth="1"/>
    <col min="3" max="3" width="6.85546875" customWidth="1"/>
    <col min="4" max="4" width="8.85546875" customWidth="1"/>
    <col min="5" max="5" width="9.28515625" bestFit="1" customWidth="1"/>
    <col min="6" max="6" width="8.7109375" bestFit="1" customWidth="1"/>
    <col min="7" max="7" width="12.5703125" bestFit="1" customWidth="1"/>
    <col min="8" max="8" width="10.140625" customWidth="1"/>
    <col min="9" max="9" width="10.7109375" bestFit="1" customWidth="1"/>
    <col min="10" max="10" width="9.28515625" customWidth="1"/>
    <col min="11" max="11" width="11.42578125" bestFit="1" customWidth="1"/>
    <col min="12" max="12" width="9.42578125" bestFit="1" customWidth="1"/>
    <col min="13" max="13" width="13.5703125" bestFit="1" customWidth="1"/>
  </cols>
  <sheetData>
    <row r="1" spans="1:13" ht="129.6" customHeight="1"/>
    <row r="2" spans="1:13">
      <c r="G2" s="45" t="s">
        <v>102</v>
      </c>
    </row>
    <row r="3" spans="1:13">
      <c r="C3" s="44" t="s">
        <v>99</v>
      </c>
      <c r="D3" s="44" t="s">
        <v>100</v>
      </c>
      <c r="E3" s="44" t="s">
        <v>103</v>
      </c>
      <c r="F3" s="44" t="s">
        <v>104</v>
      </c>
      <c r="G3" s="44" t="s">
        <v>101</v>
      </c>
      <c r="H3" s="44" t="s">
        <v>105</v>
      </c>
      <c r="I3" s="44" t="s">
        <v>144</v>
      </c>
      <c r="J3" s="44"/>
      <c r="K3" s="44" t="s">
        <v>142</v>
      </c>
      <c r="L3" s="44" t="s">
        <v>141</v>
      </c>
      <c r="M3" s="44" t="s">
        <v>143</v>
      </c>
    </row>
    <row r="4" spans="1:13" ht="13.5">
      <c r="B4" s="52" t="s">
        <v>131</v>
      </c>
      <c r="C4" s="50">
        <f>IF('Reporting Worksheet'!E15="n/a",0,'Reporting Worksheet'!E15)</f>
        <v>7</v>
      </c>
      <c r="D4" s="135">
        <f>'Reporting Worksheet'!T15</f>
        <v>33.177900962216007</v>
      </c>
      <c r="E4" s="51">
        <f t="shared" ref="E4:E9" si="0">D4</f>
        <v>33.177900962216007</v>
      </c>
      <c r="F4" s="51">
        <f>IF(D4&lt;&gt;0,E4/10,0)</f>
        <v>3.3177900962216009</v>
      </c>
      <c r="G4" s="48">
        <f t="shared" ref="G4:G23" si="1">C4*F4</f>
        <v>23.224530673551207</v>
      </c>
      <c r="H4" s="49">
        <f t="shared" ref="H4:H23" si="2">IF(F4=0,0,E4-G4)</f>
        <v>9.9533702886648001</v>
      </c>
      <c r="I4">
        <f t="array" aca="1" ref="I4" ca="1">SUM(1*(H4&lt;$H$4:$H$23))+1+IF(ROW(H4)-ROW($H$4)=0,0,SUM(1*(H4=OFFSET($H$4,0,0,INDEX(ROW(H4)-ROW($H$4)+1,1)-1,1))))</f>
        <v>1</v>
      </c>
      <c r="J4" s="232" t="s">
        <v>153</v>
      </c>
      <c r="K4">
        <f>IF(D4&lt;&gt;0,1,0)</f>
        <v>1</v>
      </c>
      <c r="L4">
        <f t="shared" ref="L4:L23" si="3">IF(C4&gt;0,1,0)</f>
        <v>1</v>
      </c>
      <c r="M4">
        <f t="shared" ref="M4:M23" si="4">IF(AND(K4=1,L4=0),1,0)</f>
        <v>0</v>
      </c>
    </row>
    <row r="5" spans="1:13">
      <c r="B5" s="510" t="s">
        <v>645</v>
      </c>
      <c r="C5" s="50">
        <f>IF('Reporting Worksheet'!J15="n/a",0,'Reporting Worksheet'!J15)</f>
        <v>0</v>
      </c>
      <c r="D5" s="135">
        <f>'Reporting Worksheet'!U15</f>
        <v>0</v>
      </c>
      <c r="E5" s="51">
        <f t="shared" si="0"/>
        <v>0</v>
      </c>
      <c r="F5" s="51">
        <f t="shared" ref="F5:F23" si="5">IF(D5&lt;&gt;0,E5/10,0)</f>
        <v>0</v>
      </c>
      <c r="G5" s="48">
        <f t="shared" si="1"/>
        <v>0</v>
      </c>
      <c r="H5" s="49">
        <f t="shared" si="2"/>
        <v>0</v>
      </c>
      <c r="I5">
        <f t="array" aca="1" ref="I5" ca="1">SUM(1*(H5&lt;$H$4:$H$23))+1+IF(ROW(H5)-ROW($H$4)=0,0,SUM(1*(H5=OFFSET($H$4,0,0,INDEX(ROW(H5)-ROW($H$4)+1,1)-1,1))))</f>
        <v>16</v>
      </c>
      <c r="J5" s="232" t="s">
        <v>29</v>
      </c>
      <c r="K5" s="621">
        <f t="shared" ref="K5:K23" si="6">IF(D5&lt;&gt;0,1,0)</f>
        <v>0</v>
      </c>
      <c r="L5">
        <f t="shared" si="3"/>
        <v>0</v>
      </c>
      <c r="M5">
        <f t="shared" si="4"/>
        <v>0</v>
      </c>
    </row>
    <row r="6" spans="1:13" ht="13.5">
      <c r="B6" s="52" t="s">
        <v>4</v>
      </c>
      <c r="C6" s="50">
        <f>IF('Reporting Worksheet'!E16="n/a",0,'Reporting Worksheet'!E16)</f>
        <v>9</v>
      </c>
      <c r="D6" s="135">
        <f>'Reporting Worksheet'!T16</f>
        <v>1.4783148843204219</v>
      </c>
      <c r="E6" s="51">
        <f t="shared" si="0"/>
        <v>1.4783148843204219</v>
      </c>
      <c r="F6" s="51">
        <f t="shared" si="5"/>
        <v>0.14783148843204219</v>
      </c>
      <c r="G6" s="48">
        <f t="shared" si="1"/>
        <v>1.3304833958883797</v>
      </c>
      <c r="H6" s="49">
        <f t="shared" si="2"/>
        <v>0.14783148843204219</v>
      </c>
      <c r="I6">
        <f t="array" aca="1" ref="I6" ca="1">SUM(1*(H6&lt;$H$4:$H$23))+1+IF(ROW(H6)-ROW($H$4)=0,0,SUM(1*(H6=OFFSET($H$4,0,0,INDEX(ROW(H6)-ROW($H$4)+1,1)-1,1))))</f>
        <v>14</v>
      </c>
      <c r="J6" s="232" t="s">
        <v>152</v>
      </c>
      <c r="K6">
        <f t="shared" si="6"/>
        <v>1</v>
      </c>
      <c r="L6">
        <f t="shared" si="3"/>
        <v>1</v>
      </c>
      <c r="M6">
        <f t="shared" si="4"/>
        <v>0</v>
      </c>
    </row>
    <row r="7" spans="1:13">
      <c r="B7" s="510" t="s">
        <v>489</v>
      </c>
      <c r="C7" s="50">
        <f>IF('Reporting Worksheet'!J16="n/a",0,'Reporting Worksheet'!J16)</f>
        <v>0</v>
      </c>
      <c r="D7" s="135">
        <f>'Reporting Worksheet'!U16</f>
        <v>0</v>
      </c>
      <c r="E7" s="51">
        <f t="shared" si="0"/>
        <v>0</v>
      </c>
      <c r="F7" s="51">
        <f t="shared" si="5"/>
        <v>0</v>
      </c>
      <c r="G7" s="48">
        <f t="shared" si="1"/>
        <v>0</v>
      </c>
      <c r="H7" s="49">
        <f t="shared" si="2"/>
        <v>0</v>
      </c>
      <c r="I7">
        <f t="array" aca="1" ref="I7" ca="1">SUM(1*(H7&lt;$H$4:$H$23))+1+IF(ROW(H7)-ROW($H$4)=0,0,SUM(1*(H7=OFFSET($H$4,0,0,INDEX(ROW(H7)-ROW($H$4)+1,1)-1,1))))</f>
        <v>17</v>
      </c>
      <c r="J7" s="232" t="s">
        <v>306</v>
      </c>
      <c r="K7" s="621">
        <f t="shared" si="6"/>
        <v>0</v>
      </c>
      <c r="L7">
        <f t="shared" si="3"/>
        <v>0</v>
      </c>
      <c r="M7">
        <f t="shared" si="4"/>
        <v>0</v>
      </c>
    </row>
    <row r="8" spans="1:13" ht="13.5">
      <c r="B8" s="52" t="s">
        <v>5</v>
      </c>
      <c r="C8" s="50">
        <f>IF('Reporting Worksheet'!E17="n/a",0,'Reporting Worksheet'!E17)</f>
        <v>2</v>
      </c>
      <c r="D8" s="135">
        <f>'Reporting Worksheet'!T17</f>
        <v>0.34378415346357577</v>
      </c>
      <c r="E8" s="51">
        <f t="shared" si="0"/>
        <v>0.34378415346357577</v>
      </c>
      <c r="F8" s="51">
        <f t="shared" si="5"/>
        <v>3.4378415346357577E-2</v>
      </c>
      <c r="G8" s="48">
        <f t="shared" si="1"/>
        <v>6.8756830692715154E-2</v>
      </c>
      <c r="H8" s="49">
        <f t="shared" si="2"/>
        <v>0.27502732277086062</v>
      </c>
      <c r="I8">
        <f t="array" aca="1" ref="I8" ca="1">SUM(1*(H8&lt;$H$4:$H$23))+1+IF(ROW(H8)-ROW($H$4)=0,0,SUM(1*(H8=OFFSET($H$4,0,0,INDEX(ROW(H8)-ROW($H$4)+1,1)-1,1))))</f>
        <v>13</v>
      </c>
      <c r="J8" s="232" t="s">
        <v>154</v>
      </c>
      <c r="K8">
        <f t="shared" si="6"/>
        <v>1</v>
      </c>
      <c r="L8">
        <f t="shared" si="3"/>
        <v>1</v>
      </c>
      <c r="M8">
        <f t="shared" si="4"/>
        <v>0</v>
      </c>
    </row>
    <row r="9" spans="1:13">
      <c r="B9" s="511" t="s">
        <v>500</v>
      </c>
      <c r="C9" s="136">
        <f>IF('Reporting Worksheet'!J17="n/a",0,'Reporting Worksheet'!J17)</f>
        <v>0</v>
      </c>
      <c r="D9" s="137">
        <f>'Reporting Worksheet'!U17</f>
        <v>0</v>
      </c>
      <c r="E9" s="138">
        <f t="shared" si="0"/>
        <v>0</v>
      </c>
      <c r="F9" s="138">
        <f t="shared" si="5"/>
        <v>0</v>
      </c>
      <c r="G9" s="139">
        <f t="shared" si="1"/>
        <v>0</v>
      </c>
      <c r="H9" s="138">
        <f t="shared" si="2"/>
        <v>0</v>
      </c>
      <c r="I9" s="140">
        <f t="array" aca="1" ref="I9" ca="1">SUM(1*(H9&lt;$H$4:$H$23))+1+IF(ROW(H9)-ROW($H$4)=0,0,SUM(1*(H9=OFFSET($H$4,0,0,INDEX(ROW(H9)-ROW($H$4)+1,1)-1,1))))</f>
        <v>18</v>
      </c>
      <c r="J9" s="233" t="s">
        <v>307</v>
      </c>
      <c r="K9" s="621">
        <f t="shared" si="6"/>
        <v>0</v>
      </c>
      <c r="L9" s="140">
        <f t="shared" si="3"/>
        <v>0</v>
      </c>
      <c r="M9" s="140">
        <f t="shared" si="4"/>
        <v>0</v>
      </c>
    </row>
    <row r="10" spans="1:13" ht="13.5">
      <c r="B10" s="147" t="s">
        <v>132</v>
      </c>
      <c r="C10" s="148">
        <f>IF('Reporting Worksheet'!E23="n/a",0,'Reporting Worksheet'!E23)</f>
        <v>9</v>
      </c>
      <c r="D10" s="149">
        <f>IF(AND('Reporting Worksheet'!E23="n/a",'Reporting Worksheet'!G23=0),0,8)</f>
        <v>8</v>
      </c>
      <c r="E10" s="150">
        <f t="shared" ref="E10:E23" si="7">D10/$D$26</f>
        <v>10.196078431372548</v>
      </c>
      <c r="F10" s="150">
        <f t="shared" si="5"/>
        <v>1.0196078431372548</v>
      </c>
      <c r="G10" s="150">
        <f t="shared" si="1"/>
        <v>9.1764705882352935</v>
      </c>
      <c r="H10" s="151">
        <f t="shared" si="2"/>
        <v>1.0196078431372548</v>
      </c>
      <c r="I10" s="152">
        <f t="array" aca="1" ref="I10" ca="1">SUM(1*(H10&lt;$H$4:$H$23))+1+IF(ROW(H10)-ROW($H$4)=0,0,SUM(1*(H10=OFFSET($H$4,0,0,INDEX(ROW(H10)-ROW($H$4)+1,1)-1,1))))</f>
        <v>8</v>
      </c>
      <c r="J10" s="234" t="s">
        <v>106</v>
      </c>
      <c r="K10" s="152">
        <f t="shared" si="6"/>
        <v>1</v>
      </c>
      <c r="L10" s="152">
        <f t="shared" si="3"/>
        <v>1</v>
      </c>
      <c r="M10" s="152">
        <f t="shared" si="4"/>
        <v>0</v>
      </c>
    </row>
    <row r="11" spans="1:13" ht="13.5">
      <c r="B11" s="154" t="s">
        <v>133</v>
      </c>
      <c r="C11" s="155">
        <f>IF('Reporting Worksheet'!E24="n/a",0,'Reporting Worksheet'!E24)</f>
        <v>0</v>
      </c>
      <c r="D11" s="156">
        <f>IF('Reporting Worksheet'!G24=0,0,6)</f>
        <v>0</v>
      </c>
      <c r="E11" s="157">
        <f t="shared" si="7"/>
        <v>0</v>
      </c>
      <c r="F11" s="157">
        <f t="shared" si="5"/>
        <v>0</v>
      </c>
      <c r="G11" s="157">
        <f t="shared" si="1"/>
        <v>0</v>
      </c>
      <c r="H11" s="158">
        <f t="shared" si="2"/>
        <v>0</v>
      </c>
      <c r="I11" s="159">
        <f t="array" aca="1" ref="I11" ca="1">SUM(1*(H11&lt;$H$4:$H$23))+1+IF(ROW(H11)-ROW($H$4)=0,0,SUM(1*(H11=OFFSET($H$4,0,0,INDEX(ROW(H11)-ROW($H$4)+1,1)-1,1))))</f>
        <v>19</v>
      </c>
      <c r="J11" s="235" t="s">
        <v>107</v>
      </c>
      <c r="K11" s="159">
        <f t="shared" si="6"/>
        <v>0</v>
      </c>
      <c r="L11" s="159">
        <f t="shared" si="3"/>
        <v>0</v>
      </c>
      <c r="M11" s="159">
        <f t="shared" si="4"/>
        <v>0</v>
      </c>
    </row>
    <row r="12" spans="1:13" ht="13.5">
      <c r="B12" s="154" t="s">
        <v>134</v>
      </c>
      <c r="C12" s="155">
        <f>IF('Reporting Worksheet'!E25="n/a",0,'Reporting Worksheet'!E25)</f>
        <v>8</v>
      </c>
      <c r="D12" s="156">
        <f>IF('Reporting Worksheet'!G25=0,0,6)</f>
        <v>6</v>
      </c>
      <c r="E12" s="157">
        <f t="shared" si="7"/>
        <v>7.6470588235294121</v>
      </c>
      <c r="F12" s="157">
        <f t="shared" si="5"/>
        <v>0.76470588235294124</v>
      </c>
      <c r="G12" s="157">
        <f t="shared" si="1"/>
        <v>6.1176470588235299</v>
      </c>
      <c r="H12" s="158">
        <f t="shared" si="2"/>
        <v>1.5294117647058822</v>
      </c>
      <c r="I12" s="159">
        <f t="array" aca="1" ref="I12" ca="1">SUM(1*(H12&lt;$H$4:$H$23))+1+IF(ROW(H12)-ROW($H$4)=0,0,SUM(1*(H12=OFFSET($H$4,0,0,INDEX(ROW(H12)-ROW($H$4)+1,1)-1,1))))</f>
        <v>6</v>
      </c>
      <c r="J12" s="235" t="s">
        <v>108</v>
      </c>
      <c r="K12" s="159">
        <f t="shared" si="6"/>
        <v>1</v>
      </c>
      <c r="L12" s="159">
        <f t="shared" si="3"/>
        <v>1</v>
      </c>
      <c r="M12" s="159">
        <f t="shared" si="4"/>
        <v>0</v>
      </c>
    </row>
    <row r="13" spans="1:13" ht="13.5">
      <c r="A13" t="s">
        <v>146</v>
      </c>
      <c r="B13" s="141" t="s">
        <v>135</v>
      </c>
      <c r="C13" s="153">
        <f>IF(OR('Reporting Worksheet'!R26=1,AND('Reporting Worksheet'!R26=2,'Reporting Worksheet'!N26=0)),5,'Reporting Worksheet'!E26)</f>
        <v>5</v>
      </c>
      <c r="D13" s="143">
        <v>1</v>
      </c>
      <c r="E13" s="144">
        <f t="shared" si="7"/>
        <v>1.2745098039215685</v>
      </c>
      <c r="F13" s="144">
        <f t="shared" si="5"/>
        <v>0.12745098039215685</v>
      </c>
      <c r="G13" s="144">
        <f t="shared" si="1"/>
        <v>0.63725490196078427</v>
      </c>
      <c r="H13" s="145">
        <f t="shared" si="2"/>
        <v>0.63725490196078427</v>
      </c>
      <c r="I13" s="146">
        <f t="array" aca="1" ref="I13" ca="1">SUM(1*(H13&lt;$H$4:$H$23))+1+IF(ROW(H13)-ROW($H$4)=0,0,SUM(1*(H13=OFFSET($H$4,0,0,INDEX(ROW(H13)-ROW($H$4)+1,1)-1,1))))</f>
        <v>11</v>
      </c>
      <c r="J13" s="236" t="s">
        <v>109</v>
      </c>
      <c r="K13" s="146">
        <f t="shared" si="6"/>
        <v>1</v>
      </c>
      <c r="L13" s="146">
        <f t="shared" si="3"/>
        <v>1</v>
      </c>
      <c r="M13" s="146">
        <f t="shared" si="4"/>
        <v>0</v>
      </c>
    </row>
    <row r="14" spans="1:13" ht="13.5">
      <c r="A14" t="s">
        <v>146</v>
      </c>
      <c r="B14" s="141" t="s">
        <v>136</v>
      </c>
      <c r="C14" s="153">
        <f>IF(OR('Reporting Worksheet'!R38=1,AND('Reporting Worksheet'!R38=2,'Reporting Worksheet'!N38=0)),5,'Reporting Worksheet'!E38)</f>
        <v>5</v>
      </c>
      <c r="D14" s="143">
        <v>4</v>
      </c>
      <c r="E14" s="144">
        <f t="shared" si="7"/>
        <v>5.0980392156862742</v>
      </c>
      <c r="F14" s="144">
        <f t="shared" si="5"/>
        <v>0.50980392156862742</v>
      </c>
      <c r="G14" s="144">
        <f t="shared" si="1"/>
        <v>2.5490196078431371</v>
      </c>
      <c r="H14" s="145">
        <f t="shared" si="2"/>
        <v>2.5490196078431371</v>
      </c>
      <c r="I14" s="146">
        <f t="array" aca="1" ref="I14" ca="1">SUM(1*(H14&lt;$H$4:$H$23))+1+IF(ROW(H14)-ROW($H$4)=0,0,SUM(1*(H14=OFFSET($H$4,0,0,INDEX(ROW(H14)-ROW($H$4)+1,1)-1,1))))</f>
        <v>4</v>
      </c>
      <c r="J14" s="236" t="s">
        <v>18</v>
      </c>
      <c r="K14" s="146">
        <f t="shared" si="6"/>
        <v>1</v>
      </c>
      <c r="L14" s="146">
        <f t="shared" si="3"/>
        <v>1</v>
      </c>
      <c r="M14" s="146">
        <f t="shared" si="4"/>
        <v>0</v>
      </c>
    </row>
    <row r="15" spans="1:13" ht="13.5">
      <c r="B15" s="147" t="s">
        <v>137</v>
      </c>
      <c r="C15" s="148">
        <f>IF('Reporting Worksheet'!E42="n/a",0,'Reporting Worksheet'!E42)</f>
        <v>6</v>
      </c>
      <c r="D15" s="149">
        <f>IF(AND('Reporting Worksheet'!E42="n/a",'Reporting Worksheet'!G42=0),0,6)</f>
        <v>6</v>
      </c>
      <c r="E15" s="150">
        <f t="shared" si="7"/>
        <v>7.6470588235294121</v>
      </c>
      <c r="F15" s="150">
        <f t="shared" si="5"/>
        <v>0.76470588235294124</v>
      </c>
      <c r="G15" s="150">
        <f t="shared" si="1"/>
        <v>4.5882352941176476</v>
      </c>
      <c r="H15" s="151">
        <f t="shared" si="2"/>
        <v>3.0588235294117645</v>
      </c>
      <c r="I15" s="152">
        <f t="array" aca="1" ref="I15" ca="1">SUM(1*(H15&lt;$H$4:$H$23))+1+IF(ROW(H15)-ROW($H$4)=0,0,SUM(1*(H15=OFFSET($H$4,0,0,INDEX(ROW(H15)-ROW($H$4)+1,1)-1,1))))</f>
        <v>3</v>
      </c>
      <c r="J15" s="234" t="s">
        <v>157</v>
      </c>
      <c r="K15" s="152">
        <f t="shared" si="6"/>
        <v>1</v>
      </c>
      <c r="L15" s="152">
        <f t="shared" si="3"/>
        <v>1</v>
      </c>
      <c r="M15" s="152">
        <f t="shared" si="4"/>
        <v>0</v>
      </c>
    </row>
    <row r="16" spans="1:13" ht="13.5">
      <c r="B16" s="141" t="s">
        <v>3</v>
      </c>
      <c r="C16" s="142">
        <f>IF('Reporting Worksheet'!G43=0,1,IF('Reporting Worksheet'!R43=1,5,'Reporting Worksheet'!E43))</f>
        <v>5</v>
      </c>
      <c r="D16" s="143">
        <v>4</v>
      </c>
      <c r="E16" s="144">
        <f t="shared" si="7"/>
        <v>5.0980392156862742</v>
      </c>
      <c r="F16" s="144">
        <f t="shared" si="5"/>
        <v>0.50980392156862742</v>
      </c>
      <c r="G16" s="144">
        <f t="shared" si="1"/>
        <v>2.5490196078431371</v>
      </c>
      <c r="H16" s="145">
        <f t="shared" si="2"/>
        <v>2.5490196078431371</v>
      </c>
      <c r="I16" s="146">
        <f t="array" aca="1" ref="I16" ca="1">SUM(1*(H16&lt;$H$4:$H$23))+1+IF(ROW(H16)-ROW($H$4)=0,0,SUM(1*(H16=OFFSET($H$4,0,0,INDEX(ROW(H16)-ROW($H$4)+1,1)-1,1))))</f>
        <v>5</v>
      </c>
      <c r="J16" s="236" t="s">
        <v>19</v>
      </c>
      <c r="K16" s="146">
        <f t="shared" si="6"/>
        <v>1</v>
      </c>
      <c r="L16" s="146">
        <f t="shared" si="3"/>
        <v>1</v>
      </c>
      <c r="M16" s="146">
        <f t="shared" si="4"/>
        <v>0</v>
      </c>
    </row>
    <row r="17" spans="2:13" ht="13.5">
      <c r="B17" s="141" t="s">
        <v>138</v>
      </c>
      <c r="C17" s="142">
        <f>'Reporting Worksheet'!E62</f>
        <v>9</v>
      </c>
      <c r="D17" s="143">
        <v>1</v>
      </c>
      <c r="E17" s="144">
        <f t="shared" si="7"/>
        <v>1.2745098039215685</v>
      </c>
      <c r="F17" s="144">
        <f t="shared" si="5"/>
        <v>0.12745098039215685</v>
      </c>
      <c r="G17" s="144">
        <f t="shared" si="1"/>
        <v>1.1470588235294117</v>
      </c>
      <c r="H17" s="145">
        <f t="shared" si="2"/>
        <v>0.12745098039215685</v>
      </c>
      <c r="I17" s="146">
        <f t="array" aca="1" ref="I17" ca="1">SUM(1*(H17&lt;$H$4:$H$23))+1+IF(ROW(H17)-ROW($H$4)=0,0,SUM(1*(H17=OFFSET($H$4,0,0,INDEX(ROW(H17)-ROW($H$4)+1,1)-1,1))))</f>
        <v>15</v>
      </c>
      <c r="J17" s="236" t="s">
        <v>122</v>
      </c>
      <c r="K17" s="146">
        <f t="shared" si="6"/>
        <v>1</v>
      </c>
      <c r="L17" s="146">
        <f t="shared" si="3"/>
        <v>1</v>
      </c>
      <c r="M17" s="146">
        <f t="shared" si="4"/>
        <v>0</v>
      </c>
    </row>
    <row r="18" spans="2:13" ht="13.5">
      <c r="B18" s="141" t="s">
        <v>128</v>
      </c>
      <c r="C18" s="142">
        <f>'Reporting Worksheet'!E63</f>
        <v>6</v>
      </c>
      <c r="D18" s="143">
        <v>1</v>
      </c>
      <c r="E18" s="144">
        <f t="shared" si="7"/>
        <v>1.2745098039215685</v>
      </c>
      <c r="F18" s="144">
        <f t="shared" si="5"/>
        <v>0.12745098039215685</v>
      </c>
      <c r="G18" s="144">
        <f t="shared" si="1"/>
        <v>0.76470588235294112</v>
      </c>
      <c r="H18" s="145">
        <f t="shared" si="2"/>
        <v>0.50980392156862742</v>
      </c>
      <c r="I18" s="146">
        <f t="array" aca="1" ref="I18" ca="1">SUM(1*(H18&lt;$H$4:$H$23))+1+IF(ROW(H18)-ROW($H$4)=0,0,SUM(1*(H18=OFFSET($H$4,0,0,INDEX(ROW(H18)-ROW($H$4)+1,1)-1,1))))</f>
        <v>12</v>
      </c>
      <c r="J18" s="236" t="s">
        <v>110</v>
      </c>
      <c r="K18" s="146">
        <f t="shared" si="6"/>
        <v>1</v>
      </c>
      <c r="L18" s="146">
        <f t="shared" si="3"/>
        <v>1</v>
      </c>
      <c r="M18" s="146">
        <f t="shared" si="4"/>
        <v>0</v>
      </c>
    </row>
    <row r="19" spans="2:13" ht="13.5">
      <c r="B19" s="141" t="s">
        <v>205</v>
      </c>
      <c r="C19" s="142">
        <f>'Reporting Worksheet'!R67</f>
        <v>4</v>
      </c>
      <c r="D19" s="143">
        <v>1</v>
      </c>
      <c r="E19" s="144">
        <f t="shared" si="7"/>
        <v>1.2745098039215685</v>
      </c>
      <c r="F19" s="144">
        <f t="shared" si="5"/>
        <v>0.12745098039215685</v>
      </c>
      <c r="G19" s="144">
        <f t="shared" si="1"/>
        <v>0.50980392156862742</v>
      </c>
      <c r="H19" s="145">
        <f t="shared" si="2"/>
        <v>0.76470588235294112</v>
      </c>
      <c r="I19" s="146">
        <f t="array" aca="1" ref="I19" ca="1">SUM(1*(H19&lt;$H$4:$H$23))+1+IF(ROW(H19)-ROW($H$4)=0,0,SUM(1*(H19=OFFSET($H$4,0,0,INDEX(ROW(H19)-ROW($H$4)+1,1)-1,1))))</f>
        <v>9</v>
      </c>
      <c r="J19" s="236" t="s">
        <v>204</v>
      </c>
      <c r="K19" s="146">
        <f t="shared" si="6"/>
        <v>1</v>
      </c>
      <c r="L19" s="146">
        <f t="shared" si="3"/>
        <v>1</v>
      </c>
      <c r="M19" s="146">
        <f t="shared" si="4"/>
        <v>0</v>
      </c>
    </row>
    <row r="20" spans="2:13" ht="13.5">
      <c r="B20" s="141" t="s">
        <v>139</v>
      </c>
      <c r="C20" s="142">
        <f>'Reporting Worksheet'!E69</f>
        <v>4</v>
      </c>
      <c r="D20" s="143">
        <v>1</v>
      </c>
      <c r="E20" s="144">
        <f t="shared" si="7"/>
        <v>1.2745098039215685</v>
      </c>
      <c r="F20" s="144">
        <f t="shared" si="5"/>
        <v>0.12745098039215685</v>
      </c>
      <c r="G20" s="144">
        <f t="shared" si="1"/>
        <v>0.50980392156862742</v>
      </c>
      <c r="H20" s="145">
        <f t="shared" si="2"/>
        <v>0.76470588235294112</v>
      </c>
      <c r="I20" s="146">
        <f t="array" aca="1" ref="I20" ca="1">SUM(1*(H20&lt;$H$4:$H$23))+1+IF(ROW(H20)-ROW($H$4)=0,0,SUM(1*(H20=OFFSET($H$4,0,0,INDEX(ROW(H20)-ROW($H$4)+1,1)-1,1))))</f>
        <v>10</v>
      </c>
      <c r="J20" s="236" t="s">
        <v>21</v>
      </c>
      <c r="K20" s="146">
        <f t="shared" si="6"/>
        <v>1</v>
      </c>
      <c r="L20" s="146">
        <f t="shared" si="3"/>
        <v>1</v>
      </c>
      <c r="M20" s="146">
        <f t="shared" si="4"/>
        <v>0</v>
      </c>
    </row>
    <row r="21" spans="2:13" ht="13.5">
      <c r="B21" s="141" t="s">
        <v>140</v>
      </c>
      <c r="C21" s="142">
        <f>'Reporting Worksheet'!E76</f>
        <v>10</v>
      </c>
      <c r="D21" s="143">
        <v>6</v>
      </c>
      <c r="E21" s="144">
        <f t="shared" si="7"/>
        <v>7.6470588235294121</v>
      </c>
      <c r="F21" s="144">
        <f t="shared" si="5"/>
        <v>0.76470588235294124</v>
      </c>
      <c r="G21" s="144">
        <f t="shared" si="1"/>
        <v>7.6470588235294121</v>
      </c>
      <c r="H21" s="145">
        <f t="shared" si="2"/>
        <v>0</v>
      </c>
      <c r="I21" s="146">
        <f t="array" aca="1" ref="I21" ca="1">SUM(1*(H21&lt;$H$4:$H$23))+1+IF(ROW(H21)-ROW($H$4)=0,0,SUM(1*(H21=OFFSET($H$4,0,0,INDEX(ROW(H21)-ROW($H$4)+1,1)-1,1))))</f>
        <v>20</v>
      </c>
      <c r="J21" s="236" t="s">
        <v>111</v>
      </c>
      <c r="K21" s="146">
        <f t="shared" si="6"/>
        <v>1</v>
      </c>
      <c r="L21" s="146">
        <f t="shared" si="3"/>
        <v>1</v>
      </c>
      <c r="M21" s="146">
        <f t="shared" si="4"/>
        <v>0</v>
      </c>
    </row>
    <row r="22" spans="2:13" ht="13.5">
      <c r="B22" s="141" t="s">
        <v>129</v>
      </c>
      <c r="C22" s="142">
        <f>'Reporting Worksheet'!E77</f>
        <v>8</v>
      </c>
      <c r="D22" s="143">
        <v>6</v>
      </c>
      <c r="E22" s="144">
        <f t="shared" si="7"/>
        <v>7.6470588235294121</v>
      </c>
      <c r="F22" s="144">
        <f t="shared" si="5"/>
        <v>0.76470588235294124</v>
      </c>
      <c r="G22" s="144">
        <f t="shared" si="1"/>
        <v>6.1176470588235299</v>
      </c>
      <c r="H22" s="145">
        <f t="shared" si="2"/>
        <v>1.5294117647058822</v>
      </c>
      <c r="I22" s="146">
        <f t="array" aca="1" ref="I22" ca="1">SUM(1*(H22&lt;$H$4:$H$23))+1+IF(ROW(H22)-ROW($H$4)=0,0,SUM(1*(H22=OFFSET($H$4,0,0,INDEX(ROW(H22)-ROW($H$4)+1,1)-1,1))))</f>
        <v>7</v>
      </c>
      <c r="J22" s="236" t="s">
        <v>127</v>
      </c>
      <c r="K22" s="146">
        <f t="shared" si="6"/>
        <v>1</v>
      </c>
      <c r="L22" s="146">
        <f t="shared" si="3"/>
        <v>1</v>
      </c>
      <c r="M22" s="146">
        <f t="shared" si="4"/>
        <v>0</v>
      </c>
    </row>
    <row r="23" spans="2:13" ht="13.5">
      <c r="B23" s="141" t="s">
        <v>130</v>
      </c>
      <c r="C23" s="142">
        <f>IF('Reporting Worksheet'!E78="n/a",0,'Reporting Worksheet'!E78)</f>
        <v>4</v>
      </c>
      <c r="D23" s="143">
        <v>6</v>
      </c>
      <c r="E23" s="144">
        <f t="shared" si="7"/>
        <v>7.6470588235294121</v>
      </c>
      <c r="F23" s="144">
        <f t="shared" si="5"/>
        <v>0.76470588235294124</v>
      </c>
      <c r="G23" s="144">
        <f t="shared" si="1"/>
        <v>3.0588235294117649</v>
      </c>
      <c r="H23" s="145">
        <f t="shared" si="2"/>
        <v>4.5882352941176467</v>
      </c>
      <c r="I23" s="146">
        <f t="array" aca="1" ref="I23" ca="1">SUM(1*(H23&lt;$H$4:$H$23))+1+IF(ROW(H23)-ROW($H$4)=0,0,SUM(1*(H23=OFFSET($H$4,0,0,INDEX(ROW(H23)-ROW($H$4)+1,1)-1,1))))</f>
        <v>2</v>
      </c>
      <c r="J23" s="236" t="s">
        <v>168</v>
      </c>
      <c r="K23" s="146">
        <f t="shared" si="6"/>
        <v>1</v>
      </c>
      <c r="L23" s="146">
        <f t="shared" si="3"/>
        <v>1</v>
      </c>
      <c r="M23" s="146">
        <f t="shared" si="4"/>
        <v>0</v>
      </c>
    </row>
    <row r="24" spans="2:13">
      <c r="D24" s="160">
        <f>SUM(D4:D23)</f>
        <v>86</v>
      </c>
      <c r="E24" s="47">
        <f>SUM(E4:E23)</f>
        <v>100</v>
      </c>
      <c r="F24" s="47">
        <f>SUM(F4:F23)</f>
        <v>10.000000000000002</v>
      </c>
      <c r="G24" s="354">
        <f>SUM(G4:G23)</f>
        <v>69.996319919740145</v>
      </c>
      <c r="M24" s="54">
        <f>SUM(M4:M23)</f>
        <v>0</v>
      </c>
    </row>
    <row r="25" spans="2:13">
      <c r="D25" s="47">
        <f>SUM(D10:D23)</f>
        <v>51</v>
      </c>
      <c r="J25" s="237"/>
      <c r="M25" s="53"/>
    </row>
    <row r="26" spans="2:13">
      <c r="D26" s="46">
        <f>D25/(100-D27)</f>
        <v>0.7846153846153846</v>
      </c>
    </row>
    <row r="27" spans="2:13">
      <c r="C27" s="220" t="s">
        <v>304</v>
      </c>
      <c r="D27" s="221">
        <v>35</v>
      </c>
      <c r="L27">
        <f>IF(SUM('Reporting Worksheet'!R26,'Reporting Worksheet'!R38)=2,2,IF(SUM('Reporting Worksheet'!R26,'Reporting Worksheet'!R38)=3,1,0))</f>
        <v>2</v>
      </c>
      <c r="M27" t="s">
        <v>145</v>
      </c>
    </row>
  </sheetData>
  <sheetProtection password="8B16" sheet="1" objects="1" scenarios="1"/>
  <phoneticPr fontId="23" type="noConversion"/>
  <conditionalFormatting sqref="B8:D8 B11:H23 B4:H4 D7 D9 B6:D6 B10:F10 G5:H10 E5:F9 C5:D5">
    <cfRule type="expression" dxfId="43" priority="4" stopIfTrue="1">
      <formula>$I4=1</formula>
    </cfRule>
    <cfRule type="expression" dxfId="42" priority="5" stopIfTrue="1">
      <formula>$I4=2</formula>
    </cfRule>
    <cfRule type="expression" dxfId="41" priority="6" stopIfTrue="1">
      <formula>$I4=3</formula>
    </cfRule>
  </conditionalFormatting>
  <conditionalFormatting sqref="I4:I23">
    <cfRule type="cellIs" dxfId="40" priority="7" stopIfTrue="1" operator="equal">
      <formula>1</formula>
    </cfRule>
    <cfRule type="cellIs" dxfId="39" priority="8" stopIfTrue="1" operator="equal">
      <formula>2</formula>
    </cfRule>
    <cfRule type="cellIs" dxfId="38" priority="9" stopIfTrue="1" operator="equal">
      <formula>3</formula>
    </cfRule>
  </conditionalFormatting>
  <conditionalFormatting sqref="C7">
    <cfRule type="expression" dxfId="37" priority="97" stopIfTrue="1">
      <formula>#REF!=1</formula>
    </cfRule>
    <cfRule type="expression" dxfId="36" priority="98" stopIfTrue="1">
      <formula>#REF!=2</formula>
    </cfRule>
    <cfRule type="expression" dxfId="35" priority="99" stopIfTrue="1">
      <formula>#REF!=3</formula>
    </cfRule>
  </conditionalFormatting>
  <conditionalFormatting sqref="C9">
    <cfRule type="expression" dxfId="34" priority="103" stopIfTrue="1">
      <formula>#REF!=1</formula>
    </cfRule>
    <cfRule type="expression" dxfId="33" priority="104" stopIfTrue="1">
      <formula>#REF!=2</formula>
    </cfRule>
    <cfRule type="expression" dxfId="32" priority="105" stopIfTrue="1">
      <formula>#REF!=3</formula>
    </cfRule>
  </conditionalFormatting>
  <conditionalFormatting sqref="B5">
    <cfRule type="expression" dxfId="31" priority="3" stopIfTrue="1">
      <formula>Q5=1</formula>
    </cfRule>
  </conditionalFormatting>
  <conditionalFormatting sqref="B7">
    <cfRule type="expression" dxfId="30" priority="2" stopIfTrue="1">
      <formula>Q7=1</formula>
    </cfRule>
  </conditionalFormatting>
  <conditionalFormatting sqref="B9">
    <cfRule type="expression" dxfId="29" priority="1" stopIfTrue="1">
      <formula>Q9=1</formula>
    </cfRule>
  </conditionalFormatting>
  <pageMargins left="0.75" right="0.75" top="1" bottom="1" header="0.5" footer="0.5"/>
  <pageSetup orientation="portrait" r:id="rId1"/>
  <headerFooter alignWithMargins="0"/>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3B1C5-862A-4E17-BEE7-9BD28A5A6EA0}">
  <sheetPr codeName="Sheet19">
    <tabColor theme="3" tint="0.79998168889431442"/>
    <pageSetUpPr fitToPage="1"/>
  </sheetPr>
  <dimension ref="A1:IU38"/>
  <sheetViews>
    <sheetView showGridLines="0" showRowColHeaders="0" zoomScaleNormal="100" workbookViewId="0">
      <selection activeCell="B2" sqref="B2:P2"/>
    </sheetView>
  </sheetViews>
  <sheetFormatPr defaultColWidth="0" defaultRowHeight="12.75" zeroHeight="1"/>
  <cols>
    <col min="1" max="1" width="1" style="76" customWidth="1"/>
    <col min="2" max="2" width="15.5703125" style="76" customWidth="1"/>
    <col min="3" max="3" width="16.28515625" style="76" customWidth="1"/>
    <col min="4" max="4" width="10.7109375" style="76" customWidth="1"/>
    <col min="5" max="5" width="12.5703125" style="76" customWidth="1"/>
    <col min="6" max="11" width="10.42578125" style="76" customWidth="1"/>
    <col min="12" max="12" width="8.28515625" style="76" customWidth="1"/>
    <col min="13" max="13" width="4.42578125" style="76" customWidth="1"/>
    <col min="14" max="14" width="18.42578125" style="76" customWidth="1"/>
    <col min="15" max="15" width="10.42578125" style="76" customWidth="1"/>
    <col min="16" max="16" width="8.85546875" style="76" customWidth="1"/>
    <col min="17" max="17" width="3.140625" style="76" customWidth="1"/>
    <col min="18" max="18" width="4.85546875" style="96" hidden="1" customWidth="1"/>
    <col min="19" max="19" width="17.28515625" style="96" hidden="1" customWidth="1"/>
    <col min="20" max="20" width="3" style="96" hidden="1" customWidth="1"/>
    <col min="21" max="21" width="15.85546875" style="96" hidden="1" customWidth="1"/>
    <col min="22" max="22" width="13.5703125" style="96" hidden="1" customWidth="1"/>
    <col min="23" max="23" width="14.5703125" style="96" hidden="1" customWidth="1"/>
    <col min="24" max="255" width="8.85546875" style="96" hidden="1" customWidth="1"/>
    <col min="256" max="16384" width="2.5703125" style="96" hidden="1"/>
  </cols>
  <sheetData>
    <row r="1" spans="1:19" ht="7.15" customHeight="1" thickBot="1"/>
    <row r="2" spans="1:19" s="97" customFormat="1" ht="42" customHeight="1" thickBot="1">
      <c r="A2" s="77"/>
      <c r="B2" s="756" t="s">
        <v>321</v>
      </c>
      <c r="C2" s="757"/>
      <c r="D2" s="757"/>
      <c r="E2" s="757"/>
      <c r="F2" s="757"/>
      <c r="G2" s="757"/>
      <c r="H2" s="757"/>
      <c r="I2" s="757"/>
      <c r="J2" s="757"/>
      <c r="K2" s="757"/>
      <c r="L2" s="757"/>
      <c r="M2" s="757"/>
      <c r="N2" s="757"/>
      <c r="O2" s="757"/>
      <c r="P2" s="758"/>
      <c r="Q2" s="77"/>
      <c r="R2" s="96"/>
    </row>
    <row r="3" spans="1:19" s="97" customFormat="1" ht="5.45" customHeight="1">
      <c r="A3" s="77"/>
      <c r="B3" s="77"/>
      <c r="C3" s="77"/>
      <c r="D3" s="77"/>
      <c r="E3" s="77"/>
      <c r="F3" s="77"/>
      <c r="G3" s="77"/>
      <c r="H3" s="77"/>
      <c r="I3" s="77"/>
      <c r="J3" s="77"/>
      <c r="K3" s="77"/>
      <c r="L3" s="77"/>
      <c r="M3" s="77"/>
      <c r="N3" s="77"/>
      <c r="O3" s="77"/>
      <c r="P3" s="77"/>
      <c r="Q3" s="77"/>
      <c r="R3" s="96"/>
    </row>
    <row r="4" spans="1:19" s="97" customFormat="1" ht="14.45" customHeight="1">
      <c r="A4" s="77"/>
      <c r="B4" s="77"/>
      <c r="C4" s="77"/>
      <c r="D4" s="77"/>
      <c r="E4" s="77"/>
      <c r="F4" s="224" t="s">
        <v>165</v>
      </c>
      <c r="G4" s="761" t="str">
        <f>IF(ISBLANK(Instructions!D18),"&lt;&lt; Please enter system details and contact information on the Instructions tab &gt;&gt;",Instructions!D18&amp;IF(ISBLANK(Instructions!D36),"","  ("&amp;Instructions!D36&amp;")"))</f>
        <v>Suez Water DE</v>
      </c>
      <c r="H4" s="762"/>
      <c r="I4" s="762"/>
      <c r="J4" s="763"/>
      <c r="K4" s="763"/>
      <c r="L4" s="763"/>
      <c r="M4" s="763"/>
      <c r="N4" s="764"/>
      <c r="O4" s="77"/>
      <c r="P4" s="77"/>
      <c r="Q4" s="77"/>
      <c r="R4" s="96"/>
    </row>
    <row r="5" spans="1:19" ht="16.899999999999999" customHeight="1">
      <c r="F5" s="224" t="s">
        <v>166</v>
      </c>
      <c r="G5" s="618">
        <f>IF(ISBLANK(Instructions!D26),"",Instructions!D26)</f>
        <v>2020</v>
      </c>
      <c r="H5" s="759" t="str">
        <f>IF(ISBLANK(Instructions!D26),"",IF(Instructions!E26="Calendar Year","1/"&amp;Instructions!D26&amp;" - "&amp;"12/"&amp;Instructions!D26,IF(OR(ISBLANK(Instructions!D28),ISBLANK(Instructions!D30)),"",MONTH(Instructions!D28)&amp;"/"&amp;YEAR(Instructions!D28)&amp;" - "&amp;MONTH(Instructions!D30)&amp;"/"&amp;YEAR(Instructions!D30))))</f>
        <v>1/2020 - 12/2020</v>
      </c>
      <c r="I5" s="760"/>
      <c r="J5" s="614"/>
      <c r="K5" s="614"/>
      <c r="L5" s="614"/>
      <c r="M5" s="614"/>
      <c r="N5" s="79" t="s">
        <v>350</v>
      </c>
    </row>
    <row r="6" spans="1:19" ht="16.899999999999999" customHeight="1">
      <c r="B6" s="79"/>
      <c r="F6" s="224" t="s">
        <v>678</v>
      </c>
      <c r="G6" s="618">
        <f>IF(ISBLANK(Instructions!$D$34),"N/A*",IF(GradingAssessment!M24&gt;0,"N/A*",ROUND(GradingAssessment!G24,0)))</f>
        <v>70</v>
      </c>
      <c r="H6" s="616" t="str">
        <f>IF(G6="N/A*","* Confirm Units and Data Grading are Complete","")</f>
        <v/>
      </c>
      <c r="I6" s="615"/>
      <c r="J6" s="615"/>
      <c r="K6" s="615"/>
      <c r="L6" s="615"/>
      <c r="M6" s="615"/>
      <c r="N6" s="79" t="s">
        <v>351</v>
      </c>
      <c r="S6" s="622">
        <v>1</v>
      </c>
    </row>
    <row r="7" spans="1:19" ht="13.15" customHeight="1"/>
    <row r="8" spans="1:19" ht="13.9" customHeight="1">
      <c r="B8" s="79"/>
    </row>
    <row r="9" spans="1:19" ht="13.9" customHeight="1">
      <c r="B9" s="79"/>
      <c r="C9" s="95"/>
    </row>
    <row r="10" spans="1:19" ht="13.9" customHeight="1">
      <c r="B10" s="79"/>
    </row>
    <row r="11" spans="1:19" ht="13.9" customHeight="1"/>
    <row r="12" spans="1:19" ht="13.9" customHeight="1"/>
    <row r="13" spans="1:19" ht="13.9" customHeight="1"/>
    <row r="14" spans="1:19" ht="13.9" customHeight="1">
      <c r="C14" s="95"/>
    </row>
    <row r="15" spans="1:19" ht="13.9" customHeight="1">
      <c r="C15" s="95"/>
    </row>
    <row r="16" spans="1:19" ht="13.9" customHeight="1"/>
    <row r="17" spans="3:3" ht="13.9" customHeight="1"/>
    <row r="18" spans="3:3" ht="13.9" customHeight="1"/>
    <row r="19" spans="3:3" ht="13.9" customHeight="1">
      <c r="C19" s="95"/>
    </row>
    <row r="20" spans="3:3" ht="13.9" customHeight="1">
      <c r="C20" s="95"/>
    </row>
    <row r="21" spans="3:3" ht="13.9" customHeight="1">
      <c r="C21" s="95"/>
    </row>
    <row r="22" spans="3:3" ht="13.9" customHeight="1"/>
    <row r="23" spans="3:3" ht="13.9" customHeight="1"/>
    <row r="24" spans="3:3" ht="13.9" customHeight="1"/>
    <row r="25" spans="3:3" ht="13.9" customHeight="1"/>
    <row r="26" spans="3:3" ht="13.9" customHeight="1"/>
    <row r="27" spans="3:3" ht="13.9" customHeight="1"/>
    <row r="28" spans="3:3" ht="13.9" customHeight="1"/>
    <row r="29" spans="3:3" ht="13.9" customHeight="1"/>
    <row r="30" spans="3:3" ht="13.9" customHeight="1"/>
    <row r="31" spans="3:3" ht="13.9" customHeight="1"/>
    <row r="32" spans="3:3" ht="13.9" customHeight="1"/>
    <row r="33" ht="13.9" customHeight="1"/>
    <row r="34" ht="13.9" customHeight="1"/>
    <row r="35" ht="13.9" customHeight="1"/>
    <row r="36" ht="13.9" customHeight="1"/>
    <row r="37" ht="9" customHeight="1"/>
    <row r="38" ht="6.6" customHeight="1"/>
  </sheetData>
  <sheetProtection password="8B16" sheet="1" objects="1" scenarios="1"/>
  <mergeCells count="3">
    <mergeCell ref="B2:P2"/>
    <mergeCell ref="H5:I5"/>
    <mergeCell ref="G4:N4"/>
  </mergeCells>
  <conditionalFormatting sqref="N6">
    <cfRule type="expression" dxfId="28" priority="132" stopIfTrue="1">
      <formula>$S$6=1</formula>
    </cfRule>
  </conditionalFormatting>
  <conditionalFormatting sqref="N5">
    <cfRule type="expression" dxfId="27" priority="133" stopIfTrue="1">
      <formula>$S$6=2</formula>
    </cfRule>
  </conditionalFormatting>
  <printOptions horizontalCentered="1" verticalCentered="1"/>
  <pageMargins left="0.25" right="0.25" top="0.75" bottom="0.75" header="0.3" footer="0.3"/>
  <pageSetup scale="79" orientation="landscape" horizontalDpi="1200" verticalDpi="1200" r:id="rId1"/>
  <headerFooter>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9486" r:id="rId4" name="Option Button 94">
              <controlPr defaultSize="0" autoFill="0" autoLine="0" autoPict="0">
                <anchor moveWithCells="1">
                  <from>
                    <xdr:col>12</xdr:col>
                    <xdr:colOff>85725</xdr:colOff>
                    <xdr:row>4</xdr:row>
                    <xdr:rowOff>9525</xdr:rowOff>
                  </from>
                  <to>
                    <xdr:col>12</xdr:col>
                    <xdr:colOff>285750</xdr:colOff>
                    <xdr:row>5</xdr:row>
                    <xdr:rowOff>38100</xdr:rowOff>
                  </to>
                </anchor>
              </controlPr>
            </control>
          </mc:Choice>
        </mc:AlternateContent>
        <mc:AlternateContent xmlns:mc="http://schemas.openxmlformats.org/markup-compatibility/2006">
          <mc:Choice Requires="x14">
            <control shapeId="1339487" r:id="rId5" name="Option Button 95">
              <controlPr defaultSize="0" autoFill="0" autoLine="0" autoPict="0">
                <anchor moveWithCells="1">
                  <from>
                    <xdr:col>12</xdr:col>
                    <xdr:colOff>85725</xdr:colOff>
                    <xdr:row>5</xdr:row>
                    <xdr:rowOff>9525</xdr:rowOff>
                  </from>
                  <to>
                    <xdr:col>12</xdr:col>
                    <xdr:colOff>285750</xdr:colOff>
                    <xdr:row>6</xdr:row>
                    <xdr:rowOff>19050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38A0B-C1D8-4312-8C14-170C33DA671B}">
  <sheetPr codeName="Sheet8">
    <tabColor theme="3" tint="0.79998168889431442"/>
    <pageSetUpPr fitToPage="1"/>
  </sheetPr>
  <dimension ref="A1:U171"/>
  <sheetViews>
    <sheetView showGridLines="0" showRowColHeaders="0" zoomScaleNormal="100" zoomScaleSheetLayoutView="100" workbookViewId="0">
      <pane xSplit="3" ySplit="7" topLeftCell="D8" activePane="bottomRight" state="frozen"/>
      <selection pane="topRight" activeCell="D1" sqref="D1"/>
      <selection pane="bottomLeft" activeCell="A8" sqref="A8"/>
      <selection pane="bottomRight"/>
    </sheetView>
  </sheetViews>
  <sheetFormatPr defaultColWidth="0" defaultRowHeight="0" customHeight="1" zeroHeight="1"/>
  <cols>
    <col min="1" max="2" width="0.7109375" style="412" customWidth="1"/>
    <col min="3" max="3" width="20.42578125" style="64" customWidth="1"/>
    <col min="4" max="4" width="17.42578125" style="64" customWidth="1"/>
    <col min="5" max="5" width="23.7109375" style="64" customWidth="1"/>
    <col min="6" max="6" width="24.140625" style="64" customWidth="1"/>
    <col min="7" max="7" width="13.7109375" style="64" customWidth="1"/>
    <col min="8" max="8" width="24.28515625" style="64" customWidth="1"/>
    <col min="9" max="9" width="14.7109375" style="64" customWidth="1"/>
    <col min="10" max="10" width="25.28515625" style="64" customWidth="1"/>
    <col min="11" max="11" width="13.5703125" style="64" customWidth="1"/>
    <col min="12" max="12" width="25" style="64" customWidth="1"/>
    <col min="13" max="13" width="15.28515625" style="64" customWidth="1"/>
    <col min="14" max="14" width="26" style="64" customWidth="1"/>
    <col min="15" max="15" width="0.85546875" style="64" customWidth="1"/>
    <col min="16" max="16" width="1.140625" style="70" customWidth="1"/>
    <col min="17" max="17" width="5.85546875" style="373" hidden="1" customWidth="1"/>
    <col min="18" max="18" width="34.7109375" style="373" hidden="1" customWidth="1"/>
    <col min="19" max="16384" width="0" style="373" hidden="1"/>
  </cols>
  <sheetData>
    <row r="1" spans="1:21" ht="4.9000000000000004" customHeight="1" thickBot="1">
      <c r="A1" s="284"/>
      <c r="B1" s="284"/>
      <c r="C1" s="283"/>
      <c r="D1" s="283"/>
      <c r="E1" s="283"/>
      <c r="F1" s="283"/>
      <c r="G1" s="283"/>
      <c r="H1" s="283"/>
      <c r="I1" s="283"/>
      <c r="J1" s="283"/>
      <c r="K1" s="283"/>
      <c r="L1" s="283"/>
      <c r="M1" s="283"/>
      <c r="N1" s="283"/>
      <c r="O1" s="283"/>
      <c r="P1" s="283"/>
    </row>
    <row r="2" spans="1:21" ht="22.9" customHeight="1" thickTop="1">
      <c r="A2" s="284"/>
      <c r="B2" s="460"/>
      <c r="C2" s="768" t="s">
        <v>664</v>
      </c>
      <c r="D2" s="769"/>
      <c r="E2" s="769"/>
      <c r="F2" s="769"/>
      <c r="G2" s="769"/>
      <c r="H2" s="769"/>
      <c r="I2" s="769"/>
      <c r="J2" s="769"/>
      <c r="K2" s="769"/>
      <c r="L2" s="769"/>
      <c r="M2" s="769"/>
      <c r="N2" s="769"/>
      <c r="O2" s="458"/>
      <c r="P2" s="456"/>
      <c r="R2" s="442" t="str">
        <f ca="1">VLOOKUP(1,GradingAssessment!$I$4:$J$23,2,FALSE)&amp;":"</f>
        <v>Volume from own sources:</v>
      </c>
    </row>
    <row r="3" spans="1:21" ht="6" customHeight="1" thickBot="1">
      <c r="A3" s="284"/>
      <c r="B3" s="461"/>
      <c r="C3" s="770"/>
      <c r="D3" s="744"/>
      <c r="E3" s="744"/>
      <c r="F3" s="744"/>
      <c r="G3" s="744"/>
      <c r="H3" s="744"/>
      <c r="I3" s="744"/>
      <c r="J3" s="744"/>
      <c r="K3" s="744"/>
      <c r="L3" s="744"/>
      <c r="M3" s="744"/>
      <c r="N3" s="744"/>
      <c r="O3" s="269"/>
      <c r="P3" s="282"/>
    </row>
    <row r="4" spans="1:21" ht="12.75">
      <c r="A4" s="284"/>
      <c r="B4" s="461"/>
      <c r="C4" s="771" t="s">
        <v>649</v>
      </c>
      <c r="D4" s="771"/>
      <c r="E4" s="771"/>
      <c r="F4" s="771"/>
      <c r="G4" s="771"/>
      <c r="H4" s="771"/>
      <c r="I4" s="771"/>
      <c r="J4" s="771"/>
      <c r="K4" s="771"/>
      <c r="L4" s="771"/>
      <c r="M4" s="771"/>
      <c r="N4" s="771"/>
      <c r="O4" s="269"/>
      <c r="P4" s="282"/>
      <c r="R4" s="443" t="str">
        <f ca="1">VLOOKUP(2,GradingAssessment!$I$4:$J$23,2,FALSE)&amp;":"</f>
        <v>Variable production cost (applied to Real Losses):</v>
      </c>
    </row>
    <row r="5" spans="1:21" ht="3.75" customHeight="1" thickBot="1">
      <c r="A5" s="284"/>
      <c r="B5" s="461"/>
      <c r="C5" s="772"/>
      <c r="D5" s="772"/>
      <c r="E5" s="772"/>
      <c r="F5" s="772"/>
      <c r="G5" s="772"/>
      <c r="H5" s="772"/>
      <c r="I5" s="772"/>
      <c r="J5" s="772"/>
      <c r="K5" s="772"/>
      <c r="L5" s="772"/>
      <c r="M5" s="772"/>
      <c r="N5" s="772"/>
      <c r="O5" s="269"/>
      <c r="P5" s="282"/>
    </row>
    <row r="6" spans="1:21" ht="3.6" customHeight="1" thickTop="1" thickBot="1">
      <c r="A6" s="284"/>
      <c r="B6" s="461"/>
      <c r="C6" s="773"/>
      <c r="D6" s="774"/>
      <c r="E6" s="774"/>
      <c r="F6" s="774"/>
      <c r="G6" s="774"/>
      <c r="H6" s="774"/>
      <c r="I6" s="774"/>
      <c r="J6" s="774"/>
      <c r="K6" s="774"/>
      <c r="L6" s="774"/>
      <c r="M6" s="774"/>
      <c r="N6" s="775"/>
      <c r="O6" s="269"/>
      <c r="P6" s="282"/>
      <c r="R6" s="73"/>
    </row>
    <row r="7" spans="1:21" ht="15" customHeight="1" thickBot="1">
      <c r="A7" s="284"/>
      <c r="B7" s="461"/>
      <c r="C7" s="413" t="s">
        <v>646</v>
      </c>
      <c r="D7" s="68" t="s">
        <v>66</v>
      </c>
      <c r="E7" s="69">
        <v>1</v>
      </c>
      <c r="F7" s="69">
        <v>2</v>
      </c>
      <c r="G7" s="69">
        <v>3</v>
      </c>
      <c r="H7" s="69">
        <v>4</v>
      </c>
      <c r="I7" s="69">
        <v>5</v>
      </c>
      <c r="J7" s="69">
        <v>6</v>
      </c>
      <c r="K7" s="69">
        <v>7</v>
      </c>
      <c r="L7" s="69">
        <v>8</v>
      </c>
      <c r="M7" s="69">
        <v>9</v>
      </c>
      <c r="N7" s="69">
        <v>10</v>
      </c>
      <c r="O7" s="269"/>
      <c r="P7" s="282"/>
      <c r="R7" s="444" t="str">
        <f ca="1">VLOOKUP(3,GradingAssessment!$I$4:$J$23,2,FALSE)&amp;":"</f>
        <v>Customer metering inaccuracies:</v>
      </c>
    </row>
    <row r="8" spans="1:21" ht="18" customHeight="1">
      <c r="A8" s="284"/>
      <c r="B8" s="461"/>
      <c r="C8" s="513"/>
      <c r="D8" s="778" t="s">
        <v>246</v>
      </c>
      <c r="E8" s="778"/>
      <c r="F8" s="778"/>
      <c r="G8" s="778"/>
      <c r="H8" s="778"/>
      <c r="I8" s="778"/>
      <c r="J8" s="778"/>
      <c r="K8" s="778"/>
      <c r="L8" s="778"/>
      <c r="M8" s="778"/>
      <c r="N8" s="779"/>
      <c r="O8" s="269"/>
      <c r="P8" s="282"/>
    </row>
    <row r="9" spans="1:21" s="414" customFormat="1" ht="110.45" customHeight="1">
      <c r="A9" s="455"/>
      <c r="B9" s="462"/>
      <c r="C9" s="426" t="s">
        <v>131</v>
      </c>
      <c r="D9" s="427" t="s">
        <v>224</v>
      </c>
      <c r="E9" s="427" t="s">
        <v>668</v>
      </c>
      <c r="F9" s="428" t="s">
        <v>667</v>
      </c>
      <c r="G9" s="429" t="s">
        <v>171</v>
      </c>
      <c r="H9" s="428" t="s">
        <v>666</v>
      </c>
      <c r="I9" s="429" t="s">
        <v>172</v>
      </c>
      <c r="J9" s="428" t="s">
        <v>460</v>
      </c>
      <c r="K9" s="429" t="s">
        <v>173</v>
      </c>
      <c r="L9" s="428" t="s">
        <v>461</v>
      </c>
      <c r="M9" s="429" t="s">
        <v>174</v>
      </c>
      <c r="N9" s="430" t="s">
        <v>676</v>
      </c>
      <c r="O9" s="270"/>
      <c r="P9" s="457"/>
      <c r="Q9" s="445">
        <f>'Reporting Worksheet'!E15</f>
        <v>7</v>
      </c>
      <c r="R9" s="414">
        <f ca="1">IF(OR(C9=$R$2,C9=$R$4,C9=$R$7),1,0)</f>
        <v>1</v>
      </c>
      <c r="U9" s="447"/>
    </row>
    <row r="10" spans="1:21" s="414" customFormat="1" ht="94.9" customHeight="1" thickBot="1">
      <c r="A10" s="455"/>
      <c r="B10" s="462"/>
      <c r="C10" s="435" t="s">
        <v>225</v>
      </c>
      <c r="D10" s="436"/>
      <c r="E10" s="437" t="s">
        <v>462</v>
      </c>
      <c r="F10" s="765" t="s">
        <v>463</v>
      </c>
      <c r="G10" s="767"/>
      <c r="H10" s="765" t="s">
        <v>464</v>
      </c>
      <c r="I10" s="776"/>
      <c r="J10" s="765" t="s">
        <v>465</v>
      </c>
      <c r="K10" s="766"/>
      <c r="L10" s="765" t="s">
        <v>466</v>
      </c>
      <c r="M10" s="766"/>
      <c r="N10" s="438" t="s">
        <v>467</v>
      </c>
      <c r="O10" s="270"/>
      <c r="P10" s="457"/>
      <c r="Q10" s="445">
        <f>Q9</f>
        <v>7</v>
      </c>
    </row>
    <row r="11" spans="1:21" s="414" customFormat="1" ht="162" customHeight="1">
      <c r="A11" s="455"/>
      <c r="B11" s="462"/>
      <c r="C11" s="426" t="s">
        <v>744</v>
      </c>
      <c r="D11" s="427" t="s">
        <v>468</v>
      </c>
      <c r="E11" s="427" t="s">
        <v>469</v>
      </c>
      <c r="F11" s="428" t="s">
        <v>470</v>
      </c>
      <c r="G11" s="429" t="s">
        <v>171</v>
      </c>
      <c r="H11" s="428" t="s">
        <v>471</v>
      </c>
      <c r="I11" s="429" t="s">
        <v>172</v>
      </c>
      <c r="J11" s="428" t="s">
        <v>680</v>
      </c>
      <c r="K11" s="429" t="s">
        <v>173</v>
      </c>
      <c r="L11" s="428" t="s">
        <v>472</v>
      </c>
      <c r="M11" s="429" t="s">
        <v>174</v>
      </c>
      <c r="N11" s="430" t="s">
        <v>473</v>
      </c>
      <c r="O11" s="270"/>
      <c r="P11" s="457"/>
      <c r="Q11" s="445">
        <f>'Reporting Worksheet'!J15</f>
        <v>0</v>
      </c>
      <c r="R11" s="414">
        <f ca="1">IF(OR(C11=$R$2,C11=$R$4,C11=$R$7),1,0)</f>
        <v>0</v>
      </c>
    </row>
    <row r="12" spans="1:21" s="414" customFormat="1" ht="166.15" customHeight="1" thickBot="1">
      <c r="A12" s="455"/>
      <c r="B12" s="462"/>
      <c r="C12" s="435" t="s">
        <v>745</v>
      </c>
      <c r="D12" s="436"/>
      <c r="E12" s="437" t="s">
        <v>474</v>
      </c>
      <c r="F12" s="765" t="s">
        <v>475</v>
      </c>
      <c r="G12" s="767"/>
      <c r="H12" s="765" t="s">
        <v>476</v>
      </c>
      <c r="I12" s="776"/>
      <c r="J12" s="765" t="s">
        <v>477</v>
      </c>
      <c r="K12" s="766"/>
      <c r="L12" s="765" t="s">
        <v>478</v>
      </c>
      <c r="M12" s="766"/>
      <c r="N12" s="438" t="s">
        <v>681</v>
      </c>
      <c r="O12" s="270"/>
      <c r="P12" s="457"/>
      <c r="Q12" s="445">
        <f>Q11</f>
        <v>0</v>
      </c>
    </row>
    <row r="13" spans="1:21" s="414" customFormat="1" ht="103.9" customHeight="1">
      <c r="A13" s="455"/>
      <c r="B13" s="462"/>
      <c r="C13" s="426" t="s">
        <v>92</v>
      </c>
      <c r="D13" s="427" t="s">
        <v>57</v>
      </c>
      <c r="E13" s="427" t="s">
        <v>58</v>
      </c>
      <c r="F13" s="428" t="s">
        <v>59</v>
      </c>
      <c r="G13" s="429" t="s">
        <v>171</v>
      </c>
      <c r="H13" s="428" t="s">
        <v>479</v>
      </c>
      <c r="I13" s="429" t="s">
        <v>172</v>
      </c>
      <c r="J13" s="428" t="s">
        <v>480</v>
      </c>
      <c r="K13" s="429" t="s">
        <v>173</v>
      </c>
      <c r="L13" s="428" t="s">
        <v>481</v>
      </c>
      <c r="M13" s="429" t="s">
        <v>174</v>
      </c>
      <c r="N13" s="430" t="s">
        <v>482</v>
      </c>
      <c r="O13" s="270"/>
      <c r="P13" s="457"/>
      <c r="Q13" s="445">
        <f>'Reporting Worksheet'!E16</f>
        <v>9</v>
      </c>
      <c r="R13" s="414">
        <f ca="1">IF(OR(C13=$R$2,C13=$R$4,C13=$R$7),1,0)</f>
        <v>0</v>
      </c>
    </row>
    <row r="14" spans="1:21" s="414" customFormat="1" ht="222.6" customHeight="1" thickBot="1">
      <c r="A14" s="455"/>
      <c r="B14" s="462"/>
      <c r="C14" s="435" t="s">
        <v>682</v>
      </c>
      <c r="D14" s="436"/>
      <c r="E14" s="437" t="s">
        <v>483</v>
      </c>
      <c r="F14" s="765" t="s">
        <v>484</v>
      </c>
      <c r="G14" s="767"/>
      <c r="H14" s="765" t="s">
        <v>485</v>
      </c>
      <c r="I14" s="776"/>
      <c r="J14" s="765" t="s">
        <v>486</v>
      </c>
      <c r="K14" s="766"/>
      <c r="L14" s="765" t="s">
        <v>487</v>
      </c>
      <c r="M14" s="766"/>
      <c r="N14" s="438" t="s">
        <v>488</v>
      </c>
      <c r="O14" s="270"/>
      <c r="P14" s="457"/>
      <c r="Q14" s="445">
        <f>Q13</f>
        <v>9</v>
      </c>
    </row>
    <row r="15" spans="1:21" s="414" customFormat="1" ht="182.45" customHeight="1">
      <c r="A15" s="455"/>
      <c r="B15" s="462"/>
      <c r="C15" s="426" t="s">
        <v>750</v>
      </c>
      <c r="D15" s="427" t="s">
        <v>683</v>
      </c>
      <c r="E15" s="427" t="s">
        <v>684</v>
      </c>
      <c r="F15" s="428" t="s">
        <v>490</v>
      </c>
      <c r="G15" s="429" t="s">
        <v>171</v>
      </c>
      <c r="H15" s="428" t="s">
        <v>685</v>
      </c>
      <c r="I15" s="429" t="s">
        <v>172</v>
      </c>
      <c r="J15" s="428" t="s">
        <v>686</v>
      </c>
      <c r="K15" s="429" t="s">
        <v>173</v>
      </c>
      <c r="L15" s="428" t="s">
        <v>757</v>
      </c>
      <c r="M15" s="429" t="s">
        <v>174</v>
      </c>
      <c r="N15" s="430" t="s">
        <v>687</v>
      </c>
      <c r="O15" s="270"/>
      <c r="P15" s="457"/>
      <c r="Q15" s="445">
        <f>'Reporting Worksheet'!J16</f>
        <v>0</v>
      </c>
      <c r="R15" s="414">
        <f ca="1">IF(OR(C15=$R$2,C15=$R$4,C15=$R$7),1,0)</f>
        <v>0</v>
      </c>
    </row>
    <row r="16" spans="1:21" s="414" customFormat="1" ht="175.9" customHeight="1" thickBot="1">
      <c r="A16" s="455"/>
      <c r="B16" s="462"/>
      <c r="C16" s="435" t="s">
        <v>752</v>
      </c>
      <c r="D16" s="436"/>
      <c r="E16" s="437" t="s">
        <v>688</v>
      </c>
      <c r="F16" s="765" t="s">
        <v>689</v>
      </c>
      <c r="G16" s="767"/>
      <c r="H16" s="765" t="s">
        <v>491</v>
      </c>
      <c r="I16" s="776"/>
      <c r="J16" s="765" t="s">
        <v>492</v>
      </c>
      <c r="K16" s="766"/>
      <c r="L16" s="765" t="s">
        <v>690</v>
      </c>
      <c r="M16" s="766"/>
      <c r="N16" s="438" t="s">
        <v>691</v>
      </c>
      <c r="O16" s="270"/>
      <c r="P16" s="457"/>
      <c r="Q16" s="445">
        <f>Q15</f>
        <v>0</v>
      </c>
    </row>
    <row r="17" spans="1:19" s="414" customFormat="1" ht="96" customHeight="1">
      <c r="A17" s="455"/>
      <c r="B17" s="462"/>
      <c r="C17" s="426" t="s">
        <v>93</v>
      </c>
      <c r="D17" s="427" t="s">
        <v>60</v>
      </c>
      <c r="E17" s="427" t="s">
        <v>61</v>
      </c>
      <c r="F17" s="428" t="s">
        <v>223</v>
      </c>
      <c r="G17" s="429" t="s">
        <v>171</v>
      </c>
      <c r="H17" s="428" t="s">
        <v>493</v>
      </c>
      <c r="I17" s="429" t="s">
        <v>172</v>
      </c>
      <c r="J17" s="428" t="s">
        <v>272</v>
      </c>
      <c r="K17" s="429" t="s">
        <v>173</v>
      </c>
      <c r="L17" s="428" t="s">
        <v>494</v>
      </c>
      <c r="M17" s="429" t="s">
        <v>174</v>
      </c>
      <c r="N17" s="430" t="s">
        <v>495</v>
      </c>
      <c r="O17" s="270"/>
      <c r="P17" s="457"/>
      <c r="Q17" s="445">
        <f>'Reporting Worksheet'!E17</f>
        <v>2</v>
      </c>
      <c r="R17" s="414">
        <f ca="1">IF(OR(C17=$R$2,C17=$R$4,C17=$R$7),1,0)</f>
        <v>0</v>
      </c>
    </row>
    <row r="18" spans="1:19" s="414" customFormat="1" ht="233.45" customHeight="1" thickBot="1">
      <c r="A18" s="455"/>
      <c r="B18" s="462"/>
      <c r="C18" s="435" t="s">
        <v>692</v>
      </c>
      <c r="D18" s="436"/>
      <c r="E18" s="437" t="s">
        <v>496</v>
      </c>
      <c r="F18" s="765" t="s">
        <v>497</v>
      </c>
      <c r="G18" s="767"/>
      <c r="H18" s="765" t="s">
        <v>498</v>
      </c>
      <c r="I18" s="776"/>
      <c r="J18" s="765" t="s">
        <v>499</v>
      </c>
      <c r="K18" s="766"/>
      <c r="L18" s="765" t="s">
        <v>693</v>
      </c>
      <c r="M18" s="766"/>
      <c r="N18" s="438" t="s">
        <v>467</v>
      </c>
      <c r="O18" s="270"/>
      <c r="P18" s="457"/>
      <c r="Q18" s="445">
        <f>Q17</f>
        <v>2</v>
      </c>
    </row>
    <row r="19" spans="1:19" s="414" customFormat="1" ht="189" customHeight="1">
      <c r="A19" s="455"/>
      <c r="B19" s="462"/>
      <c r="C19" s="426" t="s">
        <v>751</v>
      </c>
      <c r="D19" s="427" t="s">
        <v>501</v>
      </c>
      <c r="E19" s="427" t="s">
        <v>502</v>
      </c>
      <c r="F19" s="428" t="s">
        <v>503</v>
      </c>
      <c r="G19" s="429" t="s">
        <v>171</v>
      </c>
      <c r="H19" s="428" t="s">
        <v>504</v>
      </c>
      <c r="I19" s="429" t="s">
        <v>172</v>
      </c>
      <c r="J19" s="428" t="s">
        <v>505</v>
      </c>
      <c r="K19" s="429" t="s">
        <v>173</v>
      </c>
      <c r="L19" s="428" t="s">
        <v>694</v>
      </c>
      <c r="M19" s="429" t="s">
        <v>174</v>
      </c>
      <c r="N19" s="430" t="s">
        <v>695</v>
      </c>
      <c r="O19" s="270"/>
      <c r="P19" s="457"/>
      <c r="Q19" s="445">
        <f>'Reporting Worksheet'!J17</f>
        <v>0</v>
      </c>
      <c r="R19" s="414">
        <f ca="1">IF(OR(C19=$R$2,C19=$R$4,C19=$R$7),1,0)</f>
        <v>0</v>
      </c>
    </row>
    <row r="20" spans="1:19" s="414" customFormat="1" ht="184.9" customHeight="1" thickBot="1">
      <c r="A20" s="455"/>
      <c r="B20" s="462"/>
      <c r="C20" s="435" t="s">
        <v>749</v>
      </c>
      <c r="D20" s="436"/>
      <c r="E20" s="437" t="s">
        <v>506</v>
      </c>
      <c r="F20" s="765" t="s">
        <v>507</v>
      </c>
      <c r="G20" s="767"/>
      <c r="H20" s="765" t="s">
        <v>508</v>
      </c>
      <c r="I20" s="776"/>
      <c r="J20" s="765" t="s">
        <v>509</v>
      </c>
      <c r="K20" s="766"/>
      <c r="L20" s="765" t="s">
        <v>510</v>
      </c>
      <c r="M20" s="766"/>
      <c r="N20" s="438" t="s">
        <v>511</v>
      </c>
      <c r="O20" s="270"/>
      <c r="P20" s="457"/>
      <c r="Q20" s="445">
        <f>Q19</f>
        <v>0</v>
      </c>
    </row>
    <row r="21" spans="1:19" s="414" customFormat="1" ht="22.5" customHeight="1">
      <c r="A21" s="455"/>
      <c r="B21" s="462"/>
      <c r="C21" s="777" t="s">
        <v>247</v>
      </c>
      <c r="D21" s="778"/>
      <c r="E21" s="778"/>
      <c r="F21" s="778"/>
      <c r="G21" s="778"/>
      <c r="H21" s="778"/>
      <c r="I21" s="778"/>
      <c r="J21" s="778"/>
      <c r="K21" s="778"/>
      <c r="L21" s="778"/>
      <c r="M21" s="778"/>
      <c r="N21" s="779"/>
      <c r="O21" s="270"/>
      <c r="P21" s="457"/>
    </row>
    <row r="22" spans="1:19" s="414" customFormat="1" ht="231" customHeight="1">
      <c r="A22" s="455"/>
      <c r="B22" s="462"/>
      <c r="C22" s="426" t="s">
        <v>132</v>
      </c>
      <c r="D22" s="427" t="s">
        <v>260</v>
      </c>
      <c r="E22" s="427" t="s">
        <v>512</v>
      </c>
      <c r="F22" s="428" t="s">
        <v>513</v>
      </c>
      <c r="G22" s="429" t="s">
        <v>171</v>
      </c>
      <c r="H22" s="428" t="s">
        <v>514</v>
      </c>
      <c r="I22" s="429" t="s">
        <v>172</v>
      </c>
      <c r="J22" s="428" t="s">
        <v>515</v>
      </c>
      <c r="K22" s="429" t="s">
        <v>173</v>
      </c>
      <c r="L22" s="428" t="s">
        <v>741</v>
      </c>
      <c r="M22" s="429" t="s">
        <v>174</v>
      </c>
      <c r="N22" s="430" t="s">
        <v>675</v>
      </c>
      <c r="O22" s="270"/>
      <c r="P22" s="457"/>
      <c r="Q22" s="445">
        <f>'Reporting Worksheet'!E23</f>
        <v>9</v>
      </c>
      <c r="R22" s="414">
        <f ca="1">IF(OR(C22=$R$2,C22=$R$4,C22=$R$7),1,0)</f>
        <v>0</v>
      </c>
    </row>
    <row r="23" spans="1:19" s="414" customFormat="1" ht="217.15" customHeight="1" thickBot="1">
      <c r="A23" s="455"/>
      <c r="B23" s="462"/>
      <c r="C23" s="435" t="s">
        <v>261</v>
      </c>
      <c r="D23" s="439" t="s">
        <v>262</v>
      </c>
      <c r="E23" s="437" t="s">
        <v>516</v>
      </c>
      <c r="F23" s="765" t="s">
        <v>517</v>
      </c>
      <c r="G23" s="767"/>
      <c r="H23" s="765" t="s">
        <v>518</v>
      </c>
      <c r="I23" s="776"/>
      <c r="J23" s="765" t="s">
        <v>519</v>
      </c>
      <c r="K23" s="766"/>
      <c r="L23" s="765" t="s">
        <v>520</v>
      </c>
      <c r="M23" s="766"/>
      <c r="N23" s="438" t="s">
        <v>521</v>
      </c>
      <c r="O23" s="270"/>
      <c r="P23" s="457"/>
      <c r="Q23" s="445">
        <f>Q22</f>
        <v>9</v>
      </c>
    </row>
    <row r="24" spans="1:19" s="414" customFormat="1" ht="214.9" customHeight="1">
      <c r="A24" s="455"/>
      <c r="B24" s="462"/>
      <c r="C24" s="426" t="s">
        <v>133</v>
      </c>
      <c r="D24" s="427" t="s">
        <v>522</v>
      </c>
      <c r="E24" s="427" t="s">
        <v>523</v>
      </c>
      <c r="F24" s="428" t="s">
        <v>524</v>
      </c>
      <c r="G24" s="429" t="s">
        <v>171</v>
      </c>
      <c r="H24" s="428" t="s">
        <v>696</v>
      </c>
      <c r="I24" s="429" t="s">
        <v>172</v>
      </c>
      <c r="J24" s="428" t="s">
        <v>525</v>
      </c>
      <c r="K24" s="429" t="s">
        <v>173</v>
      </c>
      <c r="L24" s="428" t="s">
        <v>526</v>
      </c>
      <c r="M24" s="429" t="s">
        <v>174</v>
      </c>
      <c r="N24" s="430" t="s">
        <v>527</v>
      </c>
      <c r="O24" s="270"/>
      <c r="P24" s="457"/>
      <c r="Q24" s="445" t="str">
        <f>'Reporting Worksheet'!E24</f>
        <v>n/a</v>
      </c>
      <c r="R24" s="414">
        <f ca="1">IF(OR(C24=$R$2,C24=$R$4,C24=$R$7),1,0)</f>
        <v>0</v>
      </c>
      <c r="S24" s="446"/>
    </row>
    <row r="25" spans="1:19" s="414" customFormat="1" ht="170.45" customHeight="1" thickBot="1">
      <c r="A25" s="455"/>
      <c r="B25" s="462"/>
      <c r="C25" s="435" t="s">
        <v>263</v>
      </c>
      <c r="D25" s="436"/>
      <c r="E25" s="437" t="s">
        <v>528</v>
      </c>
      <c r="F25" s="765" t="s">
        <v>529</v>
      </c>
      <c r="G25" s="766"/>
      <c r="H25" s="765" t="s">
        <v>530</v>
      </c>
      <c r="I25" s="766"/>
      <c r="J25" s="765" t="s">
        <v>531</v>
      </c>
      <c r="K25" s="766"/>
      <c r="L25" s="765" t="s">
        <v>532</v>
      </c>
      <c r="M25" s="766"/>
      <c r="N25" s="438" t="s">
        <v>533</v>
      </c>
      <c r="O25" s="270"/>
      <c r="P25" s="457"/>
      <c r="Q25" s="445" t="str">
        <f>Q24</f>
        <v>n/a</v>
      </c>
    </row>
    <row r="26" spans="1:19" s="414" customFormat="1" ht="201.6" customHeight="1">
      <c r="A26" s="455"/>
      <c r="B26" s="462"/>
      <c r="C26" s="426" t="s">
        <v>134</v>
      </c>
      <c r="D26" s="427" t="s">
        <v>124</v>
      </c>
      <c r="E26" s="427" t="s">
        <v>179</v>
      </c>
      <c r="F26" s="428" t="s">
        <v>180</v>
      </c>
      <c r="G26" s="429" t="s">
        <v>171</v>
      </c>
      <c r="H26" s="428" t="s">
        <v>32</v>
      </c>
      <c r="I26" s="429" t="s">
        <v>172</v>
      </c>
      <c r="J26" s="428" t="s">
        <v>221</v>
      </c>
      <c r="K26" s="429" t="s">
        <v>173</v>
      </c>
      <c r="L26" s="428" t="s">
        <v>222</v>
      </c>
      <c r="M26" s="429" t="s">
        <v>174</v>
      </c>
      <c r="N26" s="430" t="s">
        <v>158</v>
      </c>
      <c r="O26" s="270"/>
      <c r="P26" s="457"/>
      <c r="Q26" s="445">
        <f>'Reporting Worksheet'!E25</f>
        <v>8</v>
      </c>
      <c r="R26" s="414">
        <f ca="1">IF(OR(C26=$R$2,C26=$R$4,C26=$R$7),1,0)</f>
        <v>0</v>
      </c>
    </row>
    <row r="27" spans="1:19" s="414" customFormat="1" ht="144.6" customHeight="1" thickBot="1">
      <c r="A27" s="455"/>
      <c r="B27" s="462"/>
      <c r="C27" s="435" t="s">
        <v>697</v>
      </c>
      <c r="D27" s="436"/>
      <c r="E27" s="437" t="s">
        <v>534</v>
      </c>
      <c r="F27" s="765" t="s">
        <v>535</v>
      </c>
      <c r="G27" s="766"/>
      <c r="H27" s="765" t="s">
        <v>536</v>
      </c>
      <c r="I27" s="766"/>
      <c r="J27" s="765" t="s">
        <v>537</v>
      </c>
      <c r="K27" s="766"/>
      <c r="L27" s="765" t="s">
        <v>538</v>
      </c>
      <c r="M27" s="766"/>
      <c r="N27" s="438" t="s">
        <v>539</v>
      </c>
      <c r="O27" s="270"/>
      <c r="P27" s="457"/>
      <c r="Q27" s="445">
        <f>Q26</f>
        <v>8</v>
      </c>
    </row>
    <row r="28" spans="1:19" s="414" customFormat="1" ht="162.6" customHeight="1">
      <c r="A28" s="455"/>
      <c r="B28" s="462"/>
      <c r="C28" s="426" t="s">
        <v>135</v>
      </c>
      <c r="D28" s="431"/>
      <c r="E28" s="427" t="s">
        <v>259</v>
      </c>
      <c r="F28" s="428" t="s">
        <v>264</v>
      </c>
      <c r="G28" s="429" t="s">
        <v>171</v>
      </c>
      <c r="H28" s="428" t="s">
        <v>540</v>
      </c>
      <c r="I28" s="429" t="s">
        <v>125</v>
      </c>
      <c r="J28" s="428" t="s">
        <v>94</v>
      </c>
      <c r="K28" s="429" t="s">
        <v>173</v>
      </c>
      <c r="L28" s="428" t="s">
        <v>541</v>
      </c>
      <c r="M28" s="429" t="s">
        <v>174</v>
      </c>
      <c r="N28" s="430" t="s">
        <v>542</v>
      </c>
      <c r="O28" s="270"/>
      <c r="P28" s="457"/>
      <c r="Q28" s="445">
        <f>'Reporting Worksheet'!E26</f>
        <v>0</v>
      </c>
      <c r="R28" s="414">
        <f ca="1">IF(OR(C28=$R$2,C28=$R$4,C28=$R$7),1,0)</f>
        <v>0</v>
      </c>
    </row>
    <row r="29" spans="1:19" s="414" customFormat="1" ht="196.9" customHeight="1" thickBot="1">
      <c r="A29" s="455"/>
      <c r="B29" s="462"/>
      <c r="C29" s="435" t="s">
        <v>0</v>
      </c>
      <c r="D29" s="436"/>
      <c r="E29" s="437" t="s">
        <v>543</v>
      </c>
      <c r="F29" s="765" t="s">
        <v>544</v>
      </c>
      <c r="G29" s="766"/>
      <c r="H29" s="437" t="s">
        <v>545</v>
      </c>
      <c r="I29" s="437" t="s">
        <v>546</v>
      </c>
      <c r="J29" s="765" t="s">
        <v>547</v>
      </c>
      <c r="K29" s="766"/>
      <c r="L29" s="765" t="s">
        <v>548</v>
      </c>
      <c r="M29" s="766"/>
      <c r="N29" s="438" t="s">
        <v>549</v>
      </c>
      <c r="O29" s="270"/>
      <c r="P29" s="457"/>
      <c r="Q29" s="445">
        <f>Q28</f>
        <v>0</v>
      </c>
    </row>
    <row r="30" spans="1:19" s="414" customFormat="1" ht="22.5" customHeight="1">
      <c r="A30" s="455"/>
      <c r="B30" s="462"/>
      <c r="C30" s="777" t="s">
        <v>236</v>
      </c>
      <c r="D30" s="778"/>
      <c r="E30" s="778"/>
      <c r="F30" s="778"/>
      <c r="G30" s="778"/>
      <c r="H30" s="778"/>
      <c r="I30" s="778"/>
      <c r="J30" s="778"/>
      <c r="K30" s="778"/>
      <c r="L30" s="778"/>
      <c r="M30" s="778"/>
      <c r="N30" s="779"/>
      <c r="O30" s="270"/>
      <c r="P30" s="457"/>
    </row>
    <row r="31" spans="1:19" s="414" customFormat="1" ht="141.6" customHeight="1">
      <c r="A31" s="455"/>
      <c r="B31" s="462"/>
      <c r="C31" s="426" t="s">
        <v>136</v>
      </c>
      <c r="D31" s="432"/>
      <c r="E31" s="427" t="s">
        <v>24</v>
      </c>
      <c r="F31" s="428" t="s">
        <v>50</v>
      </c>
      <c r="G31" s="429" t="s">
        <v>51</v>
      </c>
      <c r="H31" s="428" t="s">
        <v>550</v>
      </c>
      <c r="I31" s="429" t="s">
        <v>551</v>
      </c>
      <c r="J31" s="428" t="s">
        <v>552</v>
      </c>
      <c r="K31" s="429" t="s">
        <v>173</v>
      </c>
      <c r="L31" s="428" t="s">
        <v>553</v>
      </c>
      <c r="M31" s="429" t="s">
        <v>174</v>
      </c>
      <c r="N31" s="430" t="s">
        <v>698</v>
      </c>
      <c r="O31" s="270"/>
      <c r="P31" s="457"/>
      <c r="Q31" s="445">
        <f>'Reporting Worksheet'!E38</f>
        <v>0</v>
      </c>
      <c r="R31" s="414">
        <f ca="1">IF(OR(C31=$R$2,C31=$R$4,C31=$R$7),1,0)</f>
        <v>0</v>
      </c>
    </row>
    <row r="32" spans="1:19" s="414" customFormat="1" ht="238.15" customHeight="1" thickBot="1">
      <c r="A32" s="455"/>
      <c r="B32" s="462"/>
      <c r="C32" s="435" t="s">
        <v>1</v>
      </c>
      <c r="D32" s="440"/>
      <c r="E32" s="437" t="s">
        <v>554</v>
      </c>
      <c r="F32" s="765" t="s">
        <v>555</v>
      </c>
      <c r="G32" s="766"/>
      <c r="H32" s="437" t="s">
        <v>556</v>
      </c>
      <c r="I32" s="437" t="s">
        <v>557</v>
      </c>
      <c r="J32" s="765" t="s">
        <v>558</v>
      </c>
      <c r="K32" s="766"/>
      <c r="L32" s="765" t="s">
        <v>559</v>
      </c>
      <c r="M32" s="766"/>
      <c r="N32" s="438" t="s">
        <v>560</v>
      </c>
      <c r="O32" s="270"/>
      <c r="P32" s="457"/>
      <c r="Q32" s="445">
        <f>Q31</f>
        <v>0</v>
      </c>
    </row>
    <row r="33" spans="1:18" s="414" customFormat="1" ht="234.6" customHeight="1">
      <c r="A33" s="455"/>
      <c r="B33" s="462"/>
      <c r="C33" s="426" t="s">
        <v>137</v>
      </c>
      <c r="D33" s="427" t="s">
        <v>64</v>
      </c>
      <c r="E33" s="427" t="s">
        <v>561</v>
      </c>
      <c r="F33" s="428" t="s">
        <v>562</v>
      </c>
      <c r="G33" s="429" t="s">
        <v>171</v>
      </c>
      <c r="H33" s="428" t="s">
        <v>563</v>
      </c>
      <c r="I33" s="429" t="s">
        <v>172</v>
      </c>
      <c r="J33" s="428" t="s">
        <v>564</v>
      </c>
      <c r="K33" s="429" t="s">
        <v>173</v>
      </c>
      <c r="L33" s="428" t="s">
        <v>565</v>
      </c>
      <c r="M33" s="429" t="s">
        <v>566</v>
      </c>
      <c r="N33" s="430" t="s">
        <v>677</v>
      </c>
      <c r="O33" s="270"/>
      <c r="P33" s="457"/>
      <c r="Q33" s="445">
        <f>'Reporting Worksheet'!E42</f>
        <v>6</v>
      </c>
      <c r="R33" s="414">
        <f ca="1">IF(OR(C33=$R$2,C33=$R$4,C33=$R$7),1,0)</f>
        <v>1</v>
      </c>
    </row>
    <row r="34" spans="1:18" s="414" customFormat="1" ht="186.6" customHeight="1" thickBot="1">
      <c r="A34" s="455"/>
      <c r="B34" s="462"/>
      <c r="C34" s="435" t="s">
        <v>160</v>
      </c>
      <c r="D34" s="439" t="s">
        <v>262</v>
      </c>
      <c r="E34" s="437" t="s">
        <v>567</v>
      </c>
      <c r="F34" s="765" t="s">
        <v>568</v>
      </c>
      <c r="G34" s="766"/>
      <c r="H34" s="765" t="s">
        <v>569</v>
      </c>
      <c r="I34" s="766"/>
      <c r="J34" s="765" t="s">
        <v>570</v>
      </c>
      <c r="K34" s="766"/>
      <c r="L34" s="441" t="s">
        <v>571</v>
      </c>
      <c r="M34" s="441" t="s">
        <v>572</v>
      </c>
      <c r="N34" s="438" t="s">
        <v>573</v>
      </c>
      <c r="O34" s="270"/>
      <c r="P34" s="457"/>
      <c r="Q34" s="445">
        <f>Q33</f>
        <v>6</v>
      </c>
    </row>
    <row r="35" spans="1:18" s="414" customFormat="1" ht="192.6" customHeight="1">
      <c r="A35" s="455"/>
      <c r="B35" s="462"/>
      <c r="C35" s="426" t="s">
        <v>648</v>
      </c>
      <c r="D35" s="427" t="s">
        <v>65</v>
      </c>
      <c r="E35" s="427" t="s">
        <v>574</v>
      </c>
      <c r="F35" s="428" t="s">
        <v>575</v>
      </c>
      <c r="G35" s="429" t="s">
        <v>171</v>
      </c>
      <c r="H35" s="428" t="s">
        <v>576</v>
      </c>
      <c r="I35" s="429" t="s">
        <v>172</v>
      </c>
      <c r="J35" s="428" t="s">
        <v>577</v>
      </c>
      <c r="K35" s="429" t="s">
        <v>173</v>
      </c>
      <c r="L35" s="428" t="s">
        <v>578</v>
      </c>
      <c r="M35" s="429" t="s">
        <v>174</v>
      </c>
      <c r="N35" s="430" t="s">
        <v>579</v>
      </c>
      <c r="O35" s="270"/>
      <c r="P35" s="457"/>
      <c r="Q35" s="445">
        <f>'Reporting Worksheet'!E43</f>
        <v>0</v>
      </c>
      <c r="R35" s="414">
        <f ca="1">IF(OR(C35=$R$2,C35=$R$4,C35=$R$7),1,0)</f>
        <v>0</v>
      </c>
    </row>
    <row r="36" spans="1:18" s="414" customFormat="1" ht="139.9" customHeight="1" thickBot="1">
      <c r="A36" s="455"/>
      <c r="B36" s="462"/>
      <c r="C36" s="435" t="s">
        <v>161</v>
      </c>
      <c r="D36" s="436"/>
      <c r="E36" s="437" t="s">
        <v>580</v>
      </c>
      <c r="F36" s="765" t="s">
        <v>581</v>
      </c>
      <c r="G36" s="766"/>
      <c r="H36" s="765" t="s">
        <v>582</v>
      </c>
      <c r="I36" s="766"/>
      <c r="J36" s="765" t="s">
        <v>583</v>
      </c>
      <c r="K36" s="766"/>
      <c r="L36" s="765" t="s">
        <v>584</v>
      </c>
      <c r="M36" s="766"/>
      <c r="N36" s="438" t="s">
        <v>585</v>
      </c>
      <c r="O36" s="270"/>
      <c r="P36" s="457"/>
      <c r="Q36" s="445">
        <f>Q35</f>
        <v>0</v>
      </c>
    </row>
    <row r="37" spans="1:18" s="414" customFormat="1" ht="18" customHeight="1">
      <c r="A37" s="455"/>
      <c r="B37" s="462"/>
      <c r="C37" s="777" t="s">
        <v>167</v>
      </c>
      <c r="D37" s="778"/>
      <c r="E37" s="778"/>
      <c r="F37" s="778"/>
      <c r="G37" s="778"/>
      <c r="H37" s="778"/>
      <c r="I37" s="778"/>
      <c r="J37" s="778"/>
      <c r="K37" s="778"/>
      <c r="L37" s="778"/>
      <c r="M37" s="778"/>
      <c r="N37" s="779"/>
      <c r="O37" s="270"/>
      <c r="P37" s="457"/>
    </row>
    <row r="38" spans="1:18" s="414" customFormat="1" ht="115.9" customHeight="1">
      <c r="A38" s="455"/>
      <c r="B38" s="462"/>
      <c r="C38" s="426" t="s">
        <v>138</v>
      </c>
      <c r="D38" s="431"/>
      <c r="E38" s="427" t="s">
        <v>95</v>
      </c>
      <c r="F38" s="428" t="s">
        <v>586</v>
      </c>
      <c r="G38" s="429" t="s">
        <v>171</v>
      </c>
      <c r="H38" s="428" t="s">
        <v>587</v>
      </c>
      <c r="I38" s="429" t="s">
        <v>172</v>
      </c>
      <c r="J38" s="428" t="s">
        <v>588</v>
      </c>
      <c r="K38" s="429" t="s">
        <v>173</v>
      </c>
      <c r="L38" s="428" t="s">
        <v>589</v>
      </c>
      <c r="M38" s="429" t="s">
        <v>174</v>
      </c>
      <c r="N38" s="430" t="s">
        <v>590</v>
      </c>
      <c r="O38" s="270"/>
      <c r="P38" s="457"/>
      <c r="Q38" s="445">
        <f>'Reporting Worksheet'!E62</f>
        <v>9</v>
      </c>
      <c r="R38" s="414">
        <f ca="1">IF(OR(C38=$R$2,C38=$R$4,C38=$R$7),1,0)</f>
        <v>0</v>
      </c>
    </row>
    <row r="39" spans="1:18" s="414" customFormat="1" ht="175.15" customHeight="1" thickBot="1">
      <c r="A39" s="455"/>
      <c r="B39" s="462"/>
      <c r="C39" s="435" t="s">
        <v>162</v>
      </c>
      <c r="D39" s="436"/>
      <c r="E39" s="437" t="s">
        <v>591</v>
      </c>
      <c r="F39" s="765" t="s">
        <v>592</v>
      </c>
      <c r="G39" s="766"/>
      <c r="H39" s="791" t="s">
        <v>643</v>
      </c>
      <c r="I39" s="792"/>
      <c r="J39" s="765" t="s">
        <v>593</v>
      </c>
      <c r="K39" s="766"/>
      <c r="L39" s="765" t="s">
        <v>594</v>
      </c>
      <c r="M39" s="766"/>
      <c r="N39" s="438" t="s">
        <v>595</v>
      </c>
      <c r="O39" s="270"/>
      <c r="P39" s="457"/>
      <c r="Q39" s="445">
        <f>Q38</f>
        <v>9</v>
      </c>
    </row>
    <row r="40" spans="1:18" s="414" customFormat="1" ht="153" customHeight="1">
      <c r="A40" s="455"/>
      <c r="B40" s="462"/>
      <c r="C40" s="426" t="s">
        <v>128</v>
      </c>
      <c r="D40" s="431"/>
      <c r="E40" s="427" t="s">
        <v>185</v>
      </c>
      <c r="F40" s="428" t="s">
        <v>186</v>
      </c>
      <c r="G40" s="429" t="s">
        <v>171</v>
      </c>
      <c r="H40" s="428" t="s">
        <v>596</v>
      </c>
      <c r="I40" s="429" t="s">
        <v>172</v>
      </c>
      <c r="J40" s="428" t="s">
        <v>699</v>
      </c>
      <c r="K40" s="429" t="s">
        <v>173</v>
      </c>
      <c r="L40" s="428" t="s">
        <v>597</v>
      </c>
      <c r="M40" s="429" t="s">
        <v>174</v>
      </c>
      <c r="N40" s="430" t="s">
        <v>598</v>
      </c>
      <c r="O40" s="270"/>
      <c r="P40" s="457"/>
      <c r="Q40" s="445">
        <f>'Reporting Worksheet'!E63</f>
        <v>6</v>
      </c>
      <c r="R40" s="414">
        <f ca="1">IF(OR(C40=$R$2,C40=$R$4,C40=$R$7),1,0)</f>
        <v>0</v>
      </c>
    </row>
    <row r="41" spans="1:18" s="414" customFormat="1" ht="115.15" customHeight="1" thickBot="1">
      <c r="A41" s="455"/>
      <c r="B41" s="462"/>
      <c r="C41" s="435" t="s">
        <v>700</v>
      </c>
      <c r="D41" s="509" t="s">
        <v>647</v>
      </c>
      <c r="E41" s="437" t="s">
        <v>599</v>
      </c>
      <c r="F41" s="765" t="s">
        <v>600</v>
      </c>
      <c r="G41" s="766"/>
      <c r="H41" s="765" t="s">
        <v>601</v>
      </c>
      <c r="I41" s="766"/>
      <c r="J41" s="765" t="s">
        <v>602</v>
      </c>
      <c r="K41" s="766"/>
      <c r="L41" s="765" t="s">
        <v>603</v>
      </c>
      <c r="M41" s="766"/>
      <c r="N41" s="438" t="s">
        <v>604</v>
      </c>
      <c r="O41" s="270"/>
      <c r="P41" s="457"/>
      <c r="Q41" s="445">
        <f>Q40</f>
        <v>6</v>
      </c>
    </row>
    <row r="42" spans="1:18" s="414" customFormat="1" ht="42.6" customHeight="1">
      <c r="A42" s="455"/>
      <c r="B42" s="462"/>
      <c r="C42" s="780" t="s">
        <v>205</v>
      </c>
      <c r="D42" s="782" t="s">
        <v>701</v>
      </c>
      <c r="E42" s="784" t="s">
        <v>706</v>
      </c>
      <c r="F42" s="785"/>
      <c r="G42" s="785"/>
      <c r="H42" s="785"/>
      <c r="I42" s="785"/>
      <c r="J42" s="785"/>
      <c r="K42" s="785"/>
      <c r="L42" s="785"/>
      <c r="M42" s="786"/>
      <c r="N42" s="789" t="s">
        <v>705</v>
      </c>
      <c r="O42" s="270"/>
      <c r="P42" s="457"/>
      <c r="Q42" s="445">
        <f>Q43</f>
        <v>4</v>
      </c>
      <c r="R42" s="414">
        <f ca="1">IF(OR(C42=$R$2,C42=$R$4,C42=$R$7),1,0)</f>
        <v>0</v>
      </c>
    </row>
    <row r="43" spans="1:18" s="414" customFormat="1" ht="247.9" customHeight="1">
      <c r="A43" s="455"/>
      <c r="B43" s="462"/>
      <c r="C43" s="781"/>
      <c r="D43" s="783"/>
      <c r="E43" s="427" t="s">
        <v>702</v>
      </c>
      <c r="F43" s="428" t="s">
        <v>703</v>
      </c>
      <c r="G43" s="429" t="s">
        <v>171</v>
      </c>
      <c r="H43" s="428" t="s">
        <v>707</v>
      </c>
      <c r="I43" s="429" t="s">
        <v>172</v>
      </c>
      <c r="J43" s="428" t="s">
        <v>605</v>
      </c>
      <c r="K43" s="429" t="s">
        <v>173</v>
      </c>
      <c r="L43" s="428" t="s">
        <v>704</v>
      </c>
      <c r="M43" s="429" t="s">
        <v>174</v>
      </c>
      <c r="N43" s="790"/>
      <c r="O43" s="270"/>
      <c r="P43" s="457"/>
      <c r="Q43" s="445">
        <f>'Reporting Worksheet'!R67</f>
        <v>4</v>
      </c>
      <c r="R43" s="414">
        <f ca="1">IF(OR(C43=$R$2,C43=$R$4,C43=$R$7),1,0)</f>
        <v>0</v>
      </c>
    </row>
    <row r="44" spans="1:18" s="414" customFormat="1" ht="113.25" customHeight="1" thickBot="1">
      <c r="A44" s="455"/>
      <c r="B44" s="462"/>
      <c r="C44" s="435" t="s">
        <v>163</v>
      </c>
      <c r="D44" s="436"/>
      <c r="E44" s="437" t="s">
        <v>708</v>
      </c>
      <c r="F44" s="765" t="s">
        <v>606</v>
      </c>
      <c r="G44" s="766"/>
      <c r="H44" s="765" t="s">
        <v>709</v>
      </c>
      <c r="I44" s="766"/>
      <c r="J44" s="765" t="s">
        <v>607</v>
      </c>
      <c r="K44" s="766"/>
      <c r="L44" s="765" t="s">
        <v>608</v>
      </c>
      <c r="M44" s="766"/>
      <c r="N44" s="438" t="s">
        <v>609</v>
      </c>
      <c r="O44" s="270"/>
      <c r="P44" s="457"/>
      <c r="Q44" s="445">
        <f>Q43</f>
        <v>4</v>
      </c>
    </row>
    <row r="45" spans="1:18" s="414" customFormat="1" ht="208.9" customHeight="1">
      <c r="A45" s="455"/>
      <c r="B45" s="462"/>
      <c r="C45" s="426" t="s">
        <v>139</v>
      </c>
      <c r="D45" s="433"/>
      <c r="E45" s="427" t="s">
        <v>52</v>
      </c>
      <c r="F45" s="428" t="s">
        <v>610</v>
      </c>
      <c r="G45" s="429" t="s">
        <v>171</v>
      </c>
      <c r="H45" s="428" t="s">
        <v>71</v>
      </c>
      <c r="I45" s="429" t="s">
        <v>172</v>
      </c>
      <c r="J45" s="428" t="s">
        <v>611</v>
      </c>
      <c r="K45" s="429" t="s">
        <v>173</v>
      </c>
      <c r="L45" s="428" t="s">
        <v>612</v>
      </c>
      <c r="M45" s="429" t="s">
        <v>174</v>
      </c>
      <c r="N45" s="430" t="s">
        <v>613</v>
      </c>
      <c r="O45" s="270"/>
      <c r="P45" s="457"/>
      <c r="Q45" s="445">
        <f>'Reporting Worksheet'!E69</f>
        <v>4</v>
      </c>
      <c r="R45" s="414">
        <f ca="1">IF(OR(C45=$R$2,C45=$R$4,C45=$R$7),1,0)</f>
        <v>0</v>
      </c>
    </row>
    <row r="46" spans="1:18" s="414" customFormat="1" ht="144.6" customHeight="1" thickBot="1">
      <c r="A46" s="455"/>
      <c r="B46" s="462"/>
      <c r="C46" s="435" t="s">
        <v>238</v>
      </c>
      <c r="D46" s="448"/>
      <c r="E46" s="437" t="s">
        <v>614</v>
      </c>
      <c r="F46" s="787" t="s">
        <v>615</v>
      </c>
      <c r="G46" s="788"/>
      <c r="H46" s="787" t="s">
        <v>616</v>
      </c>
      <c r="I46" s="788"/>
      <c r="J46" s="787" t="s">
        <v>617</v>
      </c>
      <c r="K46" s="788"/>
      <c r="L46" s="787" t="s">
        <v>618</v>
      </c>
      <c r="M46" s="788"/>
      <c r="N46" s="438" t="s">
        <v>619</v>
      </c>
      <c r="O46" s="270"/>
      <c r="P46" s="457"/>
      <c r="Q46" s="445">
        <f>Q45</f>
        <v>4</v>
      </c>
    </row>
    <row r="47" spans="1:18" s="414" customFormat="1" ht="23.25" customHeight="1">
      <c r="A47" s="455"/>
      <c r="B47" s="462"/>
      <c r="C47" s="777" t="s">
        <v>72</v>
      </c>
      <c r="D47" s="778"/>
      <c r="E47" s="778"/>
      <c r="F47" s="778"/>
      <c r="G47" s="778"/>
      <c r="H47" s="778"/>
      <c r="I47" s="778"/>
      <c r="J47" s="778"/>
      <c r="K47" s="778"/>
      <c r="L47" s="778"/>
      <c r="M47" s="778"/>
      <c r="N47" s="779"/>
      <c r="O47" s="270"/>
      <c r="P47" s="457"/>
    </row>
    <row r="48" spans="1:18" s="414" customFormat="1" ht="101.45" customHeight="1">
      <c r="A48" s="455"/>
      <c r="B48" s="462"/>
      <c r="C48" s="426" t="s">
        <v>140</v>
      </c>
      <c r="D48" s="433"/>
      <c r="E48" s="427" t="s">
        <v>620</v>
      </c>
      <c r="F48" s="428" t="s">
        <v>239</v>
      </c>
      <c r="G48" s="429" t="s">
        <v>171</v>
      </c>
      <c r="H48" s="428" t="s">
        <v>621</v>
      </c>
      <c r="I48" s="429" t="s">
        <v>172</v>
      </c>
      <c r="J48" s="428" t="s">
        <v>622</v>
      </c>
      <c r="K48" s="429" t="s">
        <v>173</v>
      </c>
      <c r="L48" s="428" t="s">
        <v>623</v>
      </c>
      <c r="M48" s="429" t="s">
        <v>174</v>
      </c>
      <c r="N48" s="430" t="s">
        <v>624</v>
      </c>
      <c r="O48" s="270"/>
      <c r="P48" s="457"/>
      <c r="Q48" s="445">
        <f>'Reporting Worksheet'!E76</f>
        <v>10</v>
      </c>
      <c r="R48" s="414">
        <f ca="1">IF(OR(C48=$R$2,C48=$R$4,C48=$R$7),1,0)</f>
        <v>0</v>
      </c>
    </row>
    <row r="49" spans="1:18" s="414" customFormat="1" ht="90.6" customHeight="1" thickBot="1">
      <c r="A49" s="455"/>
      <c r="B49" s="462"/>
      <c r="C49" s="435" t="s">
        <v>265</v>
      </c>
      <c r="D49" s="436"/>
      <c r="E49" s="437" t="s">
        <v>625</v>
      </c>
      <c r="F49" s="765" t="s">
        <v>626</v>
      </c>
      <c r="G49" s="766"/>
      <c r="H49" s="765" t="s">
        <v>627</v>
      </c>
      <c r="I49" s="766"/>
      <c r="J49" s="765" t="s">
        <v>628</v>
      </c>
      <c r="K49" s="766"/>
      <c r="L49" s="765" t="s">
        <v>629</v>
      </c>
      <c r="M49" s="766"/>
      <c r="N49" s="438" t="s">
        <v>630</v>
      </c>
      <c r="O49" s="270"/>
      <c r="P49" s="457"/>
      <c r="Q49" s="445">
        <f>Q48</f>
        <v>10</v>
      </c>
    </row>
    <row r="50" spans="1:18" s="414" customFormat="1" ht="151.15" customHeight="1">
      <c r="A50" s="455"/>
      <c r="B50" s="462"/>
      <c r="C50" s="426" t="s">
        <v>129</v>
      </c>
      <c r="D50" s="583" t="s">
        <v>669</v>
      </c>
      <c r="E50" s="427" t="s">
        <v>710</v>
      </c>
      <c r="F50" s="428" t="s">
        <v>149</v>
      </c>
      <c r="G50" s="429" t="s">
        <v>171</v>
      </c>
      <c r="H50" s="428" t="s">
        <v>150</v>
      </c>
      <c r="I50" s="429" t="s">
        <v>670</v>
      </c>
      <c r="J50" s="428" t="s">
        <v>116</v>
      </c>
      <c r="K50" s="429" t="s">
        <v>173</v>
      </c>
      <c r="L50" s="428" t="s">
        <v>631</v>
      </c>
      <c r="M50" s="429" t="s">
        <v>174</v>
      </c>
      <c r="N50" s="430" t="s">
        <v>671</v>
      </c>
      <c r="O50" s="270"/>
      <c r="P50" s="457"/>
      <c r="Q50" s="445">
        <f>'Reporting Worksheet'!E77</f>
        <v>8</v>
      </c>
      <c r="R50" s="414">
        <f ca="1">IF(OR(C50=$R$2,C50=$R$4,C50=$R$7),1,0)</f>
        <v>0</v>
      </c>
    </row>
    <row r="51" spans="1:18" s="414" customFormat="1" ht="104.45" customHeight="1" thickBot="1">
      <c r="A51" s="455"/>
      <c r="B51" s="462"/>
      <c r="C51" s="435" t="s">
        <v>85</v>
      </c>
      <c r="D51" s="436"/>
      <c r="E51" s="437" t="s">
        <v>632</v>
      </c>
      <c r="F51" s="765" t="s">
        <v>633</v>
      </c>
      <c r="G51" s="766"/>
      <c r="H51" s="437" t="s">
        <v>634</v>
      </c>
      <c r="I51" s="437" t="s">
        <v>635</v>
      </c>
      <c r="J51" s="765" t="s">
        <v>636</v>
      </c>
      <c r="K51" s="766"/>
      <c r="L51" s="765" t="s">
        <v>637</v>
      </c>
      <c r="M51" s="766"/>
      <c r="N51" s="438" t="s">
        <v>638</v>
      </c>
      <c r="O51" s="270"/>
      <c r="P51" s="457"/>
      <c r="Q51" s="445">
        <f>Q50</f>
        <v>8</v>
      </c>
    </row>
    <row r="52" spans="1:18" s="414" customFormat="1" ht="187.15" customHeight="1">
      <c r="A52" s="455"/>
      <c r="B52" s="462"/>
      <c r="C52" s="426" t="s">
        <v>130</v>
      </c>
      <c r="D52" s="434" t="s">
        <v>159</v>
      </c>
      <c r="E52" s="427" t="s">
        <v>123</v>
      </c>
      <c r="F52" s="428" t="s">
        <v>266</v>
      </c>
      <c r="G52" s="429" t="s">
        <v>171</v>
      </c>
      <c r="H52" s="428" t="s">
        <v>672</v>
      </c>
      <c r="I52" s="429" t="s">
        <v>172</v>
      </c>
      <c r="J52" s="428" t="s">
        <v>673</v>
      </c>
      <c r="K52" s="429" t="s">
        <v>173</v>
      </c>
      <c r="L52" s="428" t="s">
        <v>674</v>
      </c>
      <c r="M52" s="429" t="s">
        <v>174</v>
      </c>
      <c r="N52" s="430" t="s">
        <v>760</v>
      </c>
      <c r="O52" s="270"/>
      <c r="P52" s="457"/>
      <c r="Q52" s="445">
        <f>'Reporting Worksheet'!E78</f>
        <v>4</v>
      </c>
      <c r="R52" s="414">
        <f ca="1">IF(OR(C52=$R$2,C52=$R$4,C52=$R$7),1,0)</f>
        <v>1</v>
      </c>
    </row>
    <row r="53" spans="1:18" s="414" customFormat="1" ht="93" customHeight="1" thickBot="1">
      <c r="A53" s="455"/>
      <c r="B53" s="462"/>
      <c r="C53" s="435" t="s">
        <v>178</v>
      </c>
      <c r="D53" s="436"/>
      <c r="E53" s="437" t="s">
        <v>639</v>
      </c>
      <c r="F53" s="765" t="s">
        <v>626</v>
      </c>
      <c r="G53" s="766"/>
      <c r="H53" s="765" t="s">
        <v>640</v>
      </c>
      <c r="I53" s="766"/>
      <c r="J53" s="765" t="s">
        <v>641</v>
      </c>
      <c r="K53" s="766"/>
      <c r="L53" s="765" t="s">
        <v>629</v>
      </c>
      <c r="M53" s="766"/>
      <c r="N53" s="438" t="s">
        <v>642</v>
      </c>
      <c r="O53" s="270"/>
      <c r="P53" s="457"/>
      <c r="Q53" s="445">
        <f>Q52</f>
        <v>4</v>
      </c>
    </row>
    <row r="54" spans="1:18" ht="6" customHeight="1" thickBot="1">
      <c r="A54" s="284"/>
      <c r="B54" s="459"/>
      <c r="C54" s="279"/>
      <c r="D54" s="279"/>
      <c r="E54" s="279"/>
      <c r="F54" s="279"/>
      <c r="G54" s="279"/>
      <c r="H54" s="279"/>
      <c r="I54" s="279"/>
      <c r="J54" s="279"/>
      <c r="K54" s="279"/>
      <c r="L54" s="279"/>
      <c r="M54" s="279"/>
      <c r="N54" s="279"/>
      <c r="O54" s="280"/>
      <c r="P54" s="282"/>
    </row>
    <row r="55" spans="1:18" s="283" customFormat="1" ht="6" customHeight="1" thickTop="1">
      <c r="A55" s="284"/>
      <c r="B55" s="284"/>
    </row>
    <row r="56" spans="1:18" ht="12.75" hidden="1"/>
    <row r="57" spans="1:18" ht="12.75" hidden="1"/>
    <row r="58" spans="1:18" ht="12.75" hidden="1"/>
    <row r="59" spans="1:18" ht="12.75" hidden="1"/>
    <row r="60" spans="1:18" ht="12.75" hidden="1"/>
    <row r="61" spans="1:18" ht="12.75" hidden="1"/>
    <row r="62" spans="1:18" ht="12.75" hidden="1"/>
    <row r="63" spans="1:18" ht="12.75" hidden="1"/>
    <row r="64" spans="1:18" ht="12.75" hidden="1"/>
    <row r="65" ht="12.75" hidden="1"/>
    <row r="66" ht="12.75" hidden="1"/>
    <row r="67" ht="12.75" hidden="1"/>
    <row r="68" ht="12.75" hidden="1"/>
    <row r="69" ht="12.75" hidden="1"/>
    <row r="70" ht="12.75" hidden="1"/>
    <row r="71" ht="12.75" hidden="1"/>
    <row r="72" ht="12.75" hidden="1"/>
    <row r="73" ht="12.75" hidden="1"/>
    <row r="74" ht="12.75" hidden="1"/>
    <row r="75" ht="12.75" hidden="1"/>
    <row r="76" ht="12.75" hidden="1"/>
    <row r="77" ht="12.75" hidden="1"/>
    <row r="78" ht="12.75" hidden="1"/>
    <row r="79" ht="12.75" hidden="1"/>
    <row r="80" ht="12.75" hidden="1"/>
    <row r="81" ht="12.75" hidden="1"/>
    <row r="82" ht="12.75" hidden="1"/>
    <row r="83" ht="12.75" hidden="1"/>
    <row r="84" ht="12.75" hidden="1"/>
    <row r="85" ht="12.75" hidden="1"/>
    <row r="86" ht="12.75" hidden="1"/>
    <row r="87" ht="12.75" hidden="1"/>
    <row r="88" ht="12.75" hidden="1"/>
    <row r="89" ht="12.75" hidden="1"/>
    <row r="90" ht="12.75" hidden="1"/>
    <row r="91" ht="12.75" hidden="1"/>
    <row r="92" ht="12.75" hidden="1"/>
    <row r="93" ht="12.75" hidden="1"/>
    <row r="94" ht="12.75" hidden="1"/>
    <row r="95" ht="12.75" hidden="1"/>
    <row r="96" ht="12.75" hidden="1"/>
    <row r="97" ht="12.75" hidden="1"/>
    <row r="98" ht="12.75" hidden="1"/>
    <row r="99" ht="12.75" hidden="1"/>
    <row r="100" ht="12.75" hidden="1"/>
    <row r="101" ht="12.75" hidden="1"/>
    <row r="102" ht="12.75" hidden="1"/>
    <row r="103" ht="12.75" hidden="1"/>
    <row r="104" ht="12.75" hidden="1"/>
    <row r="105" ht="12.75" hidden="1"/>
    <row r="106" ht="12.75" hidden="1"/>
    <row r="107" ht="12.75" hidden="1"/>
    <row r="108" ht="12.75" hidden="1"/>
    <row r="109" ht="12.75" hidden="1"/>
    <row r="110" ht="12.75" hidden="1"/>
    <row r="111" ht="12.75" hidden="1"/>
    <row r="112" ht="12.75" hidden="1"/>
    <row r="113" ht="12.75" hidden="1"/>
    <row r="114" ht="12.75" hidden="1"/>
    <row r="115" ht="12.75" hidden="1"/>
    <row r="116" ht="12.75" hidden="1"/>
    <row r="117" ht="12.75" hidden="1"/>
    <row r="118" ht="12.75" hidden="1"/>
    <row r="119" ht="12.75" hidden="1"/>
    <row r="120" ht="12.75" hidden="1"/>
    <row r="121" ht="12.75" hidden="1"/>
    <row r="122" ht="12.75" hidden="1"/>
    <row r="123" ht="12.75" hidden="1"/>
    <row r="124" ht="12.75" hidden="1"/>
    <row r="125" ht="12.75" hidden="1"/>
    <row r="126" ht="12.75" hidden="1"/>
    <row r="127" ht="12.75" hidden="1"/>
    <row r="128" ht="12.75" hidden="1"/>
    <row r="129" ht="12.75" hidden="1"/>
    <row r="130" ht="12.75" hidden="1"/>
    <row r="131" ht="12.75" hidden="1"/>
    <row r="132" ht="12.75" hidden="1"/>
    <row r="133" ht="12.75" hidden="1"/>
    <row r="134" ht="12.75" hidden="1"/>
    <row r="135" ht="12.75" hidden="1"/>
    <row r="136" ht="12.75" hidden="1"/>
    <row r="137" ht="12.75" hidden="1"/>
    <row r="138" ht="12.75" hidden="1"/>
    <row r="139" ht="12.75" hidden="1"/>
    <row r="140" ht="12.75" hidden="1"/>
    <row r="141" ht="12.75" hidden="1"/>
    <row r="142" ht="12.75" hidden="1"/>
    <row r="143" ht="12.75" hidden="1"/>
    <row r="144" ht="12.75" hidden="1"/>
    <row r="145" ht="12.75" hidden="1"/>
    <row r="146" ht="12.75" hidden="1"/>
    <row r="147" ht="12.75" hidden="1"/>
    <row r="148" ht="12.75" hidden="1"/>
    <row r="149" ht="12.75" hidden="1"/>
    <row r="150" ht="12.75" hidden="1"/>
    <row r="151" ht="12.75" hidden="1"/>
    <row r="152" ht="12.75" hidden="1"/>
    <row r="153" ht="12.75" hidden="1"/>
    <row r="154" ht="12.75" hidden="1"/>
    <row r="155" ht="12.75" hidden="1"/>
    <row r="156" ht="12.75" hidden="1"/>
    <row r="157" ht="12.75" hidden="1"/>
    <row r="158" ht="12.75" hidden="1"/>
    <row r="159" ht="12.75" hidden="1"/>
    <row r="160" ht="12.75" hidden="1"/>
    <row r="161" ht="12.75" hidden="1"/>
    <row r="162" ht="12.75" hidden="1"/>
    <row r="163" ht="12.75" hidden="1"/>
    <row r="164" ht="12.75" hidden="1"/>
    <row r="165" ht="12.75" hidden="1"/>
    <row r="166" ht="12.75" hidden="1"/>
    <row r="167" ht="12.75" hidden="1"/>
    <row r="168" ht="12.75" hidden="1"/>
    <row r="169" ht="12.75" hidden="1"/>
    <row r="170" ht="12.75" hidden="1"/>
    <row r="171" ht="12.75" hidden="1"/>
  </sheetData>
  <sheetProtection password="8B16" sheet="1" objects="1" scenarios="1"/>
  <mergeCells count="88">
    <mergeCell ref="J44:K44"/>
    <mergeCell ref="J39:K39"/>
    <mergeCell ref="L39:M39"/>
    <mergeCell ref="L51:M51"/>
    <mergeCell ref="F49:G49"/>
    <mergeCell ref="L49:M49"/>
    <mergeCell ref="C47:N47"/>
    <mergeCell ref="H49:I49"/>
    <mergeCell ref="J49:K49"/>
    <mergeCell ref="H39:I39"/>
    <mergeCell ref="D8:N8"/>
    <mergeCell ref="C37:N37"/>
    <mergeCell ref="N42:N43"/>
    <mergeCell ref="J46:K46"/>
    <mergeCell ref="L46:M46"/>
    <mergeCell ref="F44:G44"/>
    <mergeCell ref="L44:M44"/>
    <mergeCell ref="H34:I34"/>
    <mergeCell ref="J34:K34"/>
    <mergeCell ref="L36:M36"/>
    <mergeCell ref="H53:I53"/>
    <mergeCell ref="J53:K53"/>
    <mergeCell ref="L53:M53"/>
    <mergeCell ref="F46:G46"/>
    <mergeCell ref="H46:I46"/>
    <mergeCell ref="F53:G53"/>
    <mergeCell ref="F51:G51"/>
    <mergeCell ref="J51:K51"/>
    <mergeCell ref="F36:G36"/>
    <mergeCell ref="H36:I36"/>
    <mergeCell ref="J36:K36"/>
    <mergeCell ref="E42:M42"/>
    <mergeCell ref="J41:K41"/>
    <mergeCell ref="H44:I44"/>
    <mergeCell ref="L41:M41"/>
    <mergeCell ref="F41:G41"/>
    <mergeCell ref="H41:I41"/>
    <mergeCell ref="F39:G39"/>
    <mergeCell ref="L20:M20"/>
    <mergeCell ref="L16:M16"/>
    <mergeCell ref="F18:G18"/>
    <mergeCell ref="H20:I20"/>
    <mergeCell ref="J20:K20"/>
    <mergeCell ref="C42:C43"/>
    <mergeCell ref="D42:D43"/>
    <mergeCell ref="L27:M27"/>
    <mergeCell ref="F25:G25"/>
    <mergeCell ref="H25:I25"/>
    <mergeCell ref="F12:G12"/>
    <mergeCell ref="J27:K27"/>
    <mergeCell ref="C30:N30"/>
    <mergeCell ref="F32:G32"/>
    <mergeCell ref="F34:G34"/>
    <mergeCell ref="F27:G27"/>
    <mergeCell ref="H27:I27"/>
    <mergeCell ref="L29:M29"/>
    <mergeCell ref="L14:M14"/>
    <mergeCell ref="C21:N21"/>
    <mergeCell ref="L12:M12"/>
    <mergeCell ref="F23:G23"/>
    <mergeCell ref="H23:I23"/>
    <mergeCell ref="L23:M23"/>
    <mergeCell ref="H10:I10"/>
    <mergeCell ref="J10:K10"/>
    <mergeCell ref="F14:G14"/>
    <mergeCell ref="H14:I14"/>
    <mergeCell ref="F20:G20"/>
    <mergeCell ref="L10:M10"/>
    <mergeCell ref="J32:K32"/>
    <mergeCell ref="L32:M32"/>
    <mergeCell ref="F16:G16"/>
    <mergeCell ref="H16:I16"/>
    <mergeCell ref="J16:K16"/>
    <mergeCell ref="J29:K29"/>
    <mergeCell ref="H18:I18"/>
    <mergeCell ref="J18:K18"/>
    <mergeCell ref="L18:M18"/>
    <mergeCell ref="F29:G29"/>
    <mergeCell ref="J25:K25"/>
    <mergeCell ref="L25:M25"/>
    <mergeCell ref="J14:K14"/>
    <mergeCell ref="J23:K23"/>
    <mergeCell ref="F10:G10"/>
    <mergeCell ref="C2:N3"/>
    <mergeCell ref="C4:N5"/>
    <mergeCell ref="C6:N6"/>
    <mergeCell ref="H12:I12"/>
    <mergeCell ref="J12:K12"/>
  </mergeCells>
  <phoneticPr fontId="0" type="noConversion"/>
  <conditionalFormatting sqref="D50 D45 C9 C11 C17 C22 D48 C13 C24 C26 D31:D32">
    <cfRule type="expression" dxfId="26" priority="39" stopIfTrue="1">
      <formula>R9=1</formula>
    </cfRule>
  </conditionalFormatting>
  <conditionalFormatting sqref="F10:M10 F12:M12 F14:M14 F18:M18 F23:M23 L25 J25 F25 H25 L27 J27 F27 H27 F29 L29 J29 F32 L32 J32 L34 J34 F34 H34 L36 J36 F36 H36 L39 J39 F39 H39 L41 J41 F41 H41 L44 J44 F44 H44 L46 J46 F46 H46 L49 J49 F49 H49 F51 L51 J51 L53 J53 F53 H53">
    <cfRule type="expression" dxfId="25" priority="41" stopIfTrue="1">
      <formula>OR(F$7=$Q10,G$7=$Q10)</formula>
    </cfRule>
  </conditionalFormatting>
  <conditionalFormatting sqref="D23">
    <cfRule type="expression" dxfId="24" priority="42" stopIfTrue="1">
      <formula>D$7=$Q23</formula>
    </cfRule>
  </conditionalFormatting>
  <conditionalFormatting sqref="D42:D43">
    <cfRule type="expression" dxfId="23" priority="43" stopIfTrue="1">
      <formula>D$7=$Q43</formula>
    </cfRule>
  </conditionalFormatting>
  <conditionalFormatting sqref="D52">
    <cfRule type="expression" dxfId="22" priority="45" stopIfTrue="1">
      <formula>D$7=$Q52</formula>
    </cfRule>
  </conditionalFormatting>
  <conditionalFormatting sqref="C52 C50 C48 C45 C40 C38 C35 C33 C31 C28">
    <cfRule type="expression" dxfId="21" priority="46" stopIfTrue="1">
      <formula>R28=1</formula>
    </cfRule>
  </conditionalFormatting>
  <conditionalFormatting sqref="C42:C43">
    <cfRule type="expression" dxfId="20" priority="47" stopIfTrue="1">
      <formula>$R$43</formula>
    </cfRule>
  </conditionalFormatting>
  <conditionalFormatting sqref="N16">
    <cfRule type="expression" dxfId="19" priority="33" stopIfTrue="1">
      <formula>N$7=$Q16</formula>
    </cfRule>
  </conditionalFormatting>
  <conditionalFormatting sqref="C15">
    <cfRule type="expression" dxfId="18" priority="34" stopIfTrue="1">
      <formula>R15=1</formula>
    </cfRule>
  </conditionalFormatting>
  <conditionalFormatting sqref="F16:M16">
    <cfRule type="expression" dxfId="17" priority="36" stopIfTrue="1">
      <formula>OR(F$7=$Q16,G$7=$Q16)</formula>
    </cfRule>
  </conditionalFormatting>
  <conditionalFormatting sqref="N20">
    <cfRule type="expression" dxfId="16" priority="29" stopIfTrue="1">
      <formula>N$7=$Q20</formula>
    </cfRule>
  </conditionalFormatting>
  <conditionalFormatting sqref="C19">
    <cfRule type="expression" dxfId="15" priority="30" stopIfTrue="1">
      <formula>R19=1</formula>
    </cfRule>
  </conditionalFormatting>
  <conditionalFormatting sqref="F20:M20">
    <cfRule type="expression" dxfId="14" priority="32" stopIfTrue="1">
      <formula>OR(F$7=$Q20,G$7=$Q20)</formula>
    </cfRule>
  </conditionalFormatting>
  <printOptions horizontalCentered="1" verticalCentered="1"/>
  <pageMargins left="0.25" right="0.25" top="0.75" bottom="0.75" header="0.3" footer="0.3"/>
  <pageSetup scale="54" fitToHeight="0" orientation="landscape" r:id="rId1"/>
  <headerFooter alignWithMargins="0">
    <oddFooter>&amp;CAWWA Free Water Audit Software v5.0&amp;R&amp;A     &amp;P</oddFooter>
  </headerFooter>
  <rowBreaks count="1" manualBreakCount="1">
    <brk id="46"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2C2FD-969C-484F-9D2C-3A33C42DCCA0}">
  <sheetPr codeName="Sheet9">
    <tabColor theme="3" tint="0.79998168889431442"/>
  </sheetPr>
  <dimension ref="A1:G25"/>
  <sheetViews>
    <sheetView showGridLines="0" showRowColHeaders="0" zoomScaleNormal="100" workbookViewId="0">
      <pane ySplit="3" topLeftCell="A4" activePane="bottomLeft" state="frozen"/>
      <selection pane="bottomLeft" activeCell="B2" sqref="B2:F3"/>
    </sheetView>
  </sheetViews>
  <sheetFormatPr defaultColWidth="0" defaultRowHeight="13.5" zeroHeight="1"/>
  <cols>
    <col min="1" max="1" width="0.85546875" style="7" customWidth="1"/>
    <col min="2" max="2" width="18.5703125" style="7" customWidth="1"/>
    <col min="3" max="3" width="17.140625" style="7" customWidth="1"/>
    <col min="4" max="4" width="17.42578125" style="7" customWidth="1"/>
    <col min="5" max="5" width="59.7109375" style="7" customWidth="1"/>
    <col min="6" max="6" width="1.5703125" style="7" customWidth="1"/>
    <col min="7" max="7" width="1.140625" style="11" customWidth="1"/>
    <col min="8" max="16384" width="0" style="7" hidden="1"/>
  </cols>
  <sheetData>
    <row r="1" spans="1:7" ht="3.75" customHeight="1" thickBot="1">
      <c r="A1" s="463"/>
      <c r="B1" s="463"/>
      <c r="C1" s="463"/>
      <c r="D1" s="463"/>
      <c r="E1" s="463"/>
      <c r="F1" s="463"/>
      <c r="G1" s="463"/>
    </row>
    <row r="2" spans="1:7" ht="15" customHeight="1" thickTop="1">
      <c r="A2" s="463"/>
      <c r="B2" s="793" t="s">
        <v>336</v>
      </c>
      <c r="C2" s="794"/>
      <c r="D2" s="794"/>
      <c r="E2" s="794"/>
      <c r="F2" s="795"/>
      <c r="G2" s="464"/>
    </row>
    <row r="3" spans="1:7" ht="29.45" customHeight="1" thickBot="1">
      <c r="A3" s="463"/>
      <c r="B3" s="796"/>
      <c r="C3" s="797"/>
      <c r="D3" s="797"/>
      <c r="E3" s="797"/>
      <c r="F3" s="798"/>
      <c r="G3" s="465"/>
    </row>
    <row r="4" spans="1:7" s="9" customFormat="1" ht="36.75" customHeight="1" thickTop="1">
      <c r="A4" s="463"/>
      <c r="B4" s="296"/>
      <c r="C4" s="297"/>
      <c r="D4" s="298"/>
      <c r="E4" s="299" t="str">
        <f>IF(ISBLANK(Instructions!H34),"","All Units in "&amp;Instructions!H34)</f>
        <v/>
      </c>
      <c r="F4" s="300"/>
      <c r="G4" s="465"/>
    </row>
    <row r="5" spans="1:7" s="9" customFormat="1" ht="36.75" customHeight="1">
      <c r="A5" s="463"/>
      <c r="B5" s="296"/>
      <c r="C5" s="297"/>
      <c r="D5" s="298"/>
      <c r="E5" s="299"/>
      <c r="F5" s="300"/>
      <c r="G5" s="465"/>
    </row>
    <row r="6" spans="1:7" s="9" customFormat="1" ht="36.75" customHeight="1">
      <c r="A6" s="463"/>
      <c r="B6" s="296"/>
      <c r="C6" s="297"/>
      <c r="D6" s="298"/>
      <c r="E6" s="299"/>
      <c r="F6" s="300"/>
      <c r="G6" s="465"/>
    </row>
    <row r="7" spans="1:7" s="9" customFormat="1" ht="36.75" customHeight="1">
      <c r="A7" s="463"/>
      <c r="B7" s="296"/>
      <c r="C7" s="297"/>
      <c r="D7" s="298"/>
      <c r="E7" s="299"/>
      <c r="F7" s="300"/>
      <c r="G7" s="465"/>
    </row>
    <row r="8" spans="1:7" s="9" customFormat="1" ht="36.75" customHeight="1">
      <c r="A8" s="463"/>
      <c r="B8" s="296"/>
      <c r="C8" s="297"/>
      <c r="D8" s="298"/>
      <c r="E8" s="299"/>
      <c r="F8" s="300"/>
      <c r="G8" s="465"/>
    </row>
    <row r="9" spans="1:7" s="9" customFormat="1" ht="36.75" customHeight="1">
      <c r="A9" s="463"/>
      <c r="B9" s="296"/>
      <c r="C9" s="297"/>
      <c r="D9" s="298"/>
      <c r="E9" s="299"/>
      <c r="F9" s="300"/>
      <c r="G9" s="465"/>
    </row>
    <row r="10" spans="1:7" s="9" customFormat="1" ht="36.75" customHeight="1">
      <c r="A10" s="463"/>
      <c r="B10" s="296"/>
      <c r="C10" s="297"/>
      <c r="D10" s="298"/>
      <c r="E10" s="299"/>
      <c r="F10" s="300"/>
      <c r="G10" s="465"/>
    </row>
    <row r="11" spans="1:7" s="9" customFormat="1" ht="36.75" customHeight="1">
      <c r="A11" s="463"/>
      <c r="B11" s="296"/>
      <c r="C11" s="297"/>
      <c r="D11" s="298"/>
      <c r="E11" s="299"/>
      <c r="F11" s="300"/>
      <c r="G11" s="465"/>
    </row>
    <row r="12" spans="1:7" s="9" customFormat="1" ht="36.75" customHeight="1">
      <c r="A12" s="463"/>
      <c r="B12" s="296"/>
      <c r="C12" s="297"/>
      <c r="D12" s="298"/>
      <c r="E12" s="299"/>
      <c r="F12" s="300"/>
      <c r="G12" s="465"/>
    </row>
    <row r="13" spans="1:7" s="9" customFormat="1" ht="36.75" customHeight="1">
      <c r="A13" s="463"/>
      <c r="B13" s="296"/>
      <c r="C13" s="297"/>
      <c r="D13" s="298"/>
      <c r="E13" s="299"/>
      <c r="F13" s="300"/>
      <c r="G13" s="465"/>
    </row>
    <row r="14" spans="1:7" s="9" customFormat="1" ht="36.75" customHeight="1">
      <c r="A14" s="463"/>
      <c r="B14" s="296"/>
      <c r="C14" s="297"/>
      <c r="D14" s="298"/>
      <c r="E14" s="299"/>
      <c r="F14" s="300"/>
      <c r="G14" s="465"/>
    </row>
    <row r="15" spans="1:7" s="9" customFormat="1" ht="36.75" customHeight="1">
      <c r="A15" s="463"/>
      <c r="B15" s="296"/>
      <c r="C15" s="297"/>
      <c r="D15" s="298"/>
      <c r="E15" s="299"/>
      <c r="F15" s="300"/>
      <c r="G15" s="465"/>
    </row>
    <row r="16" spans="1:7" s="9" customFormat="1" ht="36.75" customHeight="1">
      <c r="A16" s="463"/>
      <c r="B16" s="296"/>
      <c r="C16" s="297"/>
      <c r="D16" s="298"/>
      <c r="E16" s="299"/>
      <c r="F16" s="300"/>
      <c r="G16" s="465"/>
    </row>
    <row r="17" spans="1:7" s="9" customFormat="1" ht="36.75" customHeight="1">
      <c r="A17" s="463"/>
      <c r="B17" s="296"/>
      <c r="C17" s="297"/>
      <c r="D17" s="298"/>
      <c r="E17" s="299"/>
      <c r="F17" s="300"/>
      <c r="G17" s="465"/>
    </row>
    <row r="18" spans="1:7" s="9" customFormat="1" ht="36.75" customHeight="1">
      <c r="A18" s="463"/>
      <c r="B18" s="296"/>
      <c r="C18" s="297"/>
      <c r="D18" s="298"/>
      <c r="E18" s="299"/>
      <c r="F18" s="300"/>
      <c r="G18" s="465"/>
    </row>
    <row r="19" spans="1:7" s="9" customFormat="1" ht="36.75" customHeight="1">
      <c r="A19" s="463"/>
      <c r="B19" s="296"/>
      <c r="C19" s="297"/>
      <c r="D19" s="298"/>
      <c r="E19" s="299"/>
      <c r="F19" s="300"/>
      <c r="G19" s="465"/>
    </row>
    <row r="20" spans="1:7" s="9" customFormat="1" ht="36.75" customHeight="1">
      <c r="A20" s="463"/>
      <c r="B20" s="296"/>
      <c r="C20" s="297"/>
      <c r="D20" s="298"/>
      <c r="E20" s="299"/>
      <c r="F20" s="300"/>
      <c r="G20" s="465"/>
    </row>
    <row r="21" spans="1:7" s="9" customFormat="1" ht="36.75" customHeight="1">
      <c r="A21" s="463"/>
      <c r="B21" s="296"/>
      <c r="C21" s="297"/>
      <c r="D21" s="298"/>
      <c r="E21" s="299"/>
      <c r="F21" s="300"/>
      <c r="G21" s="465"/>
    </row>
    <row r="22" spans="1:7" s="9" customFormat="1" ht="36.75" customHeight="1">
      <c r="A22" s="463"/>
      <c r="B22" s="296"/>
      <c r="C22" s="297"/>
      <c r="D22" s="298"/>
      <c r="E22" s="299"/>
      <c r="F22" s="300"/>
      <c r="G22" s="465"/>
    </row>
    <row r="23" spans="1:7" s="9" customFormat="1" ht="36.75" customHeight="1">
      <c r="A23" s="463"/>
      <c r="B23" s="296"/>
      <c r="C23" s="297"/>
      <c r="D23" s="298"/>
      <c r="E23" s="299"/>
      <c r="F23" s="300"/>
      <c r="G23" s="465"/>
    </row>
    <row r="24" spans="1:7" s="9" customFormat="1" ht="5.25" customHeight="1" thickBot="1">
      <c r="A24" s="463"/>
      <c r="B24" s="301"/>
      <c r="C24" s="302"/>
      <c r="D24" s="303"/>
      <c r="E24" s="304"/>
      <c r="F24" s="305"/>
      <c r="G24" s="465"/>
    </row>
    <row r="25" spans="1:7" ht="14.25" hidden="1" thickTop="1"/>
  </sheetData>
  <sheetProtection password="8B16"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Free Water Audit Software v5.0&amp;R&amp;A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52CE-777B-442B-A1ED-C8BA1E193D00}">
  <sheetPr codeName="Sheet10">
    <tabColor theme="3" tint="0.79998168889431442"/>
  </sheetPr>
  <dimension ref="A1:N172"/>
  <sheetViews>
    <sheetView showGridLines="0" showRowColHeaders="0" zoomScaleNormal="100" zoomScaleSheetLayoutView="100" workbookViewId="0">
      <pane ySplit="3" topLeftCell="A46" activePane="bottomLeft" state="frozen"/>
      <selection pane="bottomLeft"/>
    </sheetView>
  </sheetViews>
  <sheetFormatPr defaultColWidth="0" defaultRowHeight="12.75" zeroHeight="1"/>
  <cols>
    <col min="1" max="1" width="1.28515625" style="395" customWidth="1"/>
    <col min="2" max="2" width="1.28515625" style="396" customWidth="1"/>
    <col min="3" max="3" width="16.42578125" style="400" customWidth="1"/>
    <col min="4" max="4" width="10.85546875" style="232" customWidth="1"/>
    <col min="5" max="5" width="11" style="232" customWidth="1"/>
    <col min="6" max="6" width="14.140625" style="232" customWidth="1"/>
    <col min="7" max="7" width="20" style="232" customWidth="1"/>
    <col min="8" max="8" width="16" style="232" customWidth="1"/>
    <col min="9" max="9" width="19" style="232" customWidth="1"/>
    <col min="10" max="10" width="23.7109375" style="232" customWidth="1"/>
    <col min="11" max="11" width="6.7109375" style="232" customWidth="1"/>
    <col min="12" max="12" width="7.28515625" style="232" customWidth="1"/>
    <col min="13" max="13" width="1.140625" style="232" customWidth="1"/>
    <col min="14" max="14" width="1.28515625" style="232" customWidth="1"/>
    <col min="15" max="16384" width="0" style="232" hidden="1"/>
  </cols>
  <sheetData>
    <row r="1" spans="1:14" s="99" customFormat="1" ht="6" customHeight="1">
      <c r="A1" s="466"/>
      <c r="B1" s="396"/>
      <c r="C1" s="399"/>
      <c r="N1" s="469"/>
    </row>
    <row r="2" spans="1:14" ht="40.5" customHeight="1">
      <c r="A2" s="466"/>
      <c r="B2" s="799" t="s">
        <v>383</v>
      </c>
      <c r="C2" s="800"/>
      <c r="D2" s="800"/>
      <c r="E2" s="800"/>
      <c r="F2" s="800"/>
      <c r="G2" s="800"/>
      <c r="H2" s="800"/>
      <c r="I2" s="800"/>
      <c r="J2" s="800"/>
      <c r="K2" s="800"/>
      <c r="L2" s="800"/>
      <c r="M2" s="801"/>
      <c r="N2" s="469"/>
    </row>
    <row r="3" spans="1:14" ht="4.1500000000000004" customHeight="1" thickBot="1">
      <c r="A3" s="466"/>
      <c r="B3" s="799"/>
      <c r="C3" s="800"/>
      <c r="D3" s="800"/>
      <c r="E3" s="800"/>
      <c r="F3" s="800"/>
      <c r="G3" s="800"/>
      <c r="H3" s="800"/>
      <c r="I3" s="800"/>
      <c r="J3" s="800"/>
      <c r="K3" s="800"/>
      <c r="L3" s="800"/>
      <c r="M3" s="801"/>
      <c r="N3" s="469"/>
    </row>
    <row r="4" spans="1:14" s="397" customFormat="1" ht="15" customHeight="1" thickBot="1">
      <c r="A4" s="471"/>
      <c r="B4" s="479"/>
      <c r="C4" s="402" t="s">
        <v>268</v>
      </c>
      <c r="D4" s="802" t="s">
        <v>269</v>
      </c>
      <c r="E4" s="803"/>
      <c r="F4" s="803"/>
      <c r="G4" s="803"/>
      <c r="H4" s="803"/>
      <c r="I4" s="803"/>
      <c r="J4" s="803"/>
      <c r="K4" s="803"/>
      <c r="L4" s="804"/>
      <c r="M4" s="329"/>
      <c r="N4" s="469"/>
    </row>
    <row r="5" spans="1:14" ht="4.1500000000000004" customHeight="1" thickBot="1">
      <c r="A5" s="466"/>
      <c r="B5" s="478"/>
      <c r="C5" s="487"/>
      <c r="D5" s="484"/>
      <c r="E5" s="484"/>
      <c r="F5" s="484"/>
      <c r="G5" s="488"/>
      <c r="H5" s="327"/>
      <c r="I5" s="327"/>
      <c r="J5" s="327"/>
      <c r="K5" s="327"/>
      <c r="L5" s="327"/>
      <c r="M5" s="332"/>
      <c r="N5" s="469"/>
    </row>
    <row r="6" spans="1:14" ht="99" customHeight="1" thickBot="1">
      <c r="A6" s="466"/>
      <c r="B6" s="478"/>
      <c r="C6" s="409" t="s">
        <v>384</v>
      </c>
      <c r="D6" s="819" t="s">
        <v>711</v>
      </c>
      <c r="E6" s="820"/>
      <c r="F6" s="820"/>
      <c r="G6" s="820"/>
      <c r="H6" s="820"/>
      <c r="I6" s="820"/>
      <c r="J6" s="820"/>
      <c r="K6" s="820"/>
      <c r="L6" s="821"/>
      <c r="M6" s="332"/>
      <c r="N6" s="469"/>
    </row>
    <row r="7" spans="1:14" ht="4.1500000000000004" customHeight="1" thickBot="1">
      <c r="A7" s="466"/>
      <c r="B7" s="478"/>
      <c r="C7" s="487"/>
      <c r="D7" s="484"/>
      <c r="E7" s="484"/>
      <c r="F7" s="484"/>
      <c r="G7" s="488"/>
      <c r="H7" s="485"/>
      <c r="I7" s="485"/>
      <c r="J7" s="485"/>
      <c r="K7" s="485"/>
      <c r="L7" s="485"/>
      <c r="M7" s="332"/>
      <c r="N7" s="469"/>
    </row>
    <row r="8" spans="1:14" ht="205.15" customHeight="1" thickBot="1">
      <c r="A8" s="466"/>
      <c r="B8" s="478"/>
      <c r="C8" s="408" t="s">
        <v>247</v>
      </c>
      <c r="D8" s="805" t="s">
        <v>459</v>
      </c>
      <c r="E8" s="806"/>
      <c r="F8" s="806"/>
      <c r="G8" s="806"/>
      <c r="H8" s="806"/>
      <c r="I8" s="806"/>
      <c r="J8" s="806"/>
      <c r="K8" s="806"/>
      <c r="L8" s="807"/>
      <c r="M8" s="332"/>
      <c r="N8" s="469"/>
    </row>
    <row r="9" spans="1:14" ht="4.1500000000000004" customHeight="1" thickBot="1">
      <c r="A9" s="466"/>
      <c r="B9" s="478"/>
      <c r="C9" s="487"/>
      <c r="D9" s="484"/>
      <c r="E9" s="484"/>
      <c r="F9" s="484"/>
      <c r="G9" s="488"/>
      <c r="H9" s="485"/>
      <c r="I9" s="485"/>
      <c r="J9" s="485"/>
      <c r="K9" s="485"/>
      <c r="L9" s="485"/>
      <c r="M9" s="332"/>
      <c r="N9" s="469"/>
    </row>
    <row r="10" spans="1:14" ht="273.60000000000002" customHeight="1" thickBot="1">
      <c r="A10" s="466"/>
      <c r="B10" s="478"/>
      <c r="C10" s="401" t="s">
        <v>204</v>
      </c>
      <c r="D10" s="808" t="s">
        <v>712</v>
      </c>
      <c r="E10" s="809"/>
      <c r="F10" s="809"/>
      <c r="G10" s="809"/>
      <c r="H10" s="809"/>
      <c r="I10" s="809"/>
      <c r="J10" s="809"/>
      <c r="K10" s="809"/>
      <c r="L10" s="810"/>
      <c r="M10" s="332"/>
      <c r="N10" s="469"/>
    </row>
    <row r="11" spans="1:14" ht="4.1500000000000004" customHeight="1" thickBot="1">
      <c r="A11" s="466"/>
      <c r="B11" s="478"/>
      <c r="C11" s="487"/>
      <c r="D11" s="484"/>
      <c r="E11" s="484"/>
      <c r="F11" s="484"/>
      <c r="G11" s="488"/>
      <c r="H11" s="485"/>
      <c r="I11" s="485"/>
      <c r="J11" s="485"/>
      <c r="K11" s="485"/>
      <c r="L11" s="485"/>
      <c r="M11" s="332"/>
      <c r="N11" s="469"/>
    </row>
    <row r="12" spans="1:14" ht="97.15" customHeight="1" thickBot="1">
      <c r="A12" s="466"/>
      <c r="B12" s="478"/>
      <c r="C12" s="410" t="s">
        <v>385</v>
      </c>
      <c r="D12" s="811" t="s">
        <v>361</v>
      </c>
      <c r="E12" s="812"/>
      <c r="F12" s="812"/>
      <c r="G12" s="812"/>
      <c r="H12" s="812"/>
      <c r="I12" s="812"/>
      <c r="J12" s="812"/>
      <c r="K12" s="812"/>
      <c r="L12" s="813"/>
      <c r="M12" s="332"/>
      <c r="N12" s="469"/>
    </row>
    <row r="13" spans="1:14" ht="4.1500000000000004" customHeight="1" thickBot="1">
      <c r="A13" s="466"/>
      <c r="B13" s="478"/>
      <c r="C13" s="487"/>
      <c r="D13" s="484"/>
      <c r="E13" s="484"/>
      <c r="F13" s="484"/>
      <c r="G13" s="488"/>
      <c r="H13" s="485"/>
      <c r="I13" s="485"/>
      <c r="J13" s="485"/>
      <c r="K13" s="485"/>
      <c r="L13" s="485"/>
      <c r="M13" s="332"/>
      <c r="N13" s="469"/>
    </row>
    <row r="14" spans="1:14" ht="39.6" customHeight="1" thickBot="1">
      <c r="A14" s="466"/>
      <c r="B14" s="478"/>
      <c r="C14" s="409" t="s">
        <v>7</v>
      </c>
      <c r="D14" s="808" t="s">
        <v>267</v>
      </c>
      <c r="E14" s="814"/>
      <c r="F14" s="814"/>
      <c r="G14" s="814"/>
      <c r="H14" s="814"/>
      <c r="I14" s="814"/>
      <c r="J14" s="814"/>
      <c r="K14" s="814"/>
      <c r="L14" s="815"/>
      <c r="M14" s="332"/>
      <c r="N14" s="469"/>
    </row>
    <row r="15" spans="1:14" ht="4.1500000000000004" customHeight="1" thickBot="1">
      <c r="A15" s="466"/>
      <c r="B15" s="478"/>
      <c r="C15" s="487"/>
      <c r="D15" s="484"/>
      <c r="E15" s="484"/>
      <c r="F15" s="484"/>
      <c r="G15" s="488"/>
      <c r="H15" s="485"/>
      <c r="I15" s="485"/>
      <c r="J15" s="485"/>
      <c r="K15" s="485"/>
      <c r="L15" s="485"/>
      <c r="M15" s="332"/>
      <c r="N15" s="469"/>
    </row>
    <row r="16" spans="1:14" ht="97.9" customHeight="1" thickBot="1">
      <c r="A16" s="466"/>
      <c r="B16" s="478"/>
      <c r="C16" s="410" t="s">
        <v>386</v>
      </c>
      <c r="D16" s="808" t="s">
        <v>362</v>
      </c>
      <c r="E16" s="814"/>
      <c r="F16" s="814"/>
      <c r="G16" s="814"/>
      <c r="H16" s="814"/>
      <c r="I16" s="814"/>
      <c r="J16" s="814"/>
      <c r="K16" s="814"/>
      <c r="L16" s="815"/>
      <c r="M16" s="332"/>
      <c r="N16" s="469"/>
    </row>
    <row r="17" spans="1:14" ht="4.1500000000000004" customHeight="1" thickBot="1">
      <c r="A17" s="466"/>
      <c r="B17" s="478"/>
      <c r="C17" s="487"/>
      <c r="D17" s="484"/>
      <c r="E17" s="484"/>
      <c r="F17" s="484"/>
      <c r="G17" s="488"/>
      <c r="H17" s="485"/>
      <c r="I17" s="485"/>
      <c r="J17" s="485"/>
      <c r="K17" s="485"/>
      <c r="L17" s="485"/>
      <c r="M17" s="332"/>
      <c r="N17" s="469"/>
    </row>
    <row r="18" spans="1:14" ht="70.900000000000006" customHeight="1" thickBot="1">
      <c r="A18" s="466"/>
      <c r="B18" s="478"/>
      <c r="C18" s="410" t="s">
        <v>387</v>
      </c>
      <c r="D18" s="808" t="s">
        <v>363</v>
      </c>
      <c r="E18" s="814"/>
      <c r="F18" s="814"/>
      <c r="G18" s="814"/>
      <c r="H18" s="814"/>
      <c r="I18" s="814"/>
      <c r="J18" s="814"/>
      <c r="K18" s="814"/>
      <c r="L18" s="815"/>
      <c r="M18" s="332"/>
      <c r="N18" s="469"/>
    </row>
    <row r="19" spans="1:14" ht="4.1500000000000004" customHeight="1" thickBot="1">
      <c r="A19" s="466"/>
      <c r="B19" s="478"/>
      <c r="C19" s="487"/>
      <c r="D19" s="484"/>
      <c r="E19" s="484"/>
      <c r="F19" s="484"/>
      <c r="G19" s="488"/>
      <c r="H19" s="485"/>
      <c r="I19" s="485"/>
      <c r="J19" s="485"/>
      <c r="K19" s="485"/>
      <c r="L19" s="485"/>
      <c r="M19" s="332"/>
      <c r="N19" s="469"/>
    </row>
    <row r="20" spans="1:14" s="398" customFormat="1" ht="232.9" customHeight="1" thickBot="1">
      <c r="A20" s="472"/>
      <c r="B20" s="480"/>
      <c r="C20" s="409" t="s">
        <v>157</v>
      </c>
      <c r="D20" s="811" t="s">
        <v>390</v>
      </c>
      <c r="E20" s="812"/>
      <c r="F20" s="812"/>
      <c r="G20" s="812"/>
      <c r="H20" s="812"/>
      <c r="I20" s="812"/>
      <c r="J20" s="812"/>
      <c r="K20" s="812"/>
      <c r="L20" s="813"/>
      <c r="M20" s="482"/>
      <c r="N20" s="470"/>
    </row>
    <row r="21" spans="1:14" ht="4.1500000000000004" customHeight="1" thickBot="1">
      <c r="A21" s="466"/>
      <c r="B21" s="478"/>
      <c r="C21" s="487"/>
      <c r="D21" s="484"/>
      <c r="E21" s="484"/>
      <c r="F21" s="484"/>
      <c r="G21" s="488"/>
      <c r="H21" s="485"/>
      <c r="I21" s="485"/>
      <c r="J21" s="485"/>
      <c r="K21" s="485"/>
      <c r="L21" s="485"/>
      <c r="M21" s="332"/>
      <c r="N21" s="469"/>
    </row>
    <row r="22" spans="1:14" ht="177.6" customHeight="1" thickBot="1">
      <c r="A22" s="466"/>
      <c r="B22" s="478"/>
      <c r="C22" s="409" t="s">
        <v>23</v>
      </c>
      <c r="D22" s="811" t="s">
        <v>372</v>
      </c>
      <c r="E22" s="812"/>
      <c r="F22" s="812"/>
      <c r="G22" s="812"/>
      <c r="H22" s="812"/>
      <c r="I22" s="812"/>
      <c r="J22" s="812"/>
      <c r="K22" s="812"/>
      <c r="L22" s="813"/>
      <c r="M22" s="332"/>
      <c r="N22" s="469"/>
    </row>
    <row r="23" spans="1:14" ht="4.1500000000000004" customHeight="1" thickBot="1">
      <c r="A23" s="466"/>
      <c r="B23" s="478"/>
      <c r="C23" s="487"/>
      <c r="D23" s="484"/>
      <c r="E23" s="484"/>
      <c r="F23" s="484"/>
      <c r="G23" s="488"/>
      <c r="H23" s="485"/>
      <c r="I23" s="485"/>
      <c r="J23" s="485"/>
      <c r="K23" s="485"/>
      <c r="L23" s="485"/>
      <c r="M23" s="332"/>
      <c r="N23" s="469"/>
    </row>
    <row r="24" spans="1:14" ht="68.45" customHeight="1" thickBot="1">
      <c r="A24" s="466"/>
      <c r="B24" s="478"/>
      <c r="C24" s="411" t="s">
        <v>78</v>
      </c>
      <c r="D24" s="808" t="s">
        <v>118</v>
      </c>
      <c r="E24" s="814"/>
      <c r="F24" s="814"/>
      <c r="G24" s="814"/>
      <c r="H24" s="814"/>
      <c r="I24" s="814"/>
      <c r="J24" s="814"/>
      <c r="K24" s="814"/>
      <c r="L24" s="815"/>
      <c r="M24" s="332"/>
      <c r="N24" s="469"/>
    </row>
    <row r="25" spans="1:14" ht="4.1500000000000004" customHeight="1" thickBot="1">
      <c r="A25" s="466"/>
      <c r="B25" s="478"/>
      <c r="C25" s="487"/>
      <c r="D25" s="484"/>
      <c r="E25" s="484"/>
      <c r="F25" s="484"/>
      <c r="G25" s="488"/>
      <c r="H25" s="485"/>
      <c r="I25" s="485"/>
      <c r="J25" s="485"/>
      <c r="K25" s="485"/>
      <c r="L25" s="485"/>
      <c r="M25" s="332"/>
      <c r="N25" s="469"/>
    </row>
    <row r="26" spans="1:14" ht="151.9" customHeight="1" thickBot="1">
      <c r="A26" s="466"/>
      <c r="B26" s="478"/>
      <c r="C26" s="401" t="s">
        <v>122</v>
      </c>
      <c r="D26" s="811" t="s">
        <v>364</v>
      </c>
      <c r="E26" s="812"/>
      <c r="F26" s="812"/>
      <c r="G26" s="812"/>
      <c r="H26" s="812"/>
      <c r="I26" s="812"/>
      <c r="J26" s="812"/>
      <c r="K26" s="812"/>
      <c r="L26" s="813"/>
      <c r="M26" s="332"/>
      <c r="N26" s="469"/>
    </row>
    <row r="27" spans="1:14" ht="4.1500000000000004" customHeight="1" thickBot="1">
      <c r="A27" s="466"/>
      <c r="B27" s="478"/>
      <c r="C27" s="487"/>
      <c r="D27" s="484"/>
      <c r="E27" s="484"/>
      <c r="F27" s="484"/>
      <c r="G27" s="488"/>
      <c r="H27" s="485"/>
      <c r="I27" s="485"/>
      <c r="J27" s="485"/>
      <c r="K27" s="485"/>
      <c r="L27" s="485"/>
      <c r="M27" s="332"/>
      <c r="N27" s="469"/>
    </row>
    <row r="28" spans="1:14" ht="54.6" customHeight="1" thickBot="1">
      <c r="A28" s="466"/>
      <c r="B28" s="478"/>
      <c r="C28" s="410" t="s">
        <v>20</v>
      </c>
      <c r="D28" s="816" t="s">
        <v>365</v>
      </c>
      <c r="E28" s="817"/>
      <c r="F28" s="817"/>
      <c r="G28" s="817"/>
      <c r="H28" s="817"/>
      <c r="I28" s="817"/>
      <c r="J28" s="817"/>
      <c r="K28" s="817"/>
      <c r="L28" s="818"/>
      <c r="M28" s="332"/>
      <c r="N28" s="469"/>
    </row>
    <row r="29" spans="1:14" ht="4.1500000000000004" customHeight="1" thickBot="1">
      <c r="A29" s="466"/>
      <c r="B29" s="478"/>
      <c r="C29" s="487"/>
      <c r="D29" s="484"/>
      <c r="E29" s="484"/>
      <c r="F29" s="484"/>
      <c r="G29" s="488"/>
      <c r="H29" s="485"/>
      <c r="I29" s="485"/>
      <c r="J29" s="485"/>
      <c r="K29" s="485"/>
      <c r="L29" s="485"/>
      <c r="M29" s="332"/>
      <c r="N29" s="469"/>
    </row>
    <row r="30" spans="1:14" ht="80.45" customHeight="1" thickBot="1">
      <c r="A30" s="466"/>
      <c r="B30" s="478"/>
      <c r="C30" s="410" t="s">
        <v>380</v>
      </c>
      <c r="D30" s="811" t="s">
        <v>389</v>
      </c>
      <c r="E30" s="812"/>
      <c r="F30" s="812"/>
      <c r="G30" s="812"/>
      <c r="H30" s="812"/>
      <c r="I30" s="812"/>
      <c r="J30" s="812"/>
      <c r="K30" s="812"/>
      <c r="L30" s="813"/>
      <c r="M30" s="332"/>
      <c r="N30" s="469"/>
    </row>
    <row r="31" spans="1:14" ht="4.1500000000000004" customHeight="1" thickBot="1">
      <c r="A31" s="466"/>
      <c r="B31" s="478"/>
      <c r="C31" s="487"/>
      <c r="D31" s="484"/>
      <c r="E31" s="484"/>
      <c r="F31" s="484"/>
      <c r="G31" s="488"/>
      <c r="H31" s="485"/>
      <c r="I31" s="485"/>
      <c r="J31" s="485"/>
      <c r="K31" s="485"/>
      <c r="L31" s="485"/>
      <c r="M31" s="332"/>
      <c r="N31" s="469"/>
    </row>
    <row r="32" spans="1:14" ht="56.45" customHeight="1" thickBot="1">
      <c r="A32" s="466"/>
      <c r="B32" s="478"/>
      <c r="C32" s="410" t="s">
        <v>121</v>
      </c>
      <c r="D32" s="811" t="s">
        <v>366</v>
      </c>
      <c r="E32" s="812"/>
      <c r="F32" s="812"/>
      <c r="G32" s="812"/>
      <c r="H32" s="812"/>
      <c r="I32" s="812"/>
      <c r="J32" s="812"/>
      <c r="K32" s="812"/>
      <c r="L32" s="813"/>
      <c r="M32" s="332"/>
      <c r="N32" s="469"/>
    </row>
    <row r="33" spans="1:14" ht="4.1500000000000004" customHeight="1" thickBot="1">
      <c r="A33" s="466"/>
      <c r="B33" s="478"/>
      <c r="C33" s="487"/>
      <c r="D33" s="484"/>
      <c r="E33" s="484"/>
      <c r="F33" s="484"/>
      <c r="G33" s="488"/>
      <c r="H33" s="485"/>
      <c r="I33" s="485"/>
      <c r="J33" s="485"/>
      <c r="K33" s="485"/>
      <c r="L33" s="485"/>
      <c r="M33" s="332"/>
      <c r="N33" s="469"/>
    </row>
    <row r="34" spans="1:14" ht="24.6" customHeight="1" thickBot="1">
      <c r="A34" s="466"/>
      <c r="B34" s="478"/>
      <c r="C34" s="409" t="s">
        <v>8</v>
      </c>
      <c r="D34" s="824" t="s">
        <v>367</v>
      </c>
      <c r="E34" s="822"/>
      <c r="F34" s="822"/>
      <c r="G34" s="822"/>
      <c r="H34" s="822"/>
      <c r="I34" s="822"/>
      <c r="J34" s="822"/>
      <c r="K34" s="822"/>
      <c r="L34" s="823"/>
      <c r="M34" s="332"/>
      <c r="N34" s="469"/>
    </row>
    <row r="35" spans="1:14" ht="4.1500000000000004" customHeight="1" thickBot="1">
      <c r="A35" s="466"/>
      <c r="B35" s="478"/>
      <c r="C35" s="487"/>
      <c r="D35" s="484"/>
      <c r="E35" s="484"/>
      <c r="F35" s="484"/>
      <c r="G35" s="488"/>
      <c r="H35" s="485"/>
      <c r="I35" s="485"/>
      <c r="J35" s="485"/>
      <c r="K35" s="485"/>
      <c r="L35" s="485"/>
      <c r="M35" s="332"/>
      <c r="N35" s="469"/>
    </row>
    <row r="36" spans="1:14" ht="68.45" customHeight="1" thickBot="1">
      <c r="A36" s="466"/>
      <c r="B36" s="478"/>
      <c r="C36" s="410" t="s">
        <v>369</v>
      </c>
      <c r="D36" s="816" t="s">
        <v>368</v>
      </c>
      <c r="E36" s="822"/>
      <c r="F36" s="822"/>
      <c r="G36" s="822"/>
      <c r="H36" s="822"/>
      <c r="I36" s="822"/>
      <c r="J36" s="822"/>
      <c r="K36" s="822"/>
      <c r="L36" s="823"/>
      <c r="M36" s="332"/>
      <c r="N36" s="469"/>
    </row>
    <row r="37" spans="1:14" ht="4.1500000000000004" customHeight="1" thickBot="1">
      <c r="A37" s="466"/>
      <c r="B37" s="478"/>
      <c r="C37" s="487"/>
      <c r="D37" s="484"/>
      <c r="E37" s="484"/>
      <c r="F37" s="484"/>
      <c r="G37" s="488"/>
      <c r="H37" s="485"/>
      <c r="I37" s="485"/>
      <c r="J37" s="485"/>
      <c r="K37" s="485"/>
      <c r="L37" s="485"/>
      <c r="M37" s="332"/>
      <c r="N37" s="469"/>
    </row>
    <row r="38" spans="1:14" ht="366.6" customHeight="1" thickBot="1">
      <c r="A38" s="466"/>
      <c r="B38" s="478"/>
      <c r="C38" s="409" t="s">
        <v>19</v>
      </c>
      <c r="D38" s="811" t="s">
        <v>713</v>
      </c>
      <c r="E38" s="812"/>
      <c r="F38" s="812"/>
      <c r="G38" s="812"/>
      <c r="H38" s="812"/>
      <c r="I38" s="812"/>
      <c r="J38" s="812"/>
      <c r="K38" s="812"/>
      <c r="L38" s="813"/>
      <c r="M38" s="332"/>
      <c r="N38" s="469"/>
    </row>
    <row r="39" spans="1:14" ht="4.1500000000000004" customHeight="1" thickBot="1">
      <c r="A39" s="466"/>
      <c r="B39" s="478"/>
      <c r="C39" s="487"/>
      <c r="D39" s="484"/>
      <c r="E39" s="484"/>
      <c r="F39" s="484"/>
      <c r="G39" s="488"/>
      <c r="H39" s="485"/>
      <c r="I39" s="485"/>
      <c r="J39" s="485"/>
      <c r="K39" s="485"/>
      <c r="L39" s="485"/>
      <c r="M39" s="332"/>
      <c r="N39" s="469"/>
    </row>
    <row r="40" spans="1:14" ht="86.45" customHeight="1" thickBot="1">
      <c r="A40" s="466"/>
      <c r="B40" s="478"/>
      <c r="C40" s="410" t="s">
        <v>22</v>
      </c>
      <c r="D40" s="811" t="s">
        <v>370</v>
      </c>
      <c r="E40" s="812"/>
      <c r="F40" s="812"/>
      <c r="G40" s="812"/>
      <c r="H40" s="812"/>
      <c r="I40" s="812"/>
      <c r="J40" s="812"/>
      <c r="K40" s="812"/>
      <c r="L40" s="813"/>
      <c r="M40" s="332"/>
      <c r="N40" s="469"/>
    </row>
    <row r="41" spans="1:14" ht="4.1500000000000004" customHeight="1" thickBot="1">
      <c r="A41" s="466"/>
      <c r="B41" s="478"/>
      <c r="C41" s="487"/>
      <c r="D41" s="484"/>
      <c r="E41" s="484"/>
      <c r="F41" s="484"/>
      <c r="G41" s="488"/>
      <c r="H41" s="485"/>
      <c r="I41" s="485"/>
      <c r="J41" s="485"/>
      <c r="K41" s="485"/>
      <c r="L41" s="485"/>
      <c r="M41" s="332"/>
      <c r="N41" s="469"/>
    </row>
    <row r="42" spans="1:14" ht="151.15" customHeight="1" thickBot="1">
      <c r="A42" s="466"/>
      <c r="B42" s="478"/>
      <c r="C42" s="409" t="s">
        <v>18</v>
      </c>
      <c r="D42" s="811" t="s">
        <v>371</v>
      </c>
      <c r="E42" s="812"/>
      <c r="F42" s="812"/>
      <c r="G42" s="812"/>
      <c r="H42" s="812"/>
      <c r="I42" s="812"/>
      <c r="J42" s="812"/>
      <c r="K42" s="812"/>
      <c r="L42" s="813"/>
      <c r="M42" s="332"/>
      <c r="N42" s="469"/>
    </row>
    <row r="43" spans="1:14" ht="4.1500000000000004" customHeight="1" thickBot="1">
      <c r="A43" s="466"/>
      <c r="B43" s="478"/>
      <c r="C43" s="487"/>
      <c r="D43" s="484"/>
      <c r="E43" s="484"/>
      <c r="F43" s="484"/>
      <c r="G43" s="488"/>
      <c r="H43" s="485"/>
      <c r="I43" s="485"/>
      <c r="J43" s="485"/>
      <c r="K43" s="485"/>
      <c r="L43" s="485"/>
      <c r="M43" s="332"/>
      <c r="N43" s="469"/>
    </row>
    <row r="44" spans="1:14" ht="130.5" customHeight="1">
      <c r="A44" s="466"/>
      <c r="B44" s="478"/>
      <c r="C44" s="827" t="s">
        <v>77</v>
      </c>
      <c r="D44" s="829" t="s">
        <v>759</v>
      </c>
      <c r="E44" s="830"/>
      <c r="F44" s="830"/>
      <c r="G44" s="830"/>
      <c r="H44" s="830"/>
      <c r="I44" s="830"/>
      <c r="J44" s="830"/>
      <c r="K44" s="830"/>
      <c r="L44" s="831"/>
      <c r="M44" s="332"/>
      <c r="N44" s="469"/>
    </row>
    <row r="45" spans="1:14" ht="204" customHeight="1" thickBot="1">
      <c r="A45" s="466"/>
      <c r="B45" s="478"/>
      <c r="C45" s="828"/>
      <c r="D45" s="832"/>
      <c r="E45" s="833"/>
      <c r="F45" s="833"/>
      <c r="G45" s="833"/>
      <c r="H45" s="833"/>
      <c r="I45" s="833"/>
      <c r="J45" s="833"/>
      <c r="K45" s="833"/>
      <c r="L45" s="834"/>
      <c r="M45" s="332"/>
      <c r="N45" s="469"/>
    </row>
    <row r="46" spans="1:14" ht="4.1500000000000004" customHeight="1" thickBot="1">
      <c r="A46" s="466"/>
      <c r="B46" s="478"/>
      <c r="C46" s="487"/>
      <c r="D46" s="484"/>
      <c r="E46" s="484"/>
      <c r="F46" s="484"/>
      <c r="G46" s="488"/>
      <c r="H46" s="485"/>
      <c r="I46" s="485"/>
      <c r="J46" s="485"/>
      <c r="K46" s="485"/>
      <c r="L46" s="485"/>
      <c r="M46" s="332"/>
      <c r="N46" s="469"/>
    </row>
    <row r="47" spans="1:14" ht="73.150000000000006" customHeight="1" thickBot="1">
      <c r="A47" s="466"/>
      <c r="B47" s="478"/>
      <c r="C47" s="409" t="s">
        <v>10</v>
      </c>
      <c r="D47" s="808" t="s">
        <v>373</v>
      </c>
      <c r="E47" s="814"/>
      <c r="F47" s="814"/>
      <c r="G47" s="814"/>
      <c r="H47" s="814"/>
      <c r="I47" s="814"/>
      <c r="J47" s="814"/>
      <c r="K47" s="814"/>
      <c r="L47" s="815"/>
      <c r="M47" s="332"/>
      <c r="N47" s="469"/>
    </row>
    <row r="48" spans="1:14" ht="4.1500000000000004" customHeight="1" thickBot="1">
      <c r="A48" s="466"/>
      <c r="B48" s="478"/>
      <c r="C48" s="489"/>
      <c r="D48" s="490"/>
      <c r="E48" s="490"/>
      <c r="F48" s="490"/>
      <c r="G48" s="491"/>
      <c r="H48" s="484"/>
      <c r="I48" s="484"/>
      <c r="J48" s="484"/>
      <c r="K48" s="484"/>
      <c r="L48" s="484"/>
      <c r="M48" s="332"/>
      <c r="N48" s="469"/>
    </row>
    <row r="49" spans="1:14" ht="61.9" customHeight="1" thickBot="1">
      <c r="A49" s="466"/>
      <c r="B49" s="478"/>
      <c r="C49" s="410" t="s">
        <v>156</v>
      </c>
      <c r="D49" s="811" t="s">
        <v>374</v>
      </c>
      <c r="E49" s="812"/>
      <c r="F49" s="812"/>
      <c r="G49" s="812"/>
      <c r="H49" s="812"/>
      <c r="I49" s="812"/>
      <c r="J49" s="812"/>
      <c r="K49" s="812"/>
      <c r="L49" s="813"/>
      <c r="M49" s="332"/>
      <c r="N49" s="469"/>
    </row>
    <row r="50" spans="1:14" ht="4.1500000000000004" customHeight="1" thickBot="1">
      <c r="A50" s="466"/>
      <c r="B50" s="478"/>
      <c r="C50" s="489"/>
      <c r="D50" s="490"/>
      <c r="E50" s="490"/>
      <c r="F50" s="490"/>
      <c r="G50" s="491"/>
      <c r="H50" s="484"/>
      <c r="I50" s="484"/>
      <c r="J50" s="484"/>
      <c r="K50" s="484"/>
      <c r="L50" s="484"/>
      <c r="M50" s="332"/>
      <c r="N50" s="469"/>
    </row>
    <row r="51" spans="1:14" ht="165" customHeight="1" thickBot="1">
      <c r="A51" s="466"/>
      <c r="B51" s="478"/>
      <c r="C51" s="409" t="s">
        <v>155</v>
      </c>
      <c r="D51" s="811" t="s">
        <v>379</v>
      </c>
      <c r="E51" s="812"/>
      <c r="F51" s="812"/>
      <c r="G51" s="812"/>
      <c r="H51" s="812"/>
      <c r="I51" s="812"/>
      <c r="J51" s="812"/>
      <c r="K51" s="812"/>
      <c r="L51" s="813"/>
      <c r="M51" s="332"/>
      <c r="N51" s="469"/>
    </row>
    <row r="52" spans="1:14" ht="4.1500000000000004" customHeight="1" thickBot="1">
      <c r="A52" s="466"/>
      <c r="B52" s="478"/>
      <c r="C52" s="487"/>
      <c r="D52" s="484"/>
      <c r="E52" s="484"/>
      <c r="F52" s="484"/>
      <c r="G52" s="488"/>
      <c r="H52" s="485"/>
      <c r="I52" s="485"/>
      <c r="J52" s="485"/>
      <c r="K52" s="485"/>
      <c r="L52" s="485"/>
      <c r="M52" s="332"/>
      <c r="N52" s="469"/>
    </row>
    <row r="53" spans="1:14" ht="102" customHeight="1">
      <c r="A53" s="466"/>
      <c r="B53" s="478"/>
      <c r="C53" s="827" t="s">
        <v>56</v>
      </c>
      <c r="D53" s="835" t="s">
        <v>2</v>
      </c>
      <c r="E53" s="836"/>
      <c r="F53" s="836"/>
      <c r="G53" s="836"/>
      <c r="H53" s="836"/>
      <c r="I53" s="836"/>
      <c r="J53" s="836"/>
      <c r="K53" s="836"/>
      <c r="L53" s="837"/>
      <c r="M53" s="332"/>
      <c r="N53" s="469"/>
    </row>
    <row r="54" spans="1:14" ht="18" customHeight="1">
      <c r="A54" s="466"/>
      <c r="B54" s="478"/>
      <c r="C54" s="839"/>
      <c r="D54" s="415"/>
      <c r="E54" s="838" t="s">
        <v>235</v>
      </c>
      <c r="F54" s="838"/>
      <c r="G54" s="416" t="s">
        <v>233</v>
      </c>
      <c r="H54" s="416"/>
      <c r="I54" s="826" t="s">
        <v>234</v>
      </c>
      <c r="J54" s="826"/>
      <c r="K54" s="417"/>
      <c r="L54" s="418"/>
      <c r="M54" s="332"/>
      <c r="N54" s="469"/>
    </row>
    <row r="55" spans="1:14" ht="18.75" customHeight="1">
      <c r="A55" s="466"/>
      <c r="B55" s="478"/>
      <c r="C55" s="839"/>
      <c r="D55" s="419"/>
      <c r="E55" s="840">
        <v>1</v>
      </c>
      <c r="F55" s="841"/>
      <c r="G55" s="42" t="s">
        <v>229</v>
      </c>
      <c r="H55" s="40" t="s">
        <v>232</v>
      </c>
      <c r="I55" s="41">
        <f>E55*INDEX(Sheet1!N2:P4,MATCH(G55,Sheet1!M2:M4,0),MATCH(J55,Sheet1!N1:P1,0))</f>
        <v>3.068883289737228</v>
      </c>
      <c r="J55" s="42" t="s">
        <v>54</v>
      </c>
      <c r="K55" s="417"/>
      <c r="L55" s="418"/>
      <c r="M55" s="332"/>
      <c r="N55" s="469"/>
    </row>
    <row r="56" spans="1:14" ht="18" customHeight="1">
      <c r="A56" s="466"/>
      <c r="B56" s="478"/>
      <c r="C56" s="839"/>
      <c r="D56" s="415"/>
      <c r="E56" s="420"/>
      <c r="F56" s="420"/>
      <c r="G56" s="825" t="str">
        <f>"(conversion factor = "&amp;INDEX(Sheet1!N2:P4,MATCH(G55,Sheet1!M2:M4,0),MATCH(J55,Sheet1!N1:P1,0))&amp;")"</f>
        <v>(conversion factor = 3.06888328973723)</v>
      </c>
      <c r="H56" s="825"/>
      <c r="I56" s="825"/>
      <c r="J56" s="825"/>
      <c r="K56" s="417"/>
      <c r="L56" s="418"/>
      <c r="M56" s="332"/>
      <c r="N56" s="469"/>
    </row>
    <row r="57" spans="1:14" ht="3.75" customHeight="1" thickBot="1">
      <c r="A57" s="466"/>
      <c r="B57" s="478"/>
      <c r="C57" s="828"/>
      <c r="D57" s="421"/>
      <c r="E57" s="422"/>
      <c r="F57" s="422"/>
      <c r="G57" s="423"/>
      <c r="H57" s="424"/>
      <c r="I57" s="424"/>
      <c r="J57" s="424"/>
      <c r="K57" s="424"/>
      <c r="L57" s="425"/>
      <c r="M57" s="332"/>
      <c r="N57" s="469"/>
    </row>
    <row r="58" spans="1:14" ht="4.1500000000000004" customHeight="1" thickBot="1">
      <c r="A58" s="466"/>
      <c r="B58" s="478"/>
      <c r="C58" s="483"/>
      <c r="D58" s="484"/>
      <c r="E58" s="484"/>
      <c r="F58" s="484"/>
      <c r="G58" s="485"/>
      <c r="H58" s="485"/>
      <c r="I58" s="485"/>
      <c r="J58" s="485"/>
      <c r="K58" s="485"/>
      <c r="L58" s="485"/>
      <c r="M58" s="332"/>
      <c r="N58" s="469"/>
    </row>
    <row r="59" spans="1:14" ht="183" customHeight="1" thickBot="1">
      <c r="A59" s="466"/>
      <c r="B59" s="478"/>
      <c r="C59" s="408" t="s">
        <v>206</v>
      </c>
      <c r="D59" s="842"/>
      <c r="E59" s="843"/>
      <c r="F59" s="843"/>
      <c r="G59" s="843"/>
      <c r="H59" s="843"/>
      <c r="I59" s="843"/>
      <c r="J59" s="843"/>
      <c r="K59" s="843"/>
      <c r="L59" s="844"/>
      <c r="M59" s="332"/>
      <c r="N59" s="469"/>
    </row>
    <row r="60" spans="1:14" ht="4.1500000000000004" customHeight="1" thickBot="1">
      <c r="A60" s="466"/>
      <c r="B60" s="478"/>
      <c r="C60" s="483"/>
      <c r="D60" s="484"/>
      <c r="E60" s="484"/>
      <c r="F60" s="484"/>
      <c r="G60" s="485"/>
      <c r="H60" s="485"/>
      <c r="I60" s="485"/>
      <c r="J60" s="485"/>
      <c r="K60" s="485"/>
      <c r="L60" s="485"/>
      <c r="M60" s="332"/>
      <c r="N60" s="469"/>
    </row>
    <row r="61" spans="1:14" ht="138.6" customHeight="1" thickBot="1">
      <c r="A61" s="466"/>
      <c r="B61" s="478"/>
      <c r="C61" s="408" t="s">
        <v>168</v>
      </c>
      <c r="D61" s="811" t="s">
        <v>714</v>
      </c>
      <c r="E61" s="812"/>
      <c r="F61" s="812"/>
      <c r="G61" s="812"/>
      <c r="H61" s="812"/>
      <c r="I61" s="812"/>
      <c r="J61" s="812"/>
      <c r="K61" s="812"/>
      <c r="L61" s="813"/>
      <c r="M61" s="332"/>
      <c r="N61" s="469"/>
    </row>
    <row r="62" spans="1:14" ht="4.1500000000000004" customHeight="1" thickBot="1">
      <c r="A62" s="466"/>
      <c r="B62" s="478"/>
      <c r="C62" s="483"/>
      <c r="D62" s="484"/>
      <c r="E62" s="484"/>
      <c r="F62" s="484"/>
      <c r="G62" s="485"/>
      <c r="H62" s="485"/>
      <c r="I62" s="485"/>
      <c r="J62" s="485"/>
      <c r="K62" s="485"/>
      <c r="L62" s="485"/>
      <c r="M62" s="332"/>
      <c r="N62" s="469"/>
    </row>
    <row r="63" spans="1:14" ht="99" customHeight="1" thickBot="1">
      <c r="A63" s="466"/>
      <c r="B63" s="478"/>
      <c r="C63" s="408" t="s">
        <v>153</v>
      </c>
      <c r="D63" s="808" t="s">
        <v>375</v>
      </c>
      <c r="E63" s="814"/>
      <c r="F63" s="814"/>
      <c r="G63" s="814"/>
      <c r="H63" s="814"/>
      <c r="I63" s="814"/>
      <c r="J63" s="814"/>
      <c r="K63" s="814"/>
      <c r="L63" s="815"/>
      <c r="M63" s="332"/>
      <c r="N63" s="469"/>
    </row>
    <row r="64" spans="1:14" ht="4.1500000000000004" customHeight="1" thickBot="1">
      <c r="A64" s="466"/>
      <c r="B64" s="478"/>
      <c r="C64" s="483"/>
      <c r="D64" s="484"/>
      <c r="E64" s="484"/>
      <c r="F64" s="484"/>
      <c r="G64" s="485"/>
      <c r="H64" s="485"/>
      <c r="I64" s="485"/>
      <c r="J64" s="485"/>
      <c r="K64" s="485"/>
      <c r="L64" s="485"/>
      <c r="M64" s="332"/>
      <c r="N64" s="469"/>
    </row>
    <row r="65" spans="1:14" ht="99.6" customHeight="1" thickBot="1">
      <c r="A65" s="466"/>
      <c r="B65" s="478"/>
      <c r="C65" s="411" t="s">
        <v>746</v>
      </c>
      <c r="D65" s="808" t="s">
        <v>378</v>
      </c>
      <c r="E65" s="814"/>
      <c r="F65" s="814"/>
      <c r="G65" s="814"/>
      <c r="H65" s="814"/>
      <c r="I65" s="814"/>
      <c r="J65" s="814"/>
      <c r="K65" s="814"/>
      <c r="L65" s="815"/>
      <c r="M65" s="332"/>
      <c r="N65" s="469"/>
    </row>
    <row r="66" spans="1:14" ht="4.1500000000000004" customHeight="1" thickBot="1">
      <c r="A66" s="466"/>
      <c r="B66" s="478"/>
      <c r="C66" s="483"/>
      <c r="D66" s="484"/>
      <c r="E66" s="484"/>
      <c r="F66" s="484"/>
      <c r="G66" s="485"/>
      <c r="H66" s="485"/>
      <c r="I66" s="485"/>
      <c r="J66" s="485"/>
      <c r="K66" s="485"/>
      <c r="L66" s="485"/>
      <c r="M66" s="332"/>
      <c r="N66" s="469"/>
    </row>
    <row r="67" spans="1:14" ht="151.15" customHeight="1" thickBot="1">
      <c r="A67" s="466"/>
      <c r="B67" s="478"/>
      <c r="C67" s="408" t="s">
        <v>154</v>
      </c>
      <c r="D67" s="808" t="s">
        <v>715</v>
      </c>
      <c r="E67" s="814"/>
      <c r="F67" s="814"/>
      <c r="G67" s="814"/>
      <c r="H67" s="814"/>
      <c r="I67" s="814"/>
      <c r="J67" s="814"/>
      <c r="K67" s="814"/>
      <c r="L67" s="815"/>
      <c r="M67" s="332"/>
      <c r="N67" s="469"/>
    </row>
    <row r="68" spans="1:14" ht="4.1500000000000004" customHeight="1" thickBot="1">
      <c r="A68" s="466"/>
      <c r="B68" s="478"/>
      <c r="C68" s="483"/>
      <c r="D68" s="484"/>
      <c r="E68" s="484"/>
      <c r="F68" s="484"/>
      <c r="G68" s="485"/>
      <c r="H68" s="485"/>
      <c r="I68" s="485"/>
      <c r="J68" s="485"/>
      <c r="K68" s="485"/>
      <c r="L68" s="485"/>
      <c r="M68" s="332"/>
      <c r="N68" s="469"/>
    </row>
    <row r="69" spans="1:14" ht="124.9" customHeight="1" thickBot="1">
      <c r="A69" s="466"/>
      <c r="B69" s="478"/>
      <c r="C69" s="408" t="s">
        <v>747</v>
      </c>
      <c r="D69" s="808" t="s">
        <v>377</v>
      </c>
      <c r="E69" s="814"/>
      <c r="F69" s="814"/>
      <c r="G69" s="814"/>
      <c r="H69" s="814"/>
      <c r="I69" s="814"/>
      <c r="J69" s="814"/>
      <c r="K69" s="814"/>
      <c r="L69" s="815"/>
      <c r="M69" s="332"/>
      <c r="N69" s="469"/>
    </row>
    <row r="70" spans="1:14" ht="4.1500000000000004" customHeight="1" thickBot="1">
      <c r="A70" s="466"/>
      <c r="B70" s="478"/>
      <c r="C70" s="487"/>
      <c r="D70" s="484"/>
      <c r="E70" s="484"/>
      <c r="F70" s="484"/>
      <c r="G70" s="488"/>
      <c r="H70" s="485"/>
      <c r="I70" s="485"/>
      <c r="J70" s="485"/>
      <c r="K70" s="485"/>
      <c r="L70" s="485"/>
      <c r="M70" s="332"/>
      <c r="N70" s="469"/>
    </row>
    <row r="71" spans="1:14" ht="59.45" customHeight="1" thickBot="1">
      <c r="A71" s="466"/>
      <c r="B71" s="478"/>
      <c r="C71" s="411" t="s">
        <v>391</v>
      </c>
      <c r="D71" s="808" t="s">
        <v>376</v>
      </c>
      <c r="E71" s="814"/>
      <c r="F71" s="814"/>
      <c r="G71" s="814"/>
      <c r="H71" s="814"/>
      <c r="I71" s="814"/>
      <c r="J71" s="814"/>
      <c r="K71" s="814"/>
      <c r="L71" s="815"/>
      <c r="M71" s="332"/>
      <c r="N71" s="469"/>
    </row>
    <row r="72" spans="1:14" ht="4.1500000000000004" customHeight="1" thickBot="1">
      <c r="A72" s="473"/>
      <c r="B72" s="481"/>
      <c r="C72" s="486"/>
      <c r="D72" s="485"/>
      <c r="E72" s="485"/>
      <c r="F72" s="485"/>
      <c r="G72" s="484"/>
      <c r="H72" s="484"/>
      <c r="I72" s="484"/>
      <c r="J72" s="484"/>
      <c r="K72" s="484"/>
      <c r="L72" s="484"/>
      <c r="M72" s="332"/>
      <c r="N72" s="469"/>
    </row>
    <row r="73" spans="1:14" ht="112.9" customHeight="1" thickBot="1">
      <c r="A73" s="466"/>
      <c r="B73" s="478"/>
      <c r="C73" s="411" t="s">
        <v>748</v>
      </c>
      <c r="D73" s="808" t="s">
        <v>716</v>
      </c>
      <c r="E73" s="814"/>
      <c r="F73" s="814"/>
      <c r="G73" s="814"/>
      <c r="H73" s="814"/>
      <c r="I73" s="814"/>
      <c r="J73" s="814"/>
      <c r="K73" s="814"/>
      <c r="L73" s="815"/>
      <c r="M73" s="332"/>
      <c r="N73" s="469"/>
    </row>
    <row r="74" spans="1:14" ht="4.1500000000000004" customHeight="1" thickBot="1">
      <c r="A74" s="466"/>
      <c r="B74" s="478"/>
      <c r="C74" s="483"/>
      <c r="D74" s="484"/>
      <c r="E74" s="484"/>
      <c r="F74" s="484"/>
      <c r="G74" s="485"/>
      <c r="H74" s="485"/>
      <c r="I74" s="485"/>
      <c r="J74" s="485"/>
      <c r="K74" s="485"/>
      <c r="L74" s="485"/>
      <c r="M74" s="332"/>
      <c r="N74" s="469"/>
    </row>
    <row r="75" spans="1:14" ht="74.25" customHeight="1" thickBot="1">
      <c r="A75" s="466"/>
      <c r="B75" s="478"/>
      <c r="C75" s="410" t="s">
        <v>392</v>
      </c>
      <c r="D75" s="819" t="s">
        <v>717</v>
      </c>
      <c r="E75" s="820"/>
      <c r="F75" s="820"/>
      <c r="G75" s="820"/>
      <c r="H75" s="820"/>
      <c r="I75" s="820"/>
      <c r="J75" s="820"/>
      <c r="K75" s="820"/>
      <c r="L75" s="821"/>
      <c r="M75" s="332"/>
      <c r="N75" s="469"/>
    </row>
    <row r="76" spans="1:14" ht="6.75" customHeight="1" thickBot="1">
      <c r="A76" s="466"/>
      <c r="B76" s="474"/>
      <c r="C76" s="475"/>
      <c r="D76" s="476"/>
      <c r="E76" s="476"/>
      <c r="F76" s="476"/>
      <c r="G76" s="476"/>
      <c r="H76" s="476"/>
      <c r="I76" s="476"/>
      <c r="J76" s="476"/>
      <c r="K76" s="476"/>
      <c r="L76" s="476"/>
      <c r="M76" s="477"/>
      <c r="N76" s="469"/>
    </row>
    <row r="77" spans="1:14" ht="12.75" hidden="1" customHeight="1" thickTop="1">
      <c r="N77" s="469"/>
    </row>
    <row r="78" spans="1:14" hidden="1">
      <c r="N78" s="469"/>
    </row>
    <row r="79" spans="1:14" hidden="1">
      <c r="N79" s="468"/>
    </row>
    <row r="80" spans="1:14" hidden="1">
      <c r="N80" s="468"/>
    </row>
    <row r="81" spans="14:14" hidden="1">
      <c r="N81" s="468"/>
    </row>
    <row r="82" spans="14:14" hidden="1">
      <c r="N82" s="468"/>
    </row>
    <row r="83" spans="14:14" hidden="1">
      <c r="N83" s="468"/>
    </row>
    <row r="84" spans="14:14" hidden="1">
      <c r="N84" s="468"/>
    </row>
    <row r="85" spans="14:14" hidden="1">
      <c r="N85" s="468"/>
    </row>
    <row r="86" spans="14:14" hidden="1">
      <c r="N86" s="468"/>
    </row>
    <row r="87" spans="14:14" hidden="1">
      <c r="N87" s="468"/>
    </row>
    <row r="88" spans="14:14" hidden="1">
      <c r="N88" s="468"/>
    </row>
    <row r="89" spans="14:14" hidden="1">
      <c r="N89" s="468"/>
    </row>
    <row r="90" spans="14:14" hidden="1">
      <c r="N90" s="468"/>
    </row>
    <row r="91" spans="14:14" hidden="1">
      <c r="N91" s="468"/>
    </row>
    <row r="92" spans="14:14" hidden="1">
      <c r="N92" s="468"/>
    </row>
    <row r="93" spans="14:14" hidden="1">
      <c r="N93" s="468"/>
    </row>
    <row r="94" spans="14:14" hidden="1">
      <c r="N94" s="468"/>
    </row>
    <row r="95" spans="14:14" hidden="1">
      <c r="N95" s="468"/>
    </row>
    <row r="96" spans="14:14" hidden="1">
      <c r="N96" s="468"/>
    </row>
    <row r="97" spans="14:14" hidden="1">
      <c r="N97" s="468"/>
    </row>
    <row r="98" spans="14:14" hidden="1">
      <c r="N98" s="468"/>
    </row>
    <row r="99" spans="14:14" hidden="1">
      <c r="N99" s="468"/>
    </row>
    <row r="100" spans="14:14" hidden="1">
      <c r="N100" s="468"/>
    </row>
    <row r="101" spans="14:14" hidden="1">
      <c r="N101" s="468"/>
    </row>
    <row r="102" spans="14:14" hidden="1">
      <c r="N102" s="468"/>
    </row>
    <row r="103" spans="14:14" hidden="1">
      <c r="N103" s="468"/>
    </row>
    <row r="104" spans="14:14" hidden="1">
      <c r="N104" s="468"/>
    </row>
    <row r="105" spans="14:14" hidden="1">
      <c r="N105" s="468"/>
    </row>
    <row r="106" spans="14:14" hidden="1">
      <c r="N106" s="468"/>
    </row>
    <row r="107" spans="14:14" hidden="1">
      <c r="N107" s="468"/>
    </row>
    <row r="108" spans="14:14" hidden="1">
      <c r="N108" s="468"/>
    </row>
    <row r="109" spans="14:14" hidden="1">
      <c r="N109" s="468"/>
    </row>
    <row r="110" spans="14:14" hidden="1">
      <c r="N110" s="468"/>
    </row>
    <row r="111" spans="14:14" hidden="1">
      <c r="N111" s="468"/>
    </row>
    <row r="112" spans="14:14" hidden="1">
      <c r="N112" s="468"/>
    </row>
    <row r="113" spans="14:14" hidden="1">
      <c r="N113" s="468"/>
    </row>
    <row r="114" spans="14:14" hidden="1">
      <c r="N114" s="468"/>
    </row>
    <row r="115" spans="14:14" hidden="1">
      <c r="N115" s="468"/>
    </row>
    <row r="116" spans="14:14" hidden="1">
      <c r="N116" s="468"/>
    </row>
    <row r="117" spans="14:14" hidden="1">
      <c r="N117" s="468"/>
    </row>
    <row r="118" spans="14:14" hidden="1">
      <c r="N118" s="468"/>
    </row>
    <row r="119" spans="14:14" hidden="1">
      <c r="N119" s="468"/>
    </row>
    <row r="120" spans="14:14" hidden="1">
      <c r="N120" s="468"/>
    </row>
    <row r="121" spans="14:14" hidden="1">
      <c r="N121" s="468"/>
    </row>
    <row r="122" spans="14:14" hidden="1">
      <c r="N122" s="468"/>
    </row>
    <row r="123" spans="14:14" hidden="1">
      <c r="N123" s="468"/>
    </row>
    <row r="124" spans="14:14" hidden="1">
      <c r="N124" s="468"/>
    </row>
    <row r="125" spans="14:14" hidden="1">
      <c r="N125" s="468"/>
    </row>
    <row r="126" spans="14:14" hidden="1">
      <c r="N126" s="468"/>
    </row>
    <row r="127" spans="14:14" hidden="1">
      <c r="N127" s="468"/>
    </row>
    <row r="128" spans="14:14" hidden="1">
      <c r="N128" s="468"/>
    </row>
    <row r="129" spans="14:14" hidden="1">
      <c r="N129" s="468"/>
    </row>
    <row r="130" spans="14:14" hidden="1">
      <c r="N130" s="468"/>
    </row>
    <row r="131" spans="14:14" hidden="1">
      <c r="N131" s="468"/>
    </row>
    <row r="132" spans="14:14" hidden="1">
      <c r="N132" s="468"/>
    </row>
    <row r="133" spans="14:14" hidden="1">
      <c r="N133" s="468"/>
    </row>
    <row r="134" spans="14:14" hidden="1">
      <c r="N134" s="468"/>
    </row>
    <row r="135" spans="14:14" hidden="1">
      <c r="N135" s="468"/>
    </row>
    <row r="136" spans="14:14" hidden="1">
      <c r="N136" s="468"/>
    </row>
    <row r="137" spans="14:14" hidden="1">
      <c r="N137" s="468"/>
    </row>
    <row r="138" spans="14:14" hidden="1">
      <c r="N138" s="468"/>
    </row>
    <row r="139" spans="14:14" hidden="1">
      <c r="N139" s="468"/>
    </row>
    <row r="140" spans="14:14" hidden="1">
      <c r="N140" s="468"/>
    </row>
    <row r="141" spans="14:14" hidden="1">
      <c r="N141" s="468"/>
    </row>
    <row r="142" spans="14:14" hidden="1">
      <c r="N142" s="468"/>
    </row>
    <row r="143" spans="14:14" hidden="1">
      <c r="N143" s="468"/>
    </row>
    <row r="144" spans="14:14" hidden="1">
      <c r="N144" s="468"/>
    </row>
    <row r="145" spans="14:14" hidden="1">
      <c r="N145" s="468"/>
    </row>
    <row r="146" spans="14:14" hidden="1">
      <c r="N146" s="468"/>
    </row>
    <row r="147" spans="14:14" hidden="1">
      <c r="N147" s="468"/>
    </row>
    <row r="148" spans="14:14" hidden="1">
      <c r="N148" s="468"/>
    </row>
    <row r="149" spans="14:14" hidden="1">
      <c r="N149" s="468"/>
    </row>
    <row r="150" spans="14:14" hidden="1">
      <c r="N150" s="468"/>
    </row>
    <row r="151" spans="14:14" hidden="1">
      <c r="N151" s="468"/>
    </row>
    <row r="152" spans="14:14" hidden="1">
      <c r="N152" s="468"/>
    </row>
    <row r="153" spans="14:14" hidden="1">
      <c r="N153" s="468"/>
    </row>
    <row r="154" spans="14:14" hidden="1">
      <c r="N154" s="468"/>
    </row>
    <row r="155" spans="14:14" hidden="1">
      <c r="N155" s="468"/>
    </row>
    <row r="156" spans="14:14" hidden="1">
      <c r="N156" s="468"/>
    </row>
    <row r="157" spans="14:14" hidden="1">
      <c r="N157" s="468"/>
    </row>
    <row r="158" spans="14:14" hidden="1">
      <c r="N158" s="468"/>
    </row>
    <row r="159" spans="14:14" hidden="1">
      <c r="N159" s="468"/>
    </row>
    <row r="160" spans="14:14" hidden="1">
      <c r="N160" s="468"/>
    </row>
    <row r="161" spans="1:14" hidden="1">
      <c r="N161" s="468"/>
    </row>
    <row r="162" spans="1:14" hidden="1">
      <c r="N162" s="468"/>
    </row>
    <row r="163" spans="1:14" hidden="1">
      <c r="N163" s="468"/>
    </row>
    <row r="164" spans="1:14" hidden="1">
      <c r="N164" s="468"/>
    </row>
    <row r="165" spans="1:14" hidden="1">
      <c r="N165" s="468"/>
    </row>
    <row r="166" spans="1:14" hidden="1">
      <c r="N166" s="468"/>
    </row>
    <row r="167" spans="1:14" hidden="1">
      <c r="N167" s="468"/>
    </row>
    <row r="168" spans="1:14" hidden="1">
      <c r="N168" s="468"/>
    </row>
    <row r="169" spans="1:14" hidden="1">
      <c r="N169" s="468"/>
    </row>
    <row r="170" spans="1:14" hidden="1">
      <c r="N170" s="468"/>
    </row>
    <row r="171" spans="1:14" ht="29.45" hidden="1" customHeight="1" thickTop="1">
      <c r="N171" s="468"/>
    </row>
    <row r="172" spans="1:14" ht="7.9" customHeight="1" thickTop="1">
      <c r="A172" s="466"/>
      <c r="B172" s="466"/>
      <c r="C172" s="467"/>
      <c r="D172" s="468"/>
      <c r="E172" s="468"/>
      <c r="F172" s="468"/>
      <c r="G172" s="468"/>
      <c r="H172" s="468"/>
      <c r="I172" s="468"/>
      <c r="J172" s="468"/>
      <c r="K172" s="468"/>
      <c r="L172" s="468"/>
      <c r="M172" s="468"/>
      <c r="N172" s="468"/>
    </row>
  </sheetData>
  <sheetProtection password="8B16" sheet="1" objects="1" scenarios="1"/>
  <mergeCells count="41">
    <mergeCell ref="D75:L75"/>
    <mergeCell ref="E55:F55"/>
    <mergeCell ref="D73:L73"/>
    <mergeCell ref="D69:L69"/>
    <mergeCell ref="D59:L59"/>
    <mergeCell ref="D61:L61"/>
    <mergeCell ref="D63:L63"/>
    <mergeCell ref="D71:L71"/>
    <mergeCell ref="D65:L65"/>
    <mergeCell ref="D67:L67"/>
    <mergeCell ref="C44:C45"/>
    <mergeCell ref="D44:L45"/>
    <mergeCell ref="D51:L51"/>
    <mergeCell ref="D53:L53"/>
    <mergeCell ref="E54:F54"/>
    <mergeCell ref="C53:C57"/>
    <mergeCell ref="D47:L47"/>
    <mergeCell ref="D38:L38"/>
    <mergeCell ref="D36:L36"/>
    <mergeCell ref="D26:L26"/>
    <mergeCell ref="D34:L34"/>
    <mergeCell ref="D42:L42"/>
    <mergeCell ref="G56:J56"/>
    <mergeCell ref="D49:L49"/>
    <mergeCell ref="I54:J54"/>
    <mergeCell ref="D32:L32"/>
    <mergeCell ref="D40:L40"/>
    <mergeCell ref="D28:L28"/>
    <mergeCell ref="D6:L6"/>
    <mergeCell ref="D30:L30"/>
    <mergeCell ref="D20:L20"/>
    <mergeCell ref="D22:L22"/>
    <mergeCell ref="D24:L24"/>
    <mergeCell ref="D16:L16"/>
    <mergeCell ref="D18:L18"/>
    <mergeCell ref="B2:M3"/>
    <mergeCell ref="D4:L4"/>
    <mergeCell ref="D8:L8"/>
    <mergeCell ref="D10:L10"/>
    <mergeCell ref="D12:L12"/>
    <mergeCell ref="D14:L14"/>
  </mergeCells>
  <phoneticPr fontId="0" type="noConversion"/>
  <dataValidations count="1">
    <dataValidation type="list" allowBlank="1" showInputMessage="1" showErrorMessage="1" sqref="G55 J55" xr:uid="{E8FE39CC-E389-4C18-8CF4-210308126125}">
      <formula1>"Million Gallons (US),Megalitres (thousand cubic metres),Acre-feet"</formula1>
    </dataValidation>
  </dataValidations>
  <pageMargins left="0.25" right="0.25" top="0.75" bottom="0.75" header="0.3" footer="0.3"/>
  <pageSetup scale="69" orientation="portrait" horizontalDpi="1200" r:id="rId1"/>
  <headerFooter alignWithMargins="0">
    <oddFooter>&amp;CAWWA Free Water Audit Software v5.0&amp;R&amp;A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D979-B239-42BC-809C-6B61C099903A}">
  <sheetPr codeName="Sheet11">
    <tabColor theme="3" tint="0.79998168889431442"/>
  </sheetPr>
  <dimension ref="A1:IU98"/>
  <sheetViews>
    <sheetView showGridLines="0" showRowColHeaders="0" zoomScaleNormal="100" workbookViewId="0">
      <pane ySplit="6" topLeftCell="A24" activePane="bottomLeft" state="frozen"/>
      <selection pane="bottomLeft" activeCell="A7" sqref="A7"/>
    </sheetView>
  </sheetViews>
  <sheetFormatPr defaultColWidth="0" defaultRowHeight="0" customHeight="1" zeroHeight="1"/>
  <cols>
    <col min="1" max="1" width="1.42578125" style="4" customWidth="1"/>
    <col min="2" max="2" width="1.28515625" style="4" customWidth="1"/>
    <col min="3" max="3" width="19.140625" style="1" customWidth="1"/>
    <col min="4" max="18" width="8.28515625" style="1" customWidth="1"/>
    <col min="19" max="19" width="1.140625" style="62" customWidth="1"/>
    <col min="20" max="20" width="1.42578125" style="20" customWidth="1"/>
    <col min="21" max="21" width="2.140625" style="55" hidden="1" customWidth="1"/>
    <col min="22" max="22" width="3" style="55" hidden="1" customWidth="1"/>
    <col min="23" max="255" width="0" style="1" hidden="1" customWidth="1"/>
    <col min="256" max="16384" width="3.140625" style="1" hidden="1"/>
  </cols>
  <sheetData>
    <row r="1" spans="1:22" s="3" customFormat="1" ht="8.25" customHeight="1" thickBot="1">
      <c r="A1" s="492"/>
      <c r="B1" s="492"/>
      <c r="C1" s="493"/>
      <c r="D1" s="493"/>
      <c r="E1" s="493"/>
      <c r="F1" s="493"/>
      <c r="G1" s="493"/>
      <c r="H1" s="493"/>
      <c r="I1" s="493"/>
      <c r="J1" s="493"/>
      <c r="K1" s="493"/>
      <c r="L1" s="493"/>
      <c r="M1" s="493"/>
      <c r="N1" s="493"/>
      <c r="O1" s="493"/>
      <c r="P1" s="493"/>
      <c r="Q1" s="493"/>
      <c r="R1" s="493"/>
      <c r="S1" s="494"/>
      <c r="T1" s="493"/>
      <c r="U1" s="55"/>
      <c r="V1" s="55"/>
    </row>
    <row r="2" spans="1:22" ht="42" customHeight="1" thickTop="1">
      <c r="A2" s="492"/>
      <c r="B2" s="900" t="s">
        <v>340</v>
      </c>
      <c r="C2" s="901"/>
      <c r="D2" s="901"/>
      <c r="E2" s="901"/>
      <c r="F2" s="901"/>
      <c r="G2" s="901"/>
      <c r="H2" s="901"/>
      <c r="I2" s="901"/>
      <c r="J2" s="901"/>
      <c r="K2" s="901"/>
      <c r="L2" s="901"/>
      <c r="M2" s="901"/>
      <c r="N2" s="901"/>
      <c r="O2" s="901"/>
      <c r="P2" s="901"/>
      <c r="Q2" s="901"/>
      <c r="R2" s="901"/>
      <c r="S2" s="902"/>
      <c r="T2" s="495"/>
      <c r="U2" s="61"/>
    </row>
    <row r="3" spans="1:22" ht="5.45" customHeight="1">
      <c r="A3" s="492"/>
      <c r="B3" s="306"/>
      <c r="C3" s="307"/>
      <c r="D3" s="307"/>
      <c r="E3" s="307"/>
      <c r="F3" s="307"/>
      <c r="G3" s="307"/>
      <c r="H3" s="307"/>
      <c r="I3" s="307"/>
      <c r="J3" s="307"/>
      <c r="K3" s="307"/>
      <c r="L3" s="307"/>
      <c r="M3" s="307"/>
      <c r="N3" s="307"/>
      <c r="O3" s="307"/>
      <c r="P3" s="307"/>
      <c r="Q3" s="307"/>
      <c r="R3" s="307"/>
      <c r="S3" s="308"/>
      <c r="T3" s="496"/>
      <c r="U3" s="60"/>
    </row>
    <row r="4" spans="1:22" ht="16.899999999999999" customHeight="1">
      <c r="A4" s="492"/>
      <c r="B4" s="306"/>
      <c r="C4" s="307"/>
      <c r="D4" s="307"/>
      <c r="E4" s="77"/>
      <c r="F4" s="224" t="s">
        <v>165</v>
      </c>
      <c r="G4" s="845" t="str">
        <f>IF(ISBLANK(Instructions!D18),"&lt;&lt; Please enter system details and contact information on the Instructions tab &gt;&gt;",Instructions!D18&amp;IF(ISBLANK(Instructions!D36),"","  ("&amp;Instructions!D36&amp;")"))</f>
        <v>Suez Water DE</v>
      </c>
      <c r="H4" s="846"/>
      <c r="I4" s="846"/>
      <c r="J4" s="846"/>
      <c r="K4" s="846"/>
      <c r="L4" s="846"/>
      <c r="M4" s="846"/>
      <c r="N4" s="846"/>
      <c r="O4" s="847"/>
      <c r="P4" s="307"/>
      <c r="Q4" s="307"/>
      <c r="R4" s="307"/>
      <c r="S4" s="308"/>
      <c r="T4" s="496"/>
      <c r="U4" s="60"/>
    </row>
    <row r="5" spans="1:22" ht="16.899999999999999" customHeight="1">
      <c r="A5" s="492"/>
      <c r="B5" s="306"/>
      <c r="C5" s="307"/>
      <c r="D5" s="307"/>
      <c r="E5" s="76"/>
      <c r="F5" s="224" t="s">
        <v>166</v>
      </c>
      <c r="G5" s="620">
        <f>IF(ISBLANK(Instructions!D26),"",Instructions!D26)</f>
        <v>2020</v>
      </c>
      <c r="H5" s="848" t="str">
        <f>IF(ISBLANK(Instructions!D26),"",IF(Instructions!E26="Calendar Year","1/"&amp;Instructions!D26&amp;" - "&amp;"12/"&amp;Instructions!D26,IF(OR(ISBLANK(Instructions!D28),ISBLANK(Instructions!D30)),"",MONTH(Instructions!D28)&amp;"/"&amp;YEAR(Instructions!D28)&amp;" - "&amp;MONTH(Instructions!D30)&amp;"/"&amp;YEAR(Instructions!D30))))</f>
        <v>1/2020 - 12/2020</v>
      </c>
      <c r="I5" s="849"/>
      <c r="J5" s="307"/>
      <c r="K5" s="307"/>
      <c r="L5" s="307"/>
      <c r="M5" s="307"/>
      <c r="N5" s="307"/>
      <c r="O5" s="307"/>
      <c r="P5" s="307"/>
      <c r="Q5" s="307"/>
      <c r="R5" s="307"/>
      <c r="S5" s="308"/>
      <c r="T5" s="496"/>
      <c r="U5" s="60"/>
    </row>
    <row r="6" spans="1:22" ht="16.899999999999999" customHeight="1">
      <c r="A6" s="492"/>
      <c r="B6" s="306"/>
      <c r="C6" s="307"/>
      <c r="D6" s="307"/>
      <c r="E6" s="76"/>
      <c r="F6" s="224" t="s">
        <v>678</v>
      </c>
      <c r="G6" s="618">
        <f>IF(ISBLANK(Instructions!$D$34),"N/A*",IF(GradingAssessment!M24&gt;0,"N/A*",ROUND(GradingAssessment!G24,0)))</f>
        <v>70</v>
      </c>
      <c r="H6" s="616" t="str">
        <f>IF(G6="N/A*","* Confirm Units and Data Grading are Complete","")</f>
        <v/>
      </c>
      <c r="I6" s="619"/>
      <c r="J6" s="307"/>
      <c r="K6" s="307"/>
      <c r="L6" s="307"/>
      <c r="M6" s="307"/>
      <c r="N6" s="307"/>
      <c r="O6" s="307"/>
      <c r="P6" s="307"/>
      <c r="Q6" s="307"/>
      <c r="R6" s="307"/>
      <c r="S6" s="308"/>
      <c r="T6" s="496"/>
      <c r="U6" s="60"/>
    </row>
    <row r="7" spans="1:22" ht="6" customHeight="1" thickBot="1">
      <c r="A7" s="492"/>
      <c r="B7" s="306"/>
      <c r="C7" s="307"/>
      <c r="D7" s="307"/>
      <c r="E7" s="307"/>
      <c r="F7" s="307"/>
      <c r="G7" s="307"/>
      <c r="H7" s="307"/>
      <c r="I7" s="307"/>
      <c r="J7" s="307"/>
      <c r="K7" s="307"/>
      <c r="L7" s="307"/>
      <c r="M7" s="307"/>
      <c r="N7" s="307"/>
      <c r="O7" s="307"/>
      <c r="P7" s="307"/>
      <c r="Q7" s="307"/>
      <c r="R7" s="307"/>
      <c r="S7" s="308"/>
      <c r="T7" s="496"/>
      <c r="U7" s="60"/>
    </row>
    <row r="8" spans="1:22" ht="25.9" customHeight="1" thickBot="1">
      <c r="A8" s="492"/>
      <c r="B8" s="306"/>
      <c r="C8" s="850" t="s">
        <v>147</v>
      </c>
      <c r="D8" s="851"/>
      <c r="E8" s="851"/>
      <c r="F8" s="851"/>
      <c r="G8" s="851"/>
      <c r="H8" s="851"/>
      <c r="I8" s="851"/>
      <c r="J8" s="851"/>
      <c r="K8" s="851"/>
      <c r="L8" s="851"/>
      <c r="M8" s="851"/>
      <c r="N8" s="851"/>
      <c r="O8" s="851"/>
      <c r="P8" s="851"/>
      <c r="Q8" s="851"/>
      <c r="R8" s="852"/>
      <c r="S8" s="308"/>
      <c r="T8" s="496"/>
      <c r="U8" s="60"/>
    </row>
    <row r="9" spans="1:22" ht="18.75" customHeight="1" thickTop="1">
      <c r="A9" s="492"/>
      <c r="B9" s="306"/>
      <c r="C9" s="56"/>
      <c r="D9" s="859" t="s">
        <v>115</v>
      </c>
      <c r="E9" s="860"/>
      <c r="F9" s="860"/>
      <c r="G9" s="860"/>
      <c r="H9" s="860"/>
      <c r="I9" s="860"/>
      <c r="J9" s="860"/>
      <c r="K9" s="860"/>
      <c r="L9" s="860"/>
      <c r="M9" s="860"/>
      <c r="N9" s="860"/>
      <c r="O9" s="860"/>
      <c r="P9" s="860"/>
      <c r="Q9" s="860"/>
      <c r="R9" s="861"/>
      <c r="S9" s="308"/>
      <c r="T9" s="496"/>
      <c r="U9" s="60"/>
    </row>
    <row r="10" spans="1:22" ht="34.5" customHeight="1" thickBot="1">
      <c r="A10" s="492"/>
      <c r="B10" s="306"/>
      <c r="C10" s="312" t="s">
        <v>148</v>
      </c>
      <c r="D10" s="862" t="s">
        <v>151</v>
      </c>
      <c r="E10" s="857"/>
      <c r="F10" s="858"/>
      <c r="G10" s="856" t="s">
        <v>274</v>
      </c>
      <c r="H10" s="857"/>
      <c r="I10" s="858"/>
      <c r="J10" s="856" t="s">
        <v>275</v>
      </c>
      <c r="K10" s="857"/>
      <c r="L10" s="858"/>
      <c r="M10" s="856" t="s">
        <v>276</v>
      </c>
      <c r="N10" s="857"/>
      <c r="O10" s="858"/>
      <c r="P10" s="856" t="s">
        <v>277</v>
      </c>
      <c r="Q10" s="857"/>
      <c r="R10" s="875"/>
      <c r="S10" s="308"/>
      <c r="T10" s="496"/>
      <c r="U10" s="60"/>
    </row>
    <row r="11" spans="1:22" ht="66.75" customHeight="1" thickTop="1">
      <c r="A11" s="492"/>
      <c r="B11" s="306"/>
      <c r="C11" s="57" t="s">
        <v>181</v>
      </c>
      <c r="D11" s="877" t="s">
        <v>182</v>
      </c>
      <c r="E11" s="854"/>
      <c r="F11" s="876"/>
      <c r="G11" s="853" t="s">
        <v>183</v>
      </c>
      <c r="H11" s="854"/>
      <c r="I11" s="876"/>
      <c r="J11" s="853" t="s">
        <v>184</v>
      </c>
      <c r="K11" s="854"/>
      <c r="L11" s="855"/>
      <c r="M11" s="853" t="s">
        <v>33</v>
      </c>
      <c r="N11" s="854"/>
      <c r="O11" s="855"/>
      <c r="P11" s="853" t="s">
        <v>34</v>
      </c>
      <c r="Q11" s="854"/>
      <c r="R11" s="855"/>
      <c r="S11" s="308"/>
      <c r="T11" s="496"/>
      <c r="U11" s="60"/>
    </row>
    <row r="12" spans="1:22" ht="78" customHeight="1">
      <c r="A12" s="492"/>
      <c r="B12" s="306"/>
      <c r="C12" s="58" t="s">
        <v>35</v>
      </c>
      <c r="D12" s="873" t="s">
        <v>36</v>
      </c>
      <c r="E12" s="864"/>
      <c r="F12" s="874"/>
      <c r="G12" s="863" t="s">
        <v>37</v>
      </c>
      <c r="H12" s="864"/>
      <c r="I12" s="874"/>
      <c r="J12" s="863" t="s">
        <v>38</v>
      </c>
      <c r="K12" s="864"/>
      <c r="L12" s="865"/>
      <c r="M12" s="863" t="s">
        <v>39</v>
      </c>
      <c r="N12" s="864"/>
      <c r="O12" s="865"/>
      <c r="P12" s="863" t="s">
        <v>278</v>
      </c>
      <c r="Q12" s="864"/>
      <c r="R12" s="865"/>
      <c r="S12" s="308"/>
      <c r="T12" s="496"/>
      <c r="U12" s="60"/>
    </row>
    <row r="13" spans="1:22" ht="105.75" customHeight="1">
      <c r="A13" s="492"/>
      <c r="B13" s="306"/>
      <c r="C13" s="58" t="s">
        <v>279</v>
      </c>
      <c r="D13" s="866"/>
      <c r="E13" s="867"/>
      <c r="F13" s="868"/>
      <c r="G13" s="869" t="s">
        <v>280</v>
      </c>
      <c r="H13" s="870"/>
      <c r="I13" s="871"/>
      <c r="J13" s="863" t="s">
        <v>176</v>
      </c>
      <c r="K13" s="864"/>
      <c r="L13" s="865"/>
      <c r="M13" s="863" t="s">
        <v>177</v>
      </c>
      <c r="N13" s="864"/>
      <c r="O13" s="865"/>
      <c r="P13" s="863" t="s">
        <v>86</v>
      </c>
      <c r="Q13" s="864"/>
      <c r="R13" s="865"/>
      <c r="S13" s="308"/>
      <c r="T13" s="496"/>
      <c r="U13" s="60"/>
    </row>
    <row r="14" spans="1:22" ht="68.25" customHeight="1">
      <c r="A14" s="492"/>
      <c r="B14" s="306"/>
      <c r="C14" s="58" t="s">
        <v>87</v>
      </c>
      <c r="D14" s="866"/>
      <c r="E14" s="867"/>
      <c r="F14" s="868"/>
      <c r="G14" s="872"/>
      <c r="H14" s="867"/>
      <c r="I14" s="868"/>
      <c r="J14" s="863" t="s">
        <v>88</v>
      </c>
      <c r="K14" s="864"/>
      <c r="L14" s="865"/>
      <c r="M14" s="863" t="s">
        <v>89</v>
      </c>
      <c r="N14" s="864"/>
      <c r="O14" s="865"/>
      <c r="P14" s="863" t="s">
        <v>90</v>
      </c>
      <c r="Q14" s="864"/>
      <c r="R14" s="865"/>
      <c r="S14" s="308"/>
      <c r="T14" s="496"/>
      <c r="U14" s="60"/>
    </row>
    <row r="15" spans="1:22" ht="84" customHeight="1" thickBot="1">
      <c r="A15" s="492"/>
      <c r="B15" s="306"/>
      <c r="C15" s="59" t="s">
        <v>91</v>
      </c>
      <c r="D15" s="878"/>
      <c r="E15" s="879"/>
      <c r="F15" s="880"/>
      <c r="G15" s="881"/>
      <c r="H15" s="879"/>
      <c r="I15" s="880"/>
      <c r="J15" s="882" t="s">
        <v>112</v>
      </c>
      <c r="K15" s="883"/>
      <c r="L15" s="884"/>
      <c r="M15" s="882" t="s">
        <v>113</v>
      </c>
      <c r="N15" s="883"/>
      <c r="O15" s="884"/>
      <c r="P15" s="882" t="s">
        <v>114</v>
      </c>
      <c r="Q15" s="883"/>
      <c r="R15" s="884"/>
      <c r="S15" s="308"/>
      <c r="T15" s="496"/>
      <c r="U15" s="60"/>
    </row>
    <row r="16" spans="1:22" ht="21" customHeight="1" thickTop="1" thickBot="1">
      <c r="A16" s="492"/>
      <c r="B16" s="306"/>
      <c r="C16" s="888" t="s">
        <v>273</v>
      </c>
      <c r="D16" s="889"/>
      <c r="E16" s="889"/>
      <c r="F16" s="889"/>
      <c r="G16" s="889"/>
      <c r="H16" s="889"/>
      <c r="I16" s="889"/>
      <c r="J16" s="889"/>
      <c r="K16" s="889"/>
      <c r="L16" s="889"/>
      <c r="M16" s="889"/>
      <c r="N16" s="889"/>
      <c r="O16" s="889"/>
      <c r="P16" s="889"/>
      <c r="Q16" s="889"/>
      <c r="R16" s="890"/>
      <c r="S16" s="308"/>
      <c r="T16" s="496"/>
      <c r="U16" s="60"/>
    </row>
    <row r="17" spans="1:22" ht="19.5" customHeight="1" thickBot="1">
      <c r="A17" s="492"/>
      <c r="B17" s="306"/>
      <c r="C17" s="319"/>
      <c r="D17" s="319"/>
      <c r="E17" s="319"/>
      <c r="F17" s="319"/>
      <c r="G17" s="319"/>
      <c r="H17" s="319"/>
      <c r="I17" s="319"/>
      <c r="J17" s="319"/>
      <c r="K17" s="319"/>
      <c r="L17" s="319"/>
      <c r="M17" s="319"/>
      <c r="N17" s="319"/>
      <c r="O17" s="319"/>
      <c r="P17" s="319"/>
      <c r="Q17" s="319"/>
      <c r="R17" s="319"/>
      <c r="S17" s="308"/>
      <c r="T17" s="496"/>
      <c r="U17" s="60"/>
    </row>
    <row r="18" spans="1:22" ht="15.75" hidden="1" customHeight="1">
      <c r="A18" s="493"/>
      <c r="B18" s="309"/>
      <c r="C18" s="65"/>
      <c r="D18" s="66"/>
      <c r="E18" s="67">
        <v>0</v>
      </c>
      <c r="F18" s="67"/>
      <c r="G18" s="67"/>
      <c r="H18" s="67">
        <v>26</v>
      </c>
      <c r="I18" s="67"/>
      <c r="J18" s="67"/>
      <c r="K18" s="67">
        <v>51</v>
      </c>
      <c r="L18" s="67"/>
      <c r="M18" s="67"/>
      <c r="N18" s="67">
        <v>71</v>
      </c>
      <c r="O18" s="67"/>
      <c r="P18" s="67"/>
      <c r="Q18" s="67">
        <v>91</v>
      </c>
      <c r="R18" s="67"/>
      <c r="S18" s="313"/>
      <c r="T18" s="496"/>
      <c r="U18" s="2"/>
      <c r="V18" s="66"/>
    </row>
    <row r="19" spans="1:22" ht="15.75" hidden="1" customHeight="1">
      <c r="A19" s="493"/>
      <c r="B19" s="309"/>
      <c r="C19" s="65"/>
      <c r="D19" s="66"/>
      <c r="E19" s="67">
        <v>25</v>
      </c>
      <c r="F19" s="67"/>
      <c r="G19" s="67"/>
      <c r="H19" s="67">
        <v>51</v>
      </c>
      <c r="I19" s="67"/>
      <c r="J19" s="67"/>
      <c r="K19" s="67">
        <v>71</v>
      </c>
      <c r="L19" s="67"/>
      <c r="M19" s="67"/>
      <c r="N19" s="67">
        <v>91</v>
      </c>
      <c r="O19" s="67"/>
      <c r="P19" s="67"/>
      <c r="Q19" s="67">
        <v>100</v>
      </c>
      <c r="R19" s="67"/>
      <c r="S19" s="313"/>
      <c r="T19" s="496"/>
      <c r="U19" s="2"/>
      <c r="V19" s="66"/>
    </row>
    <row r="20" spans="1:22" ht="11.25" hidden="1" customHeight="1" thickBot="1">
      <c r="A20" s="492"/>
      <c r="B20" s="306"/>
      <c r="C20" s="60"/>
      <c r="D20" s="60"/>
      <c r="E20" s="60">
        <f>IF(AND(GradingAssessment!$G$24&gt;=E18,GradingAssessment!$G$24&lt;='Loss Control Planning'!E19),1,0)</f>
        <v>0</v>
      </c>
      <c r="F20" s="60"/>
      <c r="G20" s="60"/>
      <c r="H20" s="60">
        <f>IF(AND(GradingAssessment!$G$24&gt;=H18,GradingAssessment!$G$24&lt;'Loss Control Planning'!H19),1,0)</f>
        <v>0</v>
      </c>
      <c r="I20" s="60"/>
      <c r="J20" s="60"/>
      <c r="K20" s="60">
        <f>IF(AND(GradingAssessment!$G$24&gt;=K18,GradingAssessment!$G$24&lt;'Loss Control Planning'!K19),1,0)</f>
        <v>1</v>
      </c>
      <c r="L20" s="60"/>
      <c r="M20" s="60"/>
      <c r="N20" s="60">
        <f>IF(AND(GradingAssessment!$G$24&gt;=N18,GradingAssessment!$G$24&lt;'Loss Control Planning'!N19),1,0)</f>
        <v>0</v>
      </c>
      <c r="O20" s="60"/>
      <c r="P20" s="60"/>
      <c r="Q20" s="60">
        <f>IF(AND(GradingAssessment!$G$24&gt;=Q18,GradingAssessment!$G$24&lt;='Loss Control Planning'!Q19),1,0)</f>
        <v>0</v>
      </c>
      <c r="R20" s="60"/>
      <c r="S20" s="308"/>
      <c r="T20" s="496"/>
      <c r="U20" s="60"/>
    </row>
    <row r="21" spans="1:22" ht="94.9" customHeight="1" thickBot="1">
      <c r="A21" s="492"/>
      <c r="B21" s="306"/>
      <c r="C21" s="885" t="s">
        <v>342</v>
      </c>
      <c r="D21" s="886"/>
      <c r="E21" s="886"/>
      <c r="F21" s="886"/>
      <c r="G21" s="886"/>
      <c r="H21" s="886"/>
      <c r="I21" s="886"/>
      <c r="J21" s="886"/>
      <c r="K21" s="886"/>
      <c r="L21" s="886"/>
      <c r="M21" s="886"/>
      <c r="N21" s="886"/>
      <c r="O21" s="886"/>
      <c r="P21" s="886"/>
      <c r="Q21" s="886"/>
      <c r="R21" s="887"/>
      <c r="S21" s="308"/>
      <c r="T21" s="496"/>
      <c r="U21" s="60"/>
    </row>
    <row r="22" spans="1:22" ht="8.25" customHeight="1" thickBot="1">
      <c r="A22" s="492"/>
      <c r="B22" s="306"/>
      <c r="C22" s="316"/>
      <c r="D22" s="316"/>
      <c r="E22" s="316"/>
      <c r="F22" s="316"/>
      <c r="G22" s="307"/>
      <c r="H22" s="307"/>
      <c r="I22" s="307"/>
      <c r="J22" s="307"/>
      <c r="K22" s="307"/>
      <c r="L22" s="307"/>
      <c r="M22" s="307"/>
      <c r="N22" s="307"/>
      <c r="O22" s="307"/>
      <c r="P22" s="307"/>
      <c r="Q22" s="307"/>
      <c r="R22" s="307"/>
      <c r="S22" s="308"/>
      <c r="T22" s="496"/>
      <c r="U22" s="60"/>
    </row>
    <row r="23" spans="1:22" ht="42" customHeight="1" thickTop="1" thickBot="1">
      <c r="A23" s="492"/>
      <c r="B23" s="306"/>
      <c r="C23" s="898" t="s">
        <v>341</v>
      </c>
      <c r="D23" s="899"/>
      <c r="E23" s="899"/>
      <c r="F23" s="899"/>
      <c r="G23" s="899"/>
      <c r="H23" s="899"/>
      <c r="I23" s="899"/>
      <c r="J23" s="899"/>
      <c r="K23" s="899"/>
      <c r="L23" s="899"/>
      <c r="M23" s="899"/>
      <c r="N23" s="899"/>
      <c r="O23" s="899"/>
      <c r="P23" s="899"/>
      <c r="Q23" s="899"/>
      <c r="R23" s="899"/>
      <c r="S23" s="308"/>
      <c r="T23" s="496"/>
      <c r="U23" s="60"/>
    </row>
    <row r="24" spans="1:22" ht="26.25" customHeight="1" thickBot="1">
      <c r="A24" s="492"/>
      <c r="B24" s="306"/>
      <c r="C24" s="320" t="s">
        <v>79</v>
      </c>
      <c r="D24" s="894" t="s">
        <v>82</v>
      </c>
      <c r="E24" s="895"/>
      <c r="F24" s="895"/>
      <c r="G24" s="895"/>
      <c r="H24" s="896"/>
      <c r="I24" s="894" t="s">
        <v>80</v>
      </c>
      <c r="J24" s="895"/>
      <c r="K24" s="895"/>
      <c r="L24" s="895"/>
      <c r="M24" s="896"/>
      <c r="N24" s="894" t="s">
        <v>81</v>
      </c>
      <c r="O24" s="895"/>
      <c r="P24" s="895"/>
      <c r="Q24" s="895"/>
      <c r="R24" s="896"/>
      <c r="S24" s="308"/>
      <c r="T24" s="496"/>
      <c r="U24" s="60"/>
    </row>
    <row r="25" spans="1:22" ht="56.45" customHeight="1">
      <c r="A25" s="492"/>
      <c r="B25" s="306">
        <v>1</v>
      </c>
      <c r="C25" s="321" t="s">
        <v>83</v>
      </c>
      <c r="D25" s="891" t="s">
        <v>41</v>
      </c>
      <c r="E25" s="892"/>
      <c r="F25" s="892"/>
      <c r="G25" s="892"/>
      <c r="H25" s="893"/>
      <c r="I25" s="891" t="s">
        <v>43</v>
      </c>
      <c r="J25" s="892"/>
      <c r="K25" s="892"/>
      <c r="L25" s="892"/>
      <c r="M25" s="893"/>
      <c r="N25" s="891" t="s">
        <v>45</v>
      </c>
      <c r="O25" s="892"/>
      <c r="P25" s="892"/>
      <c r="Q25" s="892"/>
      <c r="R25" s="897"/>
      <c r="S25" s="308" t="e">
        <f>IF(AND('Reporting Worksheet'!#REF!&gt;='Loss Control Planning'!U25,'Reporting Worksheet'!#REF!&lt;='Loss Control Planning'!V25),1,0)</f>
        <v>#REF!</v>
      </c>
      <c r="T25" s="496"/>
      <c r="U25" s="60">
        <v>1</v>
      </c>
      <c r="V25" s="63">
        <v>3</v>
      </c>
    </row>
    <row r="26" spans="1:22" ht="56.45" customHeight="1">
      <c r="A26" s="492"/>
      <c r="B26" s="306">
        <v>2</v>
      </c>
      <c r="C26" s="322" t="s">
        <v>242</v>
      </c>
      <c r="D26" s="903" t="s">
        <v>49</v>
      </c>
      <c r="E26" s="904"/>
      <c r="F26" s="904"/>
      <c r="G26" s="904"/>
      <c r="H26" s="909"/>
      <c r="I26" s="903" t="s">
        <v>44</v>
      </c>
      <c r="J26" s="904"/>
      <c r="K26" s="904"/>
      <c r="L26" s="904"/>
      <c r="M26" s="909"/>
      <c r="N26" s="903" t="s">
        <v>46</v>
      </c>
      <c r="O26" s="904"/>
      <c r="P26" s="904"/>
      <c r="Q26" s="904"/>
      <c r="R26" s="905"/>
      <c r="S26" s="308" t="e">
        <f>IF(AND('Reporting Worksheet'!#REF!&gt;='Loss Control Planning'!U26,'Reporting Worksheet'!#REF!&lt;='Loss Control Planning'!V26),1,0)</f>
        <v>#REF!</v>
      </c>
      <c r="T26" s="496"/>
      <c r="U26" s="60">
        <v>3</v>
      </c>
      <c r="V26" s="55">
        <v>5</v>
      </c>
    </row>
    <row r="27" spans="1:22" ht="56.45" customHeight="1">
      <c r="A27" s="492"/>
      <c r="B27" s="306">
        <v>3</v>
      </c>
      <c r="C27" s="323" t="s">
        <v>243</v>
      </c>
      <c r="D27" s="903" t="s">
        <v>42</v>
      </c>
      <c r="E27" s="904"/>
      <c r="F27" s="904"/>
      <c r="G27" s="904"/>
      <c r="H27" s="909"/>
      <c r="I27" s="903" t="s">
        <v>40</v>
      </c>
      <c r="J27" s="904"/>
      <c r="K27" s="904"/>
      <c r="L27" s="904"/>
      <c r="M27" s="909"/>
      <c r="N27" s="903" t="s">
        <v>47</v>
      </c>
      <c r="O27" s="904"/>
      <c r="P27" s="904"/>
      <c r="Q27" s="904"/>
      <c r="R27" s="905"/>
      <c r="S27" s="308" t="e">
        <f>IF(AND('Reporting Worksheet'!#REF!&gt;='Loss Control Planning'!U27,'Reporting Worksheet'!#REF!&lt;='Loss Control Planning'!V27),1,0)</f>
        <v>#REF!</v>
      </c>
      <c r="T27" s="496"/>
      <c r="U27" s="60">
        <v>5</v>
      </c>
      <c r="V27" s="55">
        <v>8</v>
      </c>
    </row>
    <row r="28" spans="1:22" ht="40.9" customHeight="1">
      <c r="A28" s="492"/>
      <c r="B28" s="306"/>
      <c r="C28" s="322" t="s">
        <v>84</v>
      </c>
      <c r="D28" s="903" t="s">
        <v>48</v>
      </c>
      <c r="E28" s="904"/>
      <c r="F28" s="904"/>
      <c r="G28" s="904"/>
      <c r="H28" s="904"/>
      <c r="I28" s="904"/>
      <c r="J28" s="904"/>
      <c r="K28" s="904"/>
      <c r="L28" s="904"/>
      <c r="M28" s="904"/>
      <c r="N28" s="904"/>
      <c r="O28" s="904"/>
      <c r="P28" s="904"/>
      <c r="Q28" s="904"/>
      <c r="R28" s="905"/>
      <c r="S28" s="308" t="e">
        <f>IF('Reporting Worksheet'!#REF!&gt;'Loss Control Planning'!U28,1,0)</f>
        <v>#REF!</v>
      </c>
      <c r="T28" s="496"/>
      <c r="U28" s="60">
        <v>8</v>
      </c>
    </row>
    <row r="29" spans="1:22" ht="76.150000000000006" customHeight="1" thickBot="1">
      <c r="A29" s="492"/>
      <c r="B29" s="306">
        <v>4</v>
      </c>
      <c r="C29" s="324" t="s">
        <v>191</v>
      </c>
      <c r="D29" s="906" t="s">
        <v>70</v>
      </c>
      <c r="E29" s="907"/>
      <c r="F29" s="907"/>
      <c r="G29" s="907"/>
      <c r="H29" s="907"/>
      <c r="I29" s="907"/>
      <c r="J29" s="907"/>
      <c r="K29" s="907"/>
      <c r="L29" s="907"/>
      <c r="M29" s="907"/>
      <c r="N29" s="907"/>
      <c r="O29" s="907"/>
      <c r="P29" s="907"/>
      <c r="Q29" s="907"/>
      <c r="R29" s="908"/>
      <c r="S29" s="308" t="e">
        <f>IF('Reporting Worksheet'!#REF!&lt;1,1,0)</f>
        <v>#REF!</v>
      </c>
      <c r="T29" s="496"/>
      <c r="U29" s="60">
        <v>1</v>
      </c>
    </row>
    <row r="30" spans="1:22" ht="9" customHeight="1">
      <c r="A30" s="492"/>
      <c r="B30" s="306"/>
      <c r="C30" s="316"/>
      <c r="D30" s="316"/>
      <c r="E30" s="316"/>
      <c r="F30" s="316"/>
      <c r="G30" s="307"/>
      <c r="H30" s="307"/>
      <c r="I30" s="307"/>
      <c r="J30" s="307"/>
      <c r="K30" s="307"/>
      <c r="L30" s="307"/>
      <c r="M30" s="307"/>
      <c r="N30" s="307"/>
      <c r="O30" s="307"/>
      <c r="P30" s="307"/>
      <c r="Q30" s="307"/>
      <c r="R30" s="307"/>
      <c r="S30" s="308"/>
      <c r="T30" s="496"/>
      <c r="U30" s="60"/>
    </row>
    <row r="31" spans="1:22" ht="0" hidden="1" customHeight="1">
      <c r="A31" s="492"/>
      <c r="B31" s="310"/>
      <c r="C31" s="317"/>
      <c r="D31" s="317"/>
      <c r="E31" s="317"/>
      <c r="F31" s="317"/>
      <c r="G31" s="317"/>
      <c r="H31" s="317"/>
      <c r="I31" s="317"/>
      <c r="J31" s="317"/>
      <c r="K31" s="317"/>
      <c r="L31" s="317"/>
      <c r="M31" s="317"/>
      <c r="N31" s="317"/>
      <c r="O31" s="317"/>
      <c r="P31" s="317"/>
      <c r="Q31" s="317"/>
      <c r="R31" s="317"/>
      <c r="S31" s="314"/>
      <c r="T31" s="493"/>
    </row>
    <row r="32" spans="1:22" ht="0" hidden="1" customHeight="1">
      <c r="A32" s="492"/>
      <c r="B32" s="310"/>
      <c r="C32" s="317"/>
      <c r="D32" s="317"/>
      <c r="E32" s="317"/>
      <c r="F32" s="317"/>
      <c r="G32" s="317"/>
      <c r="H32" s="317"/>
      <c r="I32" s="317"/>
      <c r="J32" s="317"/>
      <c r="K32" s="317"/>
      <c r="L32" s="317"/>
      <c r="M32" s="317"/>
      <c r="N32" s="317"/>
      <c r="O32" s="317"/>
      <c r="P32" s="317"/>
      <c r="Q32" s="317"/>
      <c r="R32" s="317"/>
      <c r="S32" s="314"/>
      <c r="T32" s="493"/>
    </row>
    <row r="33" spans="1:21" ht="0" hidden="1" customHeight="1">
      <c r="A33" s="492"/>
      <c r="B33" s="310"/>
      <c r="C33" s="317"/>
      <c r="D33" s="317"/>
      <c r="E33" s="317"/>
      <c r="F33" s="317"/>
      <c r="G33" s="317"/>
      <c r="H33" s="317"/>
      <c r="I33" s="317"/>
      <c r="J33" s="317"/>
      <c r="K33" s="317"/>
      <c r="L33" s="317"/>
      <c r="M33" s="317"/>
      <c r="N33" s="317"/>
      <c r="O33" s="317"/>
      <c r="P33" s="317"/>
      <c r="Q33" s="317"/>
      <c r="R33" s="317"/>
      <c r="S33" s="314"/>
      <c r="T33" s="493"/>
    </row>
    <row r="34" spans="1:21" ht="6" customHeight="1" thickBot="1">
      <c r="A34" s="492"/>
      <c r="B34" s="311"/>
      <c r="C34" s="318"/>
      <c r="D34" s="318"/>
      <c r="E34" s="318"/>
      <c r="F34" s="318"/>
      <c r="G34" s="318"/>
      <c r="H34" s="318"/>
      <c r="I34" s="318"/>
      <c r="J34" s="318"/>
      <c r="K34" s="318"/>
      <c r="L34" s="318"/>
      <c r="M34" s="318"/>
      <c r="N34" s="318"/>
      <c r="O34" s="318"/>
      <c r="P34" s="318"/>
      <c r="Q34" s="318"/>
      <c r="R34" s="318"/>
      <c r="S34" s="315"/>
      <c r="T34" s="496"/>
      <c r="U34" s="60"/>
    </row>
    <row r="35" spans="1:21" ht="7.5" customHeight="1" thickTop="1">
      <c r="A35" s="492"/>
      <c r="B35" s="492"/>
      <c r="C35" s="493"/>
      <c r="D35" s="493"/>
      <c r="E35" s="493"/>
      <c r="F35" s="493"/>
      <c r="G35" s="493"/>
      <c r="H35" s="493"/>
      <c r="I35" s="493"/>
      <c r="J35" s="493"/>
      <c r="K35" s="493"/>
      <c r="L35" s="493"/>
      <c r="M35" s="493"/>
      <c r="N35" s="493"/>
      <c r="O35" s="493"/>
      <c r="P35" s="493"/>
      <c r="Q35" s="493"/>
      <c r="R35" s="493"/>
      <c r="S35" s="494"/>
      <c r="T35" s="493"/>
    </row>
    <row r="36" spans="1:21" ht="13.5" hidden="1"/>
    <row r="37" spans="1:21" ht="13.5" hidden="1"/>
    <row r="38" spans="1:21" ht="13.5" hidden="1"/>
    <row r="39" spans="1:21" ht="13.5" hidden="1"/>
    <row r="40" spans="1:21" ht="13.5" hidden="1"/>
    <row r="41" spans="1:21" ht="13.5" hidden="1"/>
    <row r="42" spans="1:21" ht="13.5" hidden="1"/>
    <row r="43" spans="1:21" ht="13.5" hidden="1"/>
    <row r="44" spans="1:21" ht="13.5" hidden="1"/>
    <row r="45" spans="1:21" ht="13.5" hidden="1"/>
    <row r="46" spans="1:21" ht="13.5" hidden="1"/>
    <row r="47" spans="1:21" ht="13.5" hidden="1"/>
    <row r="48" spans="1:21"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row r="94" ht="13.5" hidden="1"/>
    <row r="95" ht="13.5" hidden="1"/>
    <row r="96" ht="13.5" hidden="1"/>
    <row r="97" ht="13.5" hidden="1"/>
    <row r="98" ht="13.5" hidden="1" customHeight="1"/>
  </sheetData>
  <sheetProtection password="8B16" sheet="1" objects="1" scenarios="1" selectLockedCells="1"/>
  <mergeCells count="52">
    <mergeCell ref="B2:S2"/>
    <mergeCell ref="N26:R26"/>
    <mergeCell ref="N27:R27"/>
    <mergeCell ref="D28:R28"/>
    <mergeCell ref="D29:R29"/>
    <mergeCell ref="D26:H26"/>
    <mergeCell ref="D27:H27"/>
    <mergeCell ref="I26:M26"/>
    <mergeCell ref="I27:M27"/>
    <mergeCell ref="D24:H24"/>
    <mergeCell ref="D25:H25"/>
    <mergeCell ref="N24:R24"/>
    <mergeCell ref="N25:R25"/>
    <mergeCell ref="I24:M24"/>
    <mergeCell ref="I25:M25"/>
    <mergeCell ref="C23:R23"/>
    <mergeCell ref="D15:F15"/>
    <mergeCell ref="G15:I15"/>
    <mergeCell ref="J15:L15"/>
    <mergeCell ref="M15:O15"/>
    <mergeCell ref="P15:R15"/>
    <mergeCell ref="C21:R21"/>
    <mergeCell ref="C16:R16"/>
    <mergeCell ref="D12:F12"/>
    <mergeCell ref="G10:I10"/>
    <mergeCell ref="P10:R10"/>
    <mergeCell ref="G11:I11"/>
    <mergeCell ref="P12:R12"/>
    <mergeCell ref="G12:I12"/>
    <mergeCell ref="J12:L12"/>
    <mergeCell ref="M12:O12"/>
    <mergeCell ref="D11:F11"/>
    <mergeCell ref="P14:R14"/>
    <mergeCell ref="D13:F13"/>
    <mergeCell ref="G13:I13"/>
    <mergeCell ref="J13:L13"/>
    <mergeCell ref="M13:O13"/>
    <mergeCell ref="P13:R13"/>
    <mergeCell ref="D14:F14"/>
    <mergeCell ref="G14:I14"/>
    <mergeCell ref="J14:L14"/>
    <mergeCell ref="M14:O14"/>
    <mergeCell ref="G4:O4"/>
    <mergeCell ref="H5:I5"/>
    <mergeCell ref="C8:R8"/>
    <mergeCell ref="J11:L11"/>
    <mergeCell ref="M11:O11"/>
    <mergeCell ref="P11:R11"/>
    <mergeCell ref="J10:L10"/>
    <mergeCell ref="M10:O10"/>
    <mergeCell ref="D9:R9"/>
    <mergeCell ref="D10:F10"/>
  </mergeCells>
  <phoneticPr fontId="0" type="noConversion"/>
  <conditionalFormatting sqref="C16:R17">
    <cfRule type="expression" dxfId="13" priority="1" stopIfTrue="1">
      <formula>OR(E20=1,H20=1)</formula>
    </cfRule>
  </conditionalFormatting>
  <conditionalFormatting sqref="P10:R15">
    <cfRule type="expression" dxfId="12" priority="2" stopIfTrue="1">
      <formula>$Q$20=1</formula>
    </cfRule>
  </conditionalFormatting>
  <conditionalFormatting sqref="M10:O15">
    <cfRule type="expression" dxfId="11" priority="3" stopIfTrue="1">
      <formula>$N$20=1</formula>
    </cfRule>
  </conditionalFormatting>
  <conditionalFormatting sqref="J10:L15">
    <cfRule type="expression" dxfId="10" priority="4" stopIfTrue="1">
      <formula>$K$20=1</formula>
    </cfRule>
  </conditionalFormatting>
  <conditionalFormatting sqref="G10:I13">
    <cfRule type="expression" dxfId="9" priority="5" stopIfTrue="1">
      <formula>$H$20=1</formula>
    </cfRule>
  </conditionalFormatting>
  <conditionalFormatting sqref="D10:F12">
    <cfRule type="expression" dxfId="8" priority="6" stopIfTrue="1">
      <formula>$E$20=1</formula>
    </cfRule>
  </conditionalFormatting>
  <conditionalFormatting sqref="C26:R26">
    <cfRule type="expression" dxfId="7" priority="7" stopIfTrue="1">
      <formula>$S$26=1</formula>
    </cfRule>
  </conditionalFormatting>
  <conditionalFormatting sqref="C27:R27">
    <cfRule type="expression" dxfId="6" priority="8" stopIfTrue="1">
      <formula>$S$27=1</formula>
    </cfRule>
  </conditionalFormatting>
  <conditionalFormatting sqref="C28:R28">
    <cfRule type="expression" dxfId="5" priority="9" stopIfTrue="1">
      <formula>$S$28=1</formula>
    </cfRule>
  </conditionalFormatting>
  <conditionalFormatting sqref="C29:R29">
    <cfRule type="expression" dxfId="4" priority="10" stopIfTrue="1">
      <formula>$S$29=1</formula>
    </cfRule>
  </conditionalFormatting>
  <conditionalFormatting sqref="C25">
    <cfRule type="expression" dxfId="3" priority="11" stopIfTrue="1">
      <formula>$S$25=1</formula>
    </cfRule>
  </conditionalFormatting>
  <conditionalFormatting sqref="D25:H25">
    <cfRule type="expression" dxfId="2" priority="12" stopIfTrue="1">
      <formula>S25=1</formula>
    </cfRule>
  </conditionalFormatting>
  <conditionalFormatting sqref="I25:M25">
    <cfRule type="expression" dxfId="1" priority="13" stopIfTrue="1">
      <formula>S25=1</formula>
    </cfRule>
  </conditionalFormatting>
  <conditionalFormatting sqref="N25:R25">
    <cfRule type="expression" dxfId="0" priority="14" stopIfTrue="1">
      <formula>S25=1</formula>
    </cfRule>
  </conditionalFormatting>
  <printOptions horizontalCentered="1" verticalCentered="1"/>
  <pageMargins left="0.75" right="0.75" top="0.67" bottom="0.76" header="0.5" footer="0.5"/>
  <pageSetup scale="78" orientation="landscape" horizontalDpi="1200" r:id="rId1"/>
  <headerFooter alignWithMargins="0">
    <oddFooter>&amp;CAWWA Free Water Audit Software v5.0&amp;R&amp;A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4CBF1-6DD1-4142-B25C-87BF6694D2CC}">
  <sheetPr codeName="Sheet12">
    <tabColor theme="3" tint="0.79998168889431442"/>
    <pageSetUpPr fitToPage="1"/>
  </sheetPr>
  <dimension ref="A1:P324"/>
  <sheetViews>
    <sheetView showGridLines="0" showRowColHeaders="0" workbookViewId="0">
      <pane ySplit="2" topLeftCell="A3" activePane="bottomLeft" state="frozen"/>
      <selection pane="bottomLeft" sqref="A1:P1"/>
    </sheetView>
  </sheetViews>
  <sheetFormatPr defaultColWidth="0" defaultRowHeight="13.5" zeroHeight="1"/>
  <cols>
    <col min="1" max="4" width="9.7109375" style="5" customWidth="1"/>
    <col min="5" max="5" width="9.7109375" style="43" customWidth="1"/>
    <col min="6" max="16" width="9.7109375" style="5" customWidth="1"/>
    <col min="17" max="17" width="1.28515625" style="5" customWidth="1"/>
    <col min="18" max="16384" width="0" style="5" hidden="1"/>
  </cols>
  <sheetData>
    <row r="1" spans="1:16" ht="48" customHeight="1" thickTop="1">
      <c r="A1" s="900" t="s">
        <v>742</v>
      </c>
      <c r="B1" s="901"/>
      <c r="C1" s="901"/>
      <c r="D1" s="901"/>
      <c r="E1" s="901"/>
      <c r="F1" s="901"/>
      <c r="G1" s="901"/>
      <c r="H1" s="901"/>
      <c r="I1" s="901"/>
      <c r="J1" s="901"/>
      <c r="K1" s="901"/>
      <c r="L1" s="901"/>
      <c r="M1" s="901"/>
      <c r="N1" s="901"/>
      <c r="O1" s="901"/>
      <c r="P1" s="902"/>
    </row>
    <row r="2" spans="1:16" ht="34.9" customHeight="1"/>
    <row r="3" spans="1:16"/>
    <row r="4" spans="1:16"/>
    <row r="5" spans="1:16"/>
    <row r="6" spans="1:16"/>
    <row r="7" spans="1:16"/>
    <row r="8" spans="1:16"/>
    <row r="9" spans="1:16"/>
    <row r="10" spans="1:16"/>
    <row r="11" spans="1:16"/>
    <row r="12" spans="1:16"/>
    <row r="13" spans="1:16"/>
    <row r="14" spans="1:16"/>
    <row r="15" spans="1:16"/>
    <row r="16" spans="1: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sheetData>
  <sheetProtection password="8B16" sheet="1" objects="1" scenarios="1"/>
  <mergeCells count="1">
    <mergeCell ref="A1:P1"/>
  </mergeCells>
  <phoneticPr fontId="0" type="noConversion"/>
  <printOptions horizontalCentered="1" verticalCentered="1"/>
  <pageMargins left="0.25" right="0.25" top="0.5" bottom="0.5" header="0.3" footer="0.3"/>
  <pageSetup scale="67" fitToHeight="0" orientation="portrait" horizontalDpi="1200" r:id="rId1"/>
  <headerFooter alignWithMargins="0">
    <oddFooter>&amp;CAWWA Free Water Audit Software v5.0&amp;R&amp;A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B2C7-9C62-4E4F-9E28-3F10E347C50C}">
  <sheetPr codeName="Sheet14">
    <tabColor theme="3" tint="0.79998168889431442"/>
  </sheetPr>
  <dimension ref="A1:IU93"/>
  <sheetViews>
    <sheetView showGridLines="0" showRowColHeaders="0" zoomScaleNormal="100" workbookViewId="0">
      <pane ySplit="2" topLeftCell="A3" activePane="bottomLeft" state="frozen"/>
      <selection pane="bottomLeft"/>
    </sheetView>
  </sheetViews>
  <sheetFormatPr defaultColWidth="0" defaultRowHeight="0" customHeight="1" zeroHeight="1"/>
  <cols>
    <col min="1" max="1" width="1.42578125" style="4" customWidth="1"/>
    <col min="2" max="2" width="1.7109375" style="4" customWidth="1"/>
    <col min="3" max="3" width="18.5703125" style="1" customWidth="1"/>
    <col min="4" max="4" width="8.85546875" style="1" customWidth="1"/>
    <col min="5" max="5" width="13.5703125" style="1" customWidth="1"/>
    <col min="6" max="6" width="9.5703125" style="1" customWidth="1"/>
    <col min="7" max="17" width="8" style="1" customWidth="1"/>
    <col min="18" max="18" width="8.42578125" style="1" customWidth="1"/>
    <col min="19" max="19" width="2.140625" style="62" customWidth="1"/>
    <col min="20" max="20" width="1.7109375" style="20" customWidth="1"/>
    <col min="21" max="21" width="2.140625" style="55" hidden="1" customWidth="1"/>
    <col min="22" max="22" width="3" style="55" hidden="1" customWidth="1"/>
    <col min="23" max="255" width="0" style="1" hidden="1" customWidth="1"/>
    <col min="256" max="16384" width="3.140625" style="1" hidden="1"/>
  </cols>
  <sheetData>
    <row r="1" spans="1:22" s="3" customFormat="1" ht="8.25" customHeight="1" thickBot="1">
      <c r="A1" s="492"/>
      <c r="B1" s="492"/>
      <c r="C1" s="493"/>
      <c r="D1" s="493"/>
      <c r="E1" s="493"/>
      <c r="F1" s="493"/>
      <c r="G1" s="493"/>
      <c r="H1" s="493"/>
      <c r="I1" s="493"/>
      <c r="J1" s="493"/>
      <c r="K1" s="493"/>
      <c r="L1" s="493"/>
      <c r="M1" s="493"/>
      <c r="N1" s="493"/>
      <c r="O1" s="493"/>
      <c r="P1" s="493"/>
      <c r="Q1" s="493"/>
      <c r="R1" s="493"/>
      <c r="S1" s="494"/>
      <c r="T1" s="493"/>
      <c r="U1" s="55"/>
      <c r="V1" s="55"/>
    </row>
    <row r="2" spans="1:22" ht="42" customHeight="1" thickTop="1">
      <c r="A2" s="492"/>
      <c r="B2" s="900" t="s">
        <v>344</v>
      </c>
      <c r="C2" s="901"/>
      <c r="D2" s="901"/>
      <c r="E2" s="901"/>
      <c r="F2" s="901"/>
      <c r="G2" s="901"/>
      <c r="H2" s="901"/>
      <c r="I2" s="901"/>
      <c r="J2" s="901"/>
      <c r="K2" s="901"/>
      <c r="L2" s="901"/>
      <c r="M2" s="901"/>
      <c r="N2" s="901"/>
      <c r="O2" s="901"/>
      <c r="P2" s="901"/>
      <c r="Q2" s="901"/>
      <c r="R2" s="901"/>
      <c r="S2" s="902"/>
      <c r="T2" s="495"/>
      <c r="U2" s="61"/>
    </row>
    <row r="3" spans="1:22" ht="8.25" customHeight="1" thickBot="1">
      <c r="A3" s="492"/>
      <c r="B3" s="306"/>
      <c r="C3" s="316"/>
      <c r="D3" s="316"/>
      <c r="E3" s="316"/>
      <c r="F3" s="316"/>
      <c r="G3" s="307"/>
      <c r="H3" s="307"/>
      <c r="I3" s="307"/>
      <c r="J3" s="307"/>
      <c r="K3" s="307"/>
      <c r="L3" s="307"/>
      <c r="M3" s="307"/>
      <c r="N3" s="307"/>
      <c r="O3" s="307"/>
      <c r="P3" s="307"/>
      <c r="Q3" s="307"/>
      <c r="R3" s="307"/>
      <c r="S3" s="308"/>
      <c r="T3" s="496"/>
      <c r="U3" s="60"/>
    </row>
    <row r="4" spans="1:22" s="232" customFormat="1" ht="46.5" customHeight="1" thickBot="1">
      <c r="A4" s="468"/>
      <c r="B4" s="328"/>
      <c r="C4" s="923" t="s">
        <v>754</v>
      </c>
      <c r="D4" s="924"/>
      <c r="E4" s="924"/>
      <c r="F4" s="924"/>
      <c r="G4" s="924"/>
      <c r="H4" s="924"/>
      <c r="I4" s="924"/>
      <c r="J4" s="924"/>
      <c r="K4" s="924"/>
      <c r="L4" s="924"/>
      <c r="M4" s="924"/>
      <c r="N4" s="924"/>
      <c r="O4" s="924"/>
      <c r="P4" s="924"/>
      <c r="Q4" s="924"/>
      <c r="R4" s="925"/>
      <c r="S4" s="329"/>
      <c r="T4" s="497"/>
      <c r="U4" s="6"/>
      <c r="V4" s="330"/>
    </row>
    <row r="5" spans="1:22" s="232" customFormat="1" ht="7.5" customHeight="1" thickBot="1">
      <c r="A5" s="468"/>
      <c r="B5" s="328"/>
      <c r="C5" s="331"/>
      <c r="D5" s="325"/>
      <c r="E5" s="325"/>
      <c r="F5" s="325"/>
      <c r="G5" s="325"/>
      <c r="H5" s="325"/>
      <c r="I5" s="325"/>
      <c r="J5" s="325"/>
      <c r="K5" s="325"/>
      <c r="L5" s="325"/>
      <c r="M5" s="325"/>
      <c r="N5" s="325"/>
      <c r="O5" s="325"/>
      <c r="P5" s="325"/>
      <c r="Q5" s="325"/>
      <c r="R5" s="325"/>
      <c r="S5" s="329"/>
      <c r="T5" s="497"/>
      <c r="U5" s="6"/>
      <c r="V5" s="330"/>
    </row>
    <row r="6" spans="1:22" s="232" customFormat="1" ht="61.9" customHeight="1" thickBot="1">
      <c r="A6" s="468"/>
      <c r="B6" s="328"/>
      <c r="C6" s="926" t="s">
        <v>663</v>
      </c>
      <c r="D6" s="927"/>
      <c r="E6" s="927"/>
      <c r="F6" s="927"/>
      <c r="G6" s="927"/>
      <c r="H6" s="927"/>
      <c r="I6" s="927"/>
      <c r="J6" s="927"/>
      <c r="K6" s="927"/>
      <c r="L6" s="927"/>
      <c r="M6" s="927"/>
      <c r="N6" s="927"/>
      <c r="O6" s="927"/>
      <c r="P6" s="927"/>
      <c r="Q6" s="927"/>
      <c r="R6" s="928"/>
      <c r="S6" s="329"/>
      <c r="T6" s="497"/>
      <c r="U6" s="6"/>
      <c r="V6" s="330"/>
    </row>
    <row r="7" spans="1:22" s="232" customFormat="1" ht="8.25" customHeight="1" thickBot="1">
      <c r="A7" s="468"/>
      <c r="B7" s="328"/>
      <c r="C7" s="326"/>
      <c r="D7" s="326"/>
      <c r="E7" s="326"/>
      <c r="F7" s="326"/>
      <c r="G7" s="327"/>
      <c r="H7" s="327"/>
      <c r="I7" s="327"/>
      <c r="J7" s="327"/>
      <c r="K7" s="327"/>
      <c r="L7" s="327"/>
      <c r="M7" s="327"/>
      <c r="N7" s="327"/>
      <c r="O7" s="327"/>
      <c r="P7" s="327"/>
      <c r="Q7" s="327"/>
      <c r="R7" s="327"/>
      <c r="S7" s="332"/>
      <c r="T7" s="498"/>
      <c r="U7" s="67"/>
      <c r="V7" s="330"/>
    </row>
    <row r="8" spans="1:22" s="232" customFormat="1" ht="15">
      <c r="A8" s="468"/>
      <c r="B8" s="328"/>
      <c r="C8" s="350" t="s">
        <v>74</v>
      </c>
      <c r="D8" s="351" t="s">
        <v>650</v>
      </c>
      <c r="E8" s="337"/>
      <c r="F8" s="337"/>
      <c r="G8" s="338"/>
      <c r="H8" s="338"/>
      <c r="I8" s="338"/>
      <c r="J8" s="334"/>
      <c r="K8" s="334"/>
      <c r="L8" s="334"/>
      <c r="M8" s="334"/>
      <c r="N8" s="334"/>
      <c r="O8" s="334"/>
      <c r="P8" s="334"/>
      <c r="Q8" s="334"/>
      <c r="R8" s="346"/>
      <c r="S8" s="332"/>
      <c r="T8" s="498"/>
      <c r="U8" s="67"/>
      <c r="V8" s="330"/>
    </row>
    <row r="9" spans="1:22" s="232" customFormat="1" ht="15">
      <c r="A9" s="468"/>
      <c r="B9" s="328"/>
      <c r="C9" s="512"/>
      <c r="D9" s="352" t="s">
        <v>662</v>
      </c>
      <c r="E9" s="340"/>
      <c r="F9" s="340"/>
      <c r="G9" s="341"/>
      <c r="H9" s="341"/>
      <c r="I9" s="341"/>
      <c r="J9" s="335"/>
      <c r="K9" s="335"/>
      <c r="L9" s="335"/>
      <c r="M9" s="335"/>
      <c r="N9" s="335"/>
      <c r="O9" s="335"/>
      <c r="P9" s="335"/>
      <c r="Q9" s="335"/>
      <c r="R9" s="347"/>
      <c r="S9" s="332"/>
      <c r="T9" s="498"/>
      <c r="U9" s="67"/>
      <c r="V9" s="330"/>
    </row>
    <row r="10" spans="1:22" s="232" customFormat="1" ht="15">
      <c r="A10" s="468"/>
      <c r="B10" s="328"/>
      <c r="C10" s="512"/>
      <c r="D10" s="352" t="s">
        <v>651</v>
      </c>
      <c r="E10" s="340"/>
      <c r="F10" s="340"/>
      <c r="G10" s="341"/>
      <c r="H10" s="341"/>
      <c r="I10" s="341"/>
      <c r="J10" s="335"/>
      <c r="K10" s="335"/>
      <c r="L10" s="335"/>
      <c r="M10" s="335"/>
      <c r="N10" s="335"/>
      <c r="O10" s="335"/>
      <c r="P10" s="335"/>
      <c r="Q10" s="335"/>
      <c r="R10" s="347"/>
      <c r="S10" s="332"/>
      <c r="T10" s="498"/>
      <c r="U10" s="67"/>
      <c r="V10" s="330"/>
    </row>
    <row r="11" spans="1:22" s="232" customFormat="1" ht="15">
      <c r="A11" s="468"/>
      <c r="B11" s="328"/>
      <c r="C11" s="512"/>
      <c r="D11" s="352" t="s">
        <v>755</v>
      </c>
      <c r="E11" s="340"/>
      <c r="F11" s="340"/>
      <c r="G11" s="341"/>
      <c r="H11" s="341"/>
      <c r="I11" s="341"/>
      <c r="J11" s="335"/>
      <c r="K11" s="335"/>
      <c r="L11" s="335"/>
      <c r="M11" s="335"/>
      <c r="N11" s="335"/>
      <c r="O11" s="335"/>
      <c r="P11" s="335"/>
      <c r="Q11" s="335"/>
      <c r="R11" s="347"/>
      <c r="S11" s="332"/>
      <c r="T11" s="498"/>
      <c r="U11" s="67"/>
      <c r="V11" s="330"/>
    </row>
    <row r="12" spans="1:22" s="232" customFormat="1" ht="15">
      <c r="A12" s="468"/>
      <c r="B12" s="328"/>
      <c r="C12" s="512"/>
      <c r="D12" s="352" t="s">
        <v>652</v>
      </c>
      <c r="E12" s="340"/>
      <c r="F12" s="340"/>
      <c r="G12" s="341"/>
      <c r="H12" s="341"/>
      <c r="I12" s="341"/>
      <c r="J12" s="335"/>
      <c r="K12" s="335"/>
      <c r="L12" s="335"/>
      <c r="M12" s="335"/>
      <c r="N12" s="335"/>
      <c r="O12" s="335"/>
      <c r="P12" s="335"/>
      <c r="Q12" s="335"/>
      <c r="R12" s="347"/>
      <c r="S12" s="332"/>
      <c r="T12" s="498"/>
      <c r="U12" s="67"/>
      <c r="V12" s="330"/>
    </row>
    <row r="13" spans="1:22" s="232" customFormat="1" ht="15">
      <c r="A13" s="468"/>
      <c r="B13" s="328"/>
      <c r="C13" s="512"/>
      <c r="D13" s="352" t="s">
        <v>657</v>
      </c>
      <c r="E13" s="340"/>
      <c r="F13" s="340"/>
      <c r="G13" s="341"/>
      <c r="H13" s="341"/>
      <c r="I13" s="341"/>
      <c r="J13" s="335"/>
      <c r="K13" s="335"/>
      <c r="L13" s="335"/>
      <c r="M13" s="335"/>
      <c r="N13" s="335"/>
      <c r="O13" s="335"/>
      <c r="P13" s="335"/>
      <c r="Q13" s="335"/>
      <c r="R13" s="347"/>
      <c r="S13" s="332"/>
      <c r="T13" s="498"/>
      <c r="U13" s="67"/>
      <c r="V13" s="330"/>
    </row>
    <row r="14" spans="1:22" s="232" customFormat="1" ht="15">
      <c r="A14" s="468"/>
      <c r="B14" s="328"/>
      <c r="C14" s="512"/>
      <c r="D14" s="352" t="s">
        <v>653</v>
      </c>
      <c r="E14" s="340"/>
      <c r="F14" s="340"/>
      <c r="G14" s="341"/>
      <c r="H14" s="341"/>
      <c r="I14" s="341"/>
      <c r="J14" s="335"/>
      <c r="K14" s="335"/>
      <c r="L14" s="335"/>
      <c r="M14" s="335"/>
      <c r="N14" s="335"/>
      <c r="O14" s="335"/>
      <c r="P14" s="335"/>
      <c r="Q14" s="335"/>
      <c r="R14" s="347"/>
      <c r="S14" s="332"/>
      <c r="T14" s="498"/>
      <c r="U14" s="67"/>
      <c r="V14" s="330"/>
    </row>
    <row r="15" spans="1:22" s="232" customFormat="1" ht="15">
      <c r="A15" s="468"/>
      <c r="B15" s="328"/>
      <c r="C15" s="339"/>
      <c r="D15" s="352" t="s">
        <v>654</v>
      </c>
      <c r="E15" s="340"/>
      <c r="F15" s="340"/>
      <c r="G15" s="341"/>
      <c r="H15" s="341"/>
      <c r="I15" s="341"/>
      <c r="J15" s="335"/>
      <c r="K15" s="335"/>
      <c r="L15" s="335"/>
      <c r="M15" s="335"/>
      <c r="N15" s="335"/>
      <c r="O15" s="335"/>
      <c r="P15" s="335"/>
      <c r="Q15" s="335"/>
      <c r="R15" s="347"/>
      <c r="S15" s="332"/>
      <c r="T15" s="498"/>
      <c r="U15" s="67"/>
      <c r="V15" s="330"/>
    </row>
    <row r="16" spans="1:22" s="232" customFormat="1" ht="15" hidden="1">
      <c r="A16" s="468"/>
      <c r="B16" s="328"/>
      <c r="C16" s="333"/>
      <c r="D16" s="352" t="s">
        <v>655</v>
      </c>
      <c r="E16" s="340"/>
      <c r="F16" s="340"/>
      <c r="G16" s="341"/>
      <c r="H16" s="341"/>
      <c r="I16" s="341"/>
      <c r="J16" s="335"/>
      <c r="K16" s="335"/>
      <c r="L16" s="335"/>
      <c r="M16" s="335"/>
      <c r="N16" s="335"/>
      <c r="O16" s="335"/>
      <c r="P16" s="335"/>
      <c r="Q16" s="335"/>
      <c r="R16" s="347"/>
      <c r="S16" s="332"/>
      <c r="T16" s="498"/>
      <c r="U16" s="67"/>
      <c r="V16" s="330"/>
    </row>
    <row r="17" spans="1:22" s="232" customFormat="1" ht="15.75" thickBot="1">
      <c r="A17" s="468"/>
      <c r="B17" s="328"/>
      <c r="C17" s="342"/>
      <c r="D17" s="353" t="s">
        <v>656</v>
      </c>
      <c r="E17" s="343"/>
      <c r="F17" s="343"/>
      <c r="G17" s="344"/>
      <c r="H17" s="344"/>
      <c r="I17" s="344"/>
      <c r="J17" s="336"/>
      <c r="K17" s="336"/>
      <c r="L17" s="336"/>
      <c r="M17" s="336"/>
      <c r="N17" s="336"/>
      <c r="O17" s="336"/>
      <c r="P17" s="336"/>
      <c r="Q17" s="336"/>
      <c r="R17" s="348"/>
      <c r="S17" s="332"/>
      <c r="T17" s="498"/>
      <c r="U17" s="67"/>
      <c r="V17" s="330"/>
    </row>
    <row r="18" spans="1:22" s="232" customFormat="1" ht="8.25" customHeight="1" thickBot="1">
      <c r="A18" s="468"/>
      <c r="B18" s="328"/>
      <c r="C18" s="327"/>
      <c r="D18" s="327"/>
      <c r="E18" s="327"/>
      <c r="F18" s="327"/>
      <c r="G18" s="327"/>
      <c r="H18" s="327"/>
      <c r="I18" s="327"/>
      <c r="J18" s="327"/>
      <c r="K18" s="327"/>
      <c r="L18" s="327"/>
      <c r="M18" s="327"/>
      <c r="N18" s="327"/>
      <c r="O18" s="327"/>
      <c r="P18" s="327"/>
      <c r="Q18" s="327"/>
      <c r="R18" s="327"/>
      <c r="S18" s="332"/>
      <c r="T18" s="498"/>
      <c r="U18" s="67"/>
      <c r="V18" s="330"/>
    </row>
    <row r="19" spans="1:22" s="232" customFormat="1" ht="33.6" customHeight="1">
      <c r="A19" s="468"/>
      <c r="B19" s="328"/>
      <c r="C19" s="349" t="s">
        <v>73</v>
      </c>
      <c r="D19" s="919" t="s">
        <v>240</v>
      </c>
      <c r="E19" s="919"/>
      <c r="F19" s="919"/>
      <c r="G19" s="919"/>
      <c r="H19" s="919"/>
      <c r="I19" s="919"/>
      <c r="J19" s="919"/>
      <c r="K19" s="919"/>
      <c r="L19" s="919"/>
      <c r="M19" s="919"/>
      <c r="N19" s="919"/>
      <c r="O19" s="919"/>
      <c r="P19" s="919"/>
      <c r="Q19" s="919"/>
      <c r="R19" s="920"/>
      <c r="S19" s="332"/>
      <c r="T19" s="498"/>
      <c r="U19" s="67"/>
      <c r="V19" s="330"/>
    </row>
    <row r="20" spans="1:22" s="232" customFormat="1" ht="73.5" customHeight="1" thickBot="1">
      <c r="A20" s="468"/>
      <c r="B20" s="328"/>
      <c r="C20" s="345"/>
      <c r="D20" s="921" t="s">
        <v>343</v>
      </c>
      <c r="E20" s="921"/>
      <c r="F20" s="921"/>
      <c r="G20" s="921"/>
      <c r="H20" s="921"/>
      <c r="I20" s="921"/>
      <c r="J20" s="921"/>
      <c r="K20" s="921"/>
      <c r="L20" s="921"/>
      <c r="M20" s="921"/>
      <c r="N20" s="921"/>
      <c r="O20" s="921"/>
      <c r="P20" s="921"/>
      <c r="Q20" s="921"/>
      <c r="R20" s="922"/>
      <c r="S20" s="332"/>
      <c r="T20" s="498"/>
      <c r="U20" s="67"/>
      <c r="V20" s="330"/>
    </row>
    <row r="21" spans="1:22" s="232" customFormat="1" ht="8.25" customHeight="1" thickBot="1">
      <c r="A21" s="468"/>
      <c r="B21" s="328"/>
      <c r="C21" s="327"/>
      <c r="D21" s="327"/>
      <c r="E21" s="327"/>
      <c r="F21" s="327"/>
      <c r="G21" s="327"/>
      <c r="H21" s="327"/>
      <c r="I21" s="327"/>
      <c r="J21" s="327"/>
      <c r="K21" s="327"/>
      <c r="L21" s="327"/>
      <c r="M21" s="327"/>
      <c r="N21" s="327"/>
      <c r="O21" s="327"/>
      <c r="P21" s="327"/>
      <c r="Q21" s="327"/>
      <c r="R21" s="327"/>
      <c r="S21" s="332"/>
      <c r="T21" s="498"/>
      <c r="U21" s="67"/>
      <c r="V21" s="330"/>
    </row>
    <row r="22" spans="1:22" s="232" customFormat="1" ht="24" customHeight="1">
      <c r="A22" s="468"/>
      <c r="B22" s="328"/>
      <c r="C22" s="632" t="s">
        <v>724</v>
      </c>
      <c r="D22" s="626"/>
      <c r="E22" s="626"/>
      <c r="F22" s="626"/>
      <c r="G22" s="626"/>
      <c r="H22" s="626"/>
      <c r="I22" s="626"/>
      <c r="J22" s="626"/>
      <c r="K22" s="626"/>
      <c r="L22" s="626"/>
      <c r="M22" s="626"/>
      <c r="N22" s="626"/>
      <c r="O22" s="626"/>
      <c r="P22" s="626"/>
      <c r="Q22" s="626"/>
      <c r="R22" s="627"/>
      <c r="S22" s="332"/>
      <c r="T22" s="498"/>
      <c r="U22" s="67"/>
      <c r="V22" s="330"/>
    </row>
    <row r="23" spans="1:22" s="232" customFormat="1" ht="37.9" customHeight="1">
      <c r="A23" s="468"/>
      <c r="B23" s="328"/>
      <c r="C23" s="633" t="s">
        <v>734</v>
      </c>
      <c r="D23" s="631" t="s">
        <v>733</v>
      </c>
      <c r="E23" s="631" t="s">
        <v>735</v>
      </c>
      <c r="F23" s="913" t="s">
        <v>738</v>
      </c>
      <c r="G23" s="914"/>
      <c r="H23" s="914"/>
      <c r="I23" s="914"/>
      <c r="J23" s="914"/>
      <c r="K23" s="914"/>
      <c r="L23" s="914"/>
      <c r="M23" s="914"/>
      <c r="N23" s="914"/>
      <c r="O23" s="914"/>
      <c r="P23" s="914"/>
      <c r="Q23" s="914"/>
      <c r="R23" s="915"/>
      <c r="S23" s="332"/>
      <c r="T23" s="498"/>
      <c r="U23" s="67"/>
      <c r="V23" s="330"/>
    </row>
    <row r="24" spans="1:22" s="232" customFormat="1" ht="34.9" customHeight="1">
      <c r="A24" s="468"/>
      <c r="B24" s="328"/>
      <c r="C24" s="634" t="s">
        <v>725</v>
      </c>
      <c r="D24" s="629" t="s">
        <v>736</v>
      </c>
      <c r="E24" s="630">
        <v>5</v>
      </c>
      <c r="F24" s="916" t="s">
        <v>730</v>
      </c>
      <c r="G24" s="917"/>
      <c r="H24" s="917"/>
      <c r="I24" s="917"/>
      <c r="J24" s="917"/>
      <c r="K24" s="917"/>
      <c r="L24" s="917"/>
      <c r="M24" s="917"/>
      <c r="N24" s="917"/>
      <c r="O24" s="917"/>
      <c r="P24" s="917"/>
      <c r="Q24" s="917"/>
      <c r="R24" s="918"/>
      <c r="S24" s="332"/>
      <c r="T24" s="498"/>
      <c r="U24" s="67"/>
      <c r="V24" s="330"/>
    </row>
    <row r="25" spans="1:22" s="232" customFormat="1" ht="47.45" customHeight="1">
      <c r="A25" s="468"/>
      <c r="B25" s="328"/>
      <c r="C25" s="634" t="s">
        <v>726</v>
      </c>
      <c r="D25" s="630">
        <v>2006</v>
      </c>
      <c r="E25" s="630">
        <v>5</v>
      </c>
      <c r="F25" s="916" t="s">
        <v>731</v>
      </c>
      <c r="G25" s="917"/>
      <c r="H25" s="917"/>
      <c r="I25" s="917"/>
      <c r="J25" s="917"/>
      <c r="K25" s="917"/>
      <c r="L25" s="917"/>
      <c r="M25" s="917"/>
      <c r="N25" s="917"/>
      <c r="O25" s="917"/>
      <c r="P25" s="917"/>
      <c r="Q25" s="917"/>
      <c r="R25" s="918"/>
      <c r="S25" s="332"/>
      <c r="T25" s="498"/>
      <c r="U25" s="67"/>
      <c r="V25" s="330"/>
    </row>
    <row r="26" spans="1:22" s="232" customFormat="1" ht="59.45" customHeight="1">
      <c r="A26" s="468"/>
      <c r="B26" s="328"/>
      <c r="C26" s="634" t="s">
        <v>727</v>
      </c>
      <c r="D26" s="630">
        <v>2007</v>
      </c>
      <c r="E26" s="630">
        <v>7</v>
      </c>
      <c r="F26" s="916" t="s">
        <v>732</v>
      </c>
      <c r="G26" s="917"/>
      <c r="H26" s="917"/>
      <c r="I26" s="917"/>
      <c r="J26" s="917"/>
      <c r="K26" s="917"/>
      <c r="L26" s="917"/>
      <c r="M26" s="917"/>
      <c r="N26" s="917"/>
      <c r="O26" s="917"/>
      <c r="P26" s="917"/>
      <c r="Q26" s="917"/>
      <c r="R26" s="918"/>
      <c r="S26" s="332"/>
      <c r="T26" s="498"/>
      <c r="U26" s="67"/>
      <c r="V26" s="330"/>
    </row>
    <row r="27" spans="1:22" s="232" customFormat="1" ht="137.44999999999999" customHeight="1">
      <c r="A27" s="468"/>
      <c r="B27" s="328"/>
      <c r="C27" s="634" t="s">
        <v>728</v>
      </c>
      <c r="D27" s="630">
        <v>2010</v>
      </c>
      <c r="E27" s="630">
        <v>10</v>
      </c>
      <c r="F27" s="916" t="s">
        <v>740</v>
      </c>
      <c r="G27" s="917"/>
      <c r="H27" s="917"/>
      <c r="I27" s="917"/>
      <c r="J27" s="917"/>
      <c r="K27" s="917"/>
      <c r="L27" s="917"/>
      <c r="M27" s="917"/>
      <c r="N27" s="917"/>
      <c r="O27" s="917"/>
      <c r="P27" s="917"/>
      <c r="Q27" s="917"/>
      <c r="R27" s="918"/>
      <c r="S27" s="332"/>
      <c r="T27" s="498"/>
      <c r="U27" s="67"/>
      <c r="V27" s="330"/>
    </row>
    <row r="28" spans="1:22" s="232" customFormat="1" ht="110.45" customHeight="1" thickBot="1">
      <c r="A28" s="468"/>
      <c r="B28" s="328"/>
      <c r="C28" s="635" t="s">
        <v>729</v>
      </c>
      <c r="D28" s="636">
        <v>2014</v>
      </c>
      <c r="E28" s="636">
        <v>12</v>
      </c>
      <c r="F28" s="910" t="s">
        <v>737</v>
      </c>
      <c r="G28" s="911"/>
      <c r="H28" s="911"/>
      <c r="I28" s="911"/>
      <c r="J28" s="911"/>
      <c r="K28" s="911"/>
      <c r="L28" s="911"/>
      <c r="M28" s="911"/>
      <c r="N28" s="911"/>
      <c r="O28" s="911"/>
      <c r="P28" s="911"/>
      <c r="Q28" s="911"/>
      <c r="R28" s="912"/>
      <c r="S28" s="332"/>
      <c r="T28" s="498"/>
      <c r="U28" s="67"/>
      <c r="V28" s="330"/>
    </row>
    <row r="29" spans="1:22" ht="6" customHeight="1" thickBot="1">
      <c r="A29" s="492"/>
      <c r="B29" s="311"/>
      <c r="C29" s="318"/>
      <c r="D29" s="318"/>
      <c r="E29" s="318"/>
      <c r="F29" s="318"/>
      <c r="G29" s="318"/>
      <c r="H29" s="318"/>
      <c r="I29" s="318"/>
      <c r="J29" s="318"/>
      <c r="K29" s="318"/>
      <c r="L29" s="318"/>
      <c r="M29" s="318"/>
      <c r="N29" s="318"/>
      <c r="O29" s="318"/>
      <c r="P29" s="318"/>
      <c r="Q29" s="318"/>
      <c r="R29" s="318"/>
      <c r="S29" s="315"/>
      <c r="T29" s="496"/>
      <c r="U29" s="60"/>
    </row>
    <row r="30" spans="1:22" ht="6" customHeight="1" thickTop="1">
      <c r="A30" s="492"/>
      <c r="B30" s="492"/>
      <c r="C30" s="493"/>
      <c r="D30" s="493"/>
      <c r="E30" s="493"/>
      <c r="F30" s="493"/>
      <c r="G30" s="493"/>
      <c r="H30" s="493"/>
      <c r="I30" s="493"/>
      <c r="J30" s="493"/>
      <c r="K30" s="493"/>
      <c r="L30" s="493"/>
      <c r="M30" s="493"/>
      <c r="N30" s="493"/>
      <c r="O30" s="493"/>
      <c r="P30" s="493"/>
      <c r="Q30" s="493"/>
      <c r="R30" s="493"/>
      <c r="S30" s="494"/>
      <c r="T30" s="493"/>
    </row>
    <row r="31" spans="1:22" ht="13.5" hidden="1"/>
    <row r="32" spans="1:22" ht="13.5" hidden="1"/>
    <row r="33" ht="13.5" hidden="1"/>
    <row r="34" ht="13.5" hidden="1"/>
    <row r="35" ht="13.5" hidden="1"/>
    <row r="36" ht="13.5" hidden="1"/>
    <row r="37" ht="13.5" hidden="1"/>
    <row r="38" ht="13.5" hidden="1"/>
    <row r="39" ht="13.5" hidden="1"/>
    <row r="40" ht="13.5" hidden="1"/>
    <row r="41" ht="13.5" hidden="1"/>
    <row r="42" ht="13.5" hidden="1"/>
    <row r="43" ht="13.5" hidden="1"/>
    <row r="44" ht="13.5" hidden="1"/>
    <row r="45" ht="13.5" hidden="1"/>
    <row r="46" ht="13.5" hidden="1"/>
    <row r="47" ht="13.5" hidden="1"/>
    <row r="48"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customHeight="1"/>
  </sheetData>
  <sheetProtection password="8B16" sheet="1" objects="1" scenarios="1" selectLockedCells="1"/>
  <mergeCells count="11">
    <mergeCell ref="D19:R19"/>
    <mergeCell ref="D20:R20"/>
    <mergeCell ref="C4:R4"/>
    <mergeCell ref="C6:R6"/>
    <mergeCell ref="B2:S2"/>
    <mergeCell ref="F28:R28"/>
    <mergeCell ref="F23:R23"/>
    <mergeCell ref="F24:R24"/>
    <mergeCell ref="F25:R25"/>
    <mergeCell ref="F26:R26"/>
    <mergeCell ref="F27:R27"/>
  </mergeCells>
  <phoneticPr fontId="0" type="noConversion"/>
  <printOptions horizontalCentered="1" verticalCentered="1"/>
  <pageMargins left="0.25" right="0.25" top="0.75" bottom="0.75" header="0.3" footer="0.3"/>
  <pageSetup scale="78" orientation="landscape" horizontalDpi="1200" r:id="rId1"/>
  <headerFooter alignWithMargins="0">
    <oddFooter>&amp;CAWWA Free Water Audit Software v5.0&amp;R&amp;A     &amp;P</oddFooter>
  </headerFooter>
  <rowBreaks count="1" manualBreakCount="1">
    <brk id="2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46EFA-B990-419F-84CE-6F23138F3539}">
  <sheetPr codeName="Sheet15"/>
  <dimension ref="A1:P99"/>
  <sheetViews>
    <sheetView topLeftCell="A70" workbookViewId="0">
      <selection activeCell="B102" sqref="B102"/>
    </sheetView>
  </sheetViews>
  <sheetFormatPr defaultRowHeight="12.75"/>
  <cols>
    <col min="1" max="1" width="32.28515625" style="13" customWidth="1"/>
    <col min="2" max="2" width="20.28515625" style="13" customWidth="1"/>
    <col min="3" max="3" width="23.28515625" style="13" bestFit="1" customWidth="1"/>
    <col min="4" max="4" width="12.5703125" style="13" bestFit="1" customWidth="1"/>
    <col min="5" max="5" width="12" style="13" bestFit="1" customWidth="1"/>
    <col min="6" max="6" width="12.7109375" style="13" customWidth="1"/>
    <col min="7" max="7" width="16.85546875" style="13" customWidth="1"/>
    <col min="8" max="8" width="8.28515625" style="13" customWidth="1"/>
    <col min="9" max="9" width="33.28515625" style="13" bestFit="1" customWidth="1"/>
    <col min="10" max="10" width="4.140625" style="13" customWidth="1"/>
    <col min="11" max="11" width="9" style="13" customWidth="1"/>
    <col min="12" max="13" width="33.28515625" style="13" bestFit="1" customWidth="1"/>
    <col min="14" max="14" width="18.85546875" style="13" bestFit="1" customWidth="1"/>
    <col min="15" max="15" width="33.28515625" style="13" bestFit="1" customWidth="1"/>
    <col min="16" max="16384" width="9.140625" style="13"/>
  </cols>
  <sheetData>
    <row r="1" spans="1:16">
      <c r="A1" s="12"/>
      <c r="B1" s="12" t="s">
        <v>27</v>
      </c>
      <c r="C1" s="12" t="s">
        <v>188</v>
      </c>
      <c r="D1" s="12" t="s">
        <v>253</v>
      </c>
      <c r="F1" s="23" t="s">
        <v>215</v>
      </c>
      <c r="G1" s="24"/>
      <c r="M1" s="36" t="s">
        <v>231</v>
      </c>
      <c r="N1" s="12" t="s">
        <v>55</v>
      </c>
      <c r="O1" s="12" t="s">
        <v>53</v>
      </c>
      <c r="P1" s="12" t="s">
        <v>54</v>
      </c>
    </row>
    <row r="2" spans="1:16">
      <c r="A2" s="12" t="s">
        <v>55</v>
      </c>
      <c r="B2" s="25">
        <f>1000000/(F2*100)</f>
        <v>1336.8055610095364</v>
      </c>
      <c r="C2" s="25">
        <v>1000</v>
      </c>
      <c r="D2" s="25">
        <f>1000/F5</f>
        <v>3785.4117999999999</v>
      </c>
      <c r="E2" s="14"/>
      <c r="F2" s="33">
        <v>7.4805194500000001</v>
      </c>
      <c r="G2" s="21" t="s">
        <v>212</v>
      </c>
      <c r="H2" s="13" t="s">
        <v>216</v>
      </c>
      <c r="M2" s="12" t="s">
        <v>55</v>
      </c>
      <c r="N2" s="25">
        <v>1</v>
      </c>
      <c r="O2" s="25">
        <f>F4</f>
        <v>3.7854117999999999</v>
      </c>
      <c r="P2" s="37">
        <v>3.068883289737228</v>
      </c>
    </row>
    <row r="3" spans="1:16">
      <c r="A3" s="12" t="s">
        <v>53</v>
      </c>
      <c r="B3" s="25">
        <f>1000000/F4/(F2*100)</f>
        <v>353.14666716301156</v>
      </c>
      <c r="C3" s="25">
        <f>1000/F4</f>
        <v>264.17205124155845</v>
      </c>
      <c r="D3" s="25">
        <v>1000</v>
      </c>
      <c r="F3" s="26">
        <v>43560</v>
      </c>
      <c r="G3" s="21" t="s">
        <v>217</v>
      </c>
      <c r="H3" s="15"/>
      <c r="M3" s="12" t="s">
        <v>53</v>
      </c>
      <c r="N3" s="25">
        <f>1/O2</f>
        <v>0.26417205124155846</v>
      </c>
      <c r="O3" s="25">
        <v>1</v>
      </c>
      <c r="P3" s="25">
        <v>0.8107131936708255</v>
      </c>
    </row>
    <row r="4" spans="1:16">
      <c r="A4" s="12" t="s">
        <v>54</v>
      </c>
      <c r="B4" s="25">
        <f>F3/100</f>
        <v>435.6</v>
      </c>
      <c r="C4" s="25">
        <f>F3*F2/1000</f>
        <v>325.851427242</v>
      </c>
      <c r="D4" s="25">
        <f>F3*F2*F4/1000</f>
        <v>1233.4818377287083</v>
      </c>
      <c r="F4" s="32">
        <v>3.7854117999999999</v>
      </c>
      <c r="G4" s="21" t="s">
        <v>214</v>
      </c>
      <c r="H4" s="15"/>
      <c r="M4" s="12" t="s">
        <v>54</v>
      </c>
      <c r="N4" s="37">
        <f>325851.427242/1000000</f>
        <v>0.325851427242</v>
      </c>
      <c r="O4" s="25">
        <v>1.2334818377287082</v>
      </c>
      <c r="P4" s="25">
        <v>1</v>
      </c>
    </row>
    <row r="5" spans="1:16">
      <c r="F5" s="31">
        <f>1/F4</f>
        <v>0.26417205124155846</v>
      </c>
      <c r="G5" s="22" t="s">
        <v>213</v>
      </c>
      <c r="H5" s="15"/>
    </row>
    <row r="6" spans="1:16" ht="13.5" thickBot="1">
      <c r="H6" s="15"/>
    </row>
    <row r="7" spans="1:16" ht="13.5" thickBot="1">
      <c r="A7" s="15" t="s">
        <v>250</v>
      </c>
      <c r="B7" s="16">
        <v>1</v>
      </c>
      <c r="C7" s="13" t="s">
        <v>187</v>
      </c>
      <c r="D7" s="13">
        <f>MATCH(C7,A2:A4,0)</f>
        <v>1</v>
      </c>
      <c r="H7" s="15"/>
    </row>
    <row r="8" spans="1:16" ht="13.5" thickBot="1">
      <c r="A8" s="15"/>
      <c r="E8" s="13">
        <f>INDEX($B$2:$D$4,MATCH(C7,A2:A4,0),MATCH(C9,B1:D1,0))</f>
        <v>1336.8055610095364</v>
      </c>
      <c r="H8" s="15"/>
    </row>
    <row r="9" spans="1:16" ht="13.5" thickBot="1">
      <c r="A9" s="15" t="s">
        <v>251</v>
      </c>
      <c r="B9" s="17">
        <v>10</v>
      </c>
      <c r="C9" s="13" t="s">
        <v>27</v>
      </c>
      <c r="D9" s="13">
        <f>MATCH(C9,B1:D1,0)</f>
        <v>1</v>
      </c>
      <c r="H9" s="15"/>
    </row>
    <row r="11" spans="1:16">
      <c r="B11" s="15" t="s">
        <v>252</v>
      </c>
      <c r="C11" s="18">
        <f>B7*B9*E8</f>
        <v>13368.055610095364</v>
      </c>
      <c r="I11" s="13" t="s">
        <v>230</v>
      </c>
    </row>
    <row r="12" spans="1:16">
      <c r="G12" s="13" t="s">
        <v>208</v>
      </c>
      <c r="I12" s="35" t="s">
        <v>227</v>
      </c>
      <c r="J12" s="35"/>
      <c r="K12" s="12"/>
      <c r="L12" s="35" t="s">
        <v>228</v>
      </c>
    </row>
    <row r="13" spans="1:16" ht="14.25">
      <c r="G13" s="13" t="s">
        <v>207</v>
      </c>
      <c r="H13" s="39">
        <v>547500</v>
      </c>
      <c r="I13" s="34" t="s">
        <v>229</v>
      </c>
      <c r="J13" s="38" t="s">
        <v>232</v>
      </c>
      <c r="K13" s="13">
        <f>H13*INDEX(N2:P4,MATCH(I13,M2:M4,0),MATCH(L13,N1:P1,0))</f>
        <v>2072512.9605</v>
      </c>
      <c r="L13" s="34" t="s">
        <v>53</v>
      </c>
    </row>
    <row r="14" spans="1:16">
      <c r="K14" s="14"/>
    </row>
    <row r="15" spans="1:16">
      <c r="B15" s="13" t="s">
        <v>257</v>
      </c>
      <c r="H15" s="384"/>
    </row>
    <row r="16" spans="1:16">
      <c r="B16" s="12" t="s">
        <v>27</v>
      </c>
      <c r="C16" s="12" t="s">
        <v>188</v>
      </c>
      <c r="D16" s="12" t="s">
        <v>253</v>
      </c>
      <c r="H16" s="13">
        <f>1500000000/1000000*365</f>
        <v>547500</v>
      </c>
      <c r="I16" s="384" t="s">
        <v>360</v>
      </c>
    </row>
    <row r="17" spans="1:5">
      <c r="A17" s="12" t="s">
        <v>187</v>
      </c>
      <c r="B17" s="13">
        <f>1000000/(7.48*100)</f>
        <v>1336.8983957219252</v>
      </c>
      <c r="C17" s="13">
        <v>1000</v>
      </c>
      <c r="D17" s="13">
        <f>1000000/CONVERT(1000,"l","gal")</f>
        <v>3785.4117839999994</v>
      </c>
    </row>
    <row r="18" spans="1:5">
      <c r="A18" s="12" t="s">
        <v>209</v>
      </c>
      <c r="B18" s="13">
        <f>1000000/CONVERT((7.48*100),"gal","l")</f>
        <v>353.171192992177</v>
      </c>
      <c r="C18" s="13">
        <f>1000000/CONVERT(1000,"gal","l")</f>
        <v>264.17205235814845</v>
      </c>
      <c r="D18" s="13">
        <v>1000</v>
      </c>
    </row>
    <row r="19" spans="1:5">
      <c r="A19" s="12" t="s">
        <v>117</v>
      </c>
      <c r="B19" s="13">
        <f>43560/100</f>
        <v>435.6</v>
      </c>
      <c r="C19" s="13">
        <f>43560/(1000/7.48)</f>
        <v>325.8288</v>
      </c>
      <c r="D19" s="13">
        <f>F3/(CONVERT(1000,"l","gal")/F2)</f>
        <v>1233.4818325150852</v>
      </c>
    </row>
    <row r="21" spans="1:5" ht="13.5" thickBot="1"/>
    <row r="22" spans="1:5" ht="13.5" thickBot="1">
      <c r="A22" s="15" t="s">
        <v>257</v>
      </c>
      <c r="B22" s="16">
        <v>5</v>
      </c>
      <c r="C22" s="13" t="s">
        <v>188</v>
      </c>
      <c r="D22" s="13">
        <f>MATCH(C22,B16:D16,0)</f>
        <v>2</v>
      </c>
    </row>
    <row r="23" spans="1:5" ht="13.5" thickBot="1">
      <c r="A23" s="15"/>
      <c r="E23" s="13">
        <f>INDEX($B$2:$D$4,MATCH(C24,A2:A4,0),MATCH(C22,B1:D1,0))</f>
        <v>1000</v>
      </c>
    </row>
    <row r="24" spans="1:5" ht="13.5" thickBot="1">
      <c r="A24" s="15" t="s">
        <v>258</v>
      </c>
      <c r="B24" s="17">
        <v>5000</v>
      </c>
      <c r="C24" s="13" t="s">
        <v>187</v>
      </c>
      <c r="D24" s="13">
        <f>MATCH(C24,A17:A19,0)</f>
        <v>1</v>
      </c>
    </row>
    <row r="26" spans="1:5">
      <c r="B26" s="15" t="s">
        <v>252</v>
      </c>
      <c r="C26" s="19">
        <f>(B22*E23)/B24</f>
        <v>1</v>
      </c>
    </row>
    <row r="27" spans="1:5">
      <c r="C27" s="13" t="s">
        <v>25</v>
      </c>
    </row>
    <row r="28" spans="1:5">
      <c r="C28" s="13" t="s">
        <v>26</v>
      </c>
    </row>
    <row r="31" spans="1:5">
      <c r="A31" s="14" t="s">
        <v>211</v>
      </c>
    </row>
    <row r="33" spans="1:2">
      <c r="B33" s="13" t="s">
        <v>203</v>
      </c>
    </row>
    <row r="37" spans="1:2">
      <c r="A37" s="14" t="s">
        <v>226</v>
      </c>
    </row>
    <row r="38" spans="1:2">
      <c r="A38" s="27" t="s">
        <v>194</v>
      </c>
    </row>
    <row r="39" spans="1:2">
      <c r="A39" s="13" t="s">
        <v>198</v>
      </c>
    </row>
    <row r="40" spans="1:2">
      <c r="A40" s="13" t="s">
        <v>218</v>
      </c>
    </row>
    <row r="42" spans="1:2">
      <c r="A42" s="30" t="s">
        <v>219</v>
      </c>
    </row>
    <row r="43" spans="1:2">
      <c r="A43" s="30" t="s">
        <v>220</v>
      </c>
    </row>
    <row r="44" spans="1:2">
      <c r="A44" s="30" t="s">
        <v>197</v>
      </c>
    </row>
    <row r="45" spans="1:2">
      <c r="A45" s="30" t="s">
        <v>192</v>
      </c>
    </row>
    <row r="47" spans="1:2">
      <c r="A47" s="28" t="s">
        <v>193</v>
      </c>
    </row>
    <row r="48" spans="1:2">
      <c r="A48" s="28" t="s">
        <v>195</v>
      </c>
    </row>
    <row r="49" spans="1:1">
      <c r="A49" s="28" t="s">
        <v>196</v>
      </c>
    </row>
    <row r="50" spans="1:1">
      <c r="A50" s="28" t="s">
        <v>192</v>
      </c>
    </row>
    <row r="52" spans="1:1">
      <c r="A52" s="29" t="s">
        <v>199</v>
      </c>
    </row>
    <row r="53" spans="1:1">
      <c r="A53" s="29" t="s">
        <v>195</v>
      </c>
    </row>
    <row r="54" spans="1:1">
      <c r="A54" s="29" t="s">
        <v>196</v>
      </c>
    </row>
    <row r="55" spans="1:1">
      <c r="A55" s="29" t="s">
        <v>192</v>
      </c>
    </row>
    <row r="75" spans="1:6">
      <c r="A75" s="13" t="s">
        <v>721</v>
      </c>
    </row>
    <row r="76" spans="1:6">
      <c r="A76" s="625" t="str">
        <f>IF('Performance Indicators'!R21=FALSE,"Var. Prod. Cost","Cust.Ret.Unit Cost")</f>
        <v>Cust.Ret.Unit Cost</v>
      </c>
    </row>
    <row r="77" spans="1:6">
      <c r="A77" s="14" t="s">
        <v>722</v>
      </c>
    </row>
    <row r="78" spans="1:6">
      <c r="A78" s="384" t="s">
        <v>354</v>
      </c>
    </row>
    <row r="79" spans="1:6" ht="16.5">
      <c r="B79" s="97"/>
      <c r="C79" s="97"/>
      <c r="D79" s="97"/>
      <c r="E79" s="97" t="str">
        <f>IF(Dashboard!S6=1,"Total Volume of NRW = ","Total Cost of NRW =$")&amp;IF(Dashboard!S6=1,TEXT(SUM(C90,C91,C94,C95,C96,C98),"#,###")&amp;" "&amp;'Reporting Worksheet'!I15,TEXT(SUM(D90,D91,D94,D95,D96,D98),"#,###"))</f>
        <v>Total Volume of NRW = 983 MG/Yr</v>
      </c>
      <c r="F79" s="97"/>
    </row>
    <row r="80" spans="1:6">
      <c r="A80" s="96"/>
      <c r="B80" s="96"/>
      <c r="C80" s="98" t="str">
        <f>"Volume ("&amp;'Reporting Worksheet'!I15&amp;")"</f>
        <v>Volume (MG/Yr)</v>
      </c>
      <c r="D80" s="98" t="s">
        <v>349</v>
      </c>
      <c r="E80" s="375" t="str">
        <f ca="1">OFFSET(B80,0,Dashboard!$S$6)</f>
        <v>Volume (MG/Yr)</v>
      </c>
      <c r="F80" s="96"/>
    </row>
    <row r="81" spans="1:6">
      <c r="A81" s="99" t="s">
        <v>289</v>
      </c>
      <c r="B81" s="99"/>
      <c r="C81" s="576">
        <f>'Reporting Worksheet'!G15</f>
        <v>5243.759</v>
      </c>
      <c r="D81" s="577">
        <f>C81*('Reporting Worksheet'!$G$78)</f>
        <v>1818011.2452999998</v>
      </c>
      <c r="E81" s="576">
        <f ca="1">OFFSET(B81,0,Dashboard!$S$6)</f>
        <v>5243.759</v>
      </c>
      <c r="F81" s="96"/>
    </row>
    <row r="82" spans="1:6">
      <c r="A82" s="99" t="str">
        <f>A81&amp;" MA"</f>
        <v>Vol. from own sources: MA</v>
      </c>
      <c r="B82" s="99"/>
      <c r="C82" s="576">
        <f>'Reporting Worksheet'!S15</f>
        <v>0</v>
      </c>
      <c r="D82" s="577">
        <f>C82*('Reporting Worksheet'!$G$78)</f>
        <v>0</v>
      </c>
      <c r="E82" s="576">
        <f ca="1">OFFSET(B82,0,Dashboard!$S$6)</f>
        <v>0</v>
      </c>
      <c r="F82" s="96"/>
    </row>
    <row r="83" spans="1:6">
      <c r="A83" s="96" t="s">
        <v>4</v>
      </c>
      <c r="B83" s="96"/>
      <c r="C83" s="576">
        <f>'Reporting Worksheet'!G16</f>
        <v>233.6473</v>
      </c>
      <c r="D83" s="577">
        <f>C83*('Reporting Worksheet'!$G$78)</f>
        <v>81005.518909999999</v>
      </c>
      <c r="E83" s="576">
        <f ca="1">OFFSET(B83,0,Dashboard!$S$6)</f>
        <v>233.6473</v>
      </c>
      <c r="F83" s="96"/>
    </row>
    <row r="84" spans="1:6">
      <c r="A84" s="96" t="str">
        <f>A83&amp;" MA"</f>
        <v>Water imported: MA</v>
      </c>
      <c r="B84" s="96"/>
      <c r="C84" s="576">
        <f>'Reporting Worksheet'!S16</f>
        <v>0</v>
      </c>
      <c r="D84" s="577">
        <f>C84*('Reporting Worksheet'!$G$78)</f>
        <v>0</v>
      </c>
      <c r="E84" s="576">
        <f ca="1">OFFSET(B84,0,Dashboard!$S$6)</f>
        <v>0</v>
      </c>
      <c r="F84" s="96"/>
    </row>
    <row r="85" spans="1:6">
      <c r="A85" s="96" t="s">
        <v>5</v>
      </c>
      <c r="B85" s="96"/>
      <c r="C85" s="576">
        <f>'Reporting Worksheet'!G17</f>
        <v>54.335000000000001</v>
      </c>
      <c r="D85" s="577">
        <f>C85*('Reporting Worksheet'!$G$78)</f>
        <v>18837.944500000001</v>
      </c>
      <c r="E85" s="576">
        <f ca="1">OFFSET(B85,0,Dashboard!$S$6)</f>
        <v>54.335000000000001</v>
      </c>
      <c r="F85" s="96"/>
    </row>
    <row r="86" spans="1:6">
      <c r="A86" s="96" t="str">
        <f>A85&amp;" MA"</f>
        <v>Water exported: MA</v>
      </c>
      <c r="B86" s="96"/>
      <c r="C86" s="576">
        <f>'Reporting Worksheet'!S17</f>
        <v>0</v>
      </c>
      <c r="D86" s="577">
        <f>C86*('Reporting Worksheet'!$G$78)</f>
        <v>0</v>
      </c>
      <c r="E86" s="576">
        <f ca="1">OFFSET(B86,0,Dashboard!$S$6)</f>
        <v>0</v>
      </c>
      <c r="F86" s="96"/>
    </row>
    <row r="87" spans="1:6">
      <c r="A87" s="96" t="s">
        <v>245</v>
      </c>
      <c r="B87" s="96"/>
      <c r="C87" s="576">
        <f>'Reporting Worksheet'!G19</f>
        <v>5423.0712999999996</v>
      </c>
      <c r="D87" s="577">
        <f>C87*('Reporting Worksheet'!$G$78)</f>
        <v>1880178.8197099997</v>
      </c>
      <c r="E87" s="576">
        <f ca="1">OFFSET(B87,0,Dashboard!$S$6)</f>
        <v>5423.0712999999996</v>
      </c>
      <c r="F87" s="96"/>
    </row>
    <row r="88" spans="1:6">
      <c r="A88" s="96" t="s">
        <v>132</v>
      </c>
      <c r="B88" s="96"/>
      <c r="C88" s="576">
        <f>'Reporting Worksheet'!G23</f>
        <v>4440.5469999999996</v>
      </c>
      <c r="D88" s="577">
        <f>C88*('Reporting Worksheet'!$G$77*1000)</f>
        <v>24645035.849999998</v>
      </c>
      <c r="E88" s="576">
        <f ca="1">OFFSET(B88,0,Dashboard!$S$6)</f>
        <v>4440.5469999999996</v>
      </c>
      <c r="F88" s="96"/>
    </row>
    <row r="89" spans="1:6">
      <c r="A89" s="96" t="s">
        <v>133</v>
      </c>
      <c r="B89" s="96"/>
      <c r="C89" s="576">
        <f>'Reporting Worksheet'!G24</f>
        <v>0</v>
      </c>
      <c r="D89" s="577">
        <f>C89*('Reporting Worksheet'!$G$77*1000)</f>
        <v>0</v>
      </c>
      <c r="E89" s="576">
        <f ca="1">OFFSET(B89,0,Dashboard!$S$6)</f>
        <v>0</v>
      </c>
      <c r="F89" s="96"/>
    </row>
    <row r="90" spans="1:6">
      <c r="A90" s="374" t="str">
        <f>"Unbilled metered (valued at "&amp;A76&amp;")"</f>
        <v>Unbilled metered (valued at Cust.Ret.Unit Cost)</v>
      </c>
      <c r="B90" s="96"/>
      <c r="C90" s="576">
        <f>'Reporting Worksheet'!G25</f>
        <v>53.983330000000002</v>
      </c>
      <c r="D90" s="577">
        <f>IF(ISBLANK(Instructions!D34),"",IF(ISBLANK('Reporting Worksheet'!G78),"",'Reporting Worksheet'!G25*(IF('Performance Indicators'!R21=FALSE,'Reporting Worksheet'!G78,IF('Performance Indicators'!R21=TRUE,'Reporting Worksheet'!G77*INDEX(Sheet1!B2:D4,MATCH(Instructions!D34,Sheet1!A2:A4,0),MATCH('Reporting Worksheet'!I77,Sheet1!B1:D1,0)),"")))))</f>
        <v>299607.48149999999</v>
      </c>
      <c r="E90" s="576">
        <f ca="1">OFFSET(B90,0,Dashboard!$S$6)</f>
        <v>53.983330000000002</v>
      </c>
      <c r="F90" s="96"/>
    </row>
    <row r="91" spans="1:6">
      <c r="A91" s="374" t="str">
        <f>"Unbilled unmetered (valued at "&amp;A76&amp;")"</f>
        <v>Unbilled unmetered (valued at Cust.Ret.Unit Cost)</v>
      </c>
      <c r="B91" s="96"/>
      <c r="C91" s="576">
        <f>'Reporting Worksheet'!G26</f>
        <v>67.788391250000004</v>
      </c>
      <c r="D91" s="577">
        <f>IF(ISBLANK(Instructions!D34),"",IF(ISBLANK('Reporting Worksheet'!G78),"",'Reporting Worksheet'!G26*(IF('Performance Indicators'!R21=FALSE,'Reporting Worksheet'!G78,IF('Performance Indicators'!R21=TRUE,'Reporting Worksheet'!G77*INDEX(Sheet1!B2:D4,MATCH(Instructions!D34,Sheet1!A2:A4,0),MATCH('Reporting Worksheet'!I77,Sheet1!B1:D1,0)),"")))))</f>
        <v>376225.57143750001</v>
      </c>
      <c r="E91" s="576">
        <f ca="1">OFFSET(B91,0,Dashboard!$S$6)</f>
        <v>67.788391250000004</v>
      </c>
      <c r="F91" s="96"/>
    </row>
    <row r="92" spans="1:6">
      <c r="A92" s="99" t="s">
        <v>290</v>
      </c>
      <c r="B92" s="628" t="s">
        <v>723</v>
      </c>
      <c r="C92" s="576">
        <f>'Reporting Worksheet'!G30</f>
        <v>4562.3187212499997</v>
      </c>
      <c r="D92" s="577">
        <f>C92*('Reporting Worksheet'!$G$77*1000)</f>
        <v>25320868.902937498</v>
      </c>
      <c r="E92" s="576">
        <f ca="1">OFFSET(B92,0,Dashboard!$S$6)</f>
        <v>4562.3187212499997</v>
      </c>
      <c r="F92" s="96"/>
    </row>
    <row r="93" spans="1:6">
      <c r="A93" s="96" t="s">
        <v>119</v>
      </c>
      <c r="B93" s="96"/>
      <c r="C93" s="576">
        <f>'Reporting Worksheet'!G35</f>
        <v>860.75257874999988</v>
      </c>
      <c r="D93" s="577">
        <f>C93*('Reporting Worksheet'!$G$77*1000)</f>
        <v>4777176.8120624991</v>
      </c>
      <c r="E93" s="576">
        <f ca="1">OFFSET(B93,0,Dashboard!$S$6)</f>
        <v>860.75257874999988</v>
      </c>
      <c r="F93" s="96"/>
    </row>
    <row r="94" spans="1:6">
      <c r="A94" s="374" t="s">
        <v>348</v>
      </c>
      <c r="B94" s="99"/>
      <c r="C94" s="576">
        <f>'Reporting Worksheet'!G38</f>
        <v>13.557678249999999</v>
      </c>
      <c r="D94" s="577">
        <f>C94*('Reporting Worksheet'!$G$77*1000)</f>
        <v>75245.114287499993</v>
      </c>
      <c r="E94" s="576">
        <f ca="1">OFFSET(B94,0,Dashboard!$S$6)</f>
        <v>13.557678249999999</v>
      </c>
      <c r="F94" s="96"/>
    </row>
    <row r="95" spans="1:6">
      <c r="A95" s="374" t="s">
        <v>347</v>
      </c>
      <c r="B95" s="99"/>
      <c r="C95" s="576">
        <f>'Reporting Worksheet'!G42</f>
        <v>0</v>
      </c>
      <c r="D95" s="577">
        <f>C95*('Reporting Worksheet'!$G$77*1000)</f>
        <v>0</v>
      </c>
      <c r="E95" s="576">
        <f ca="1">OFFSET(B95,0,Dashboard!$S$6)</f>
        <v>0</v>
      </c>
      <c r="F95" s="96"/>
    </row>
    <row r="96" spans="1:6">
      <c r="A96" s="374" t="s">
        <v>346</v>
      </c>
      <c r="B96" s="99"/>
      <c r="C96" s="576">
        <f>'Reporting Worksheet'!G43</f>
        <v>11.101367499999999</v>
      </c>
      <c r="D96" s="577">
        <f>C96*('Reporting Worksheet'!$G$77*1000)</f>
        <v>61612.589624999993</v>
      </c>
      <c r="E96" s="576">
        <f ca="1">OFFSET(B96,0,Dashboard!$S$6)</f>
        <v>11.101367499999999</v>
      </c>
      <c r="F96" s="96"/>
    </row>
    <row r="97" spans="1:6">
      <c r="A97" s="96" t="s">
        <v>98</v>
      </c>
      <c r="B97" s="96"/>
      <c r="C97" s="576">
        <f>'Reporting Worksheet'!G47</f>
        <v>24.659045749999997</v>
      </c>
      <c r="D97" s="577">
        <f>C97*('Reporting Worksheet'!$G$77*1000)</f>
        <v>136857.70391249997</v>
      </c>
      <c r="E97" s="576">
        <f ca="1">OFFSET(B97,0,Dashboard!$S$6)</f>
        <v>24.659045749999997</v>
      </c>
      <c r="F97" s="96"/>
    </row>
    <row r="98" spans="1:6">
      <c r="A98" s="374" t="str">
        <f>"Real Losses (valued at "&amp;A76&amp;")"</f>
        <v>Real Losses (valued at Cust.Ret.Unit Cost)</v>
      </c>
      <c r="B98" s="99"/>
      <c r="C98" s="576">
        <f>'Reporting Worksheet'!G52</f>
        <v>836.09353299999987</v>
      </c>
      <c r="D98" s="577">
        <f>'Performance Indicators'!I21</f>
        <v>4640319.1081499988</v>
      </c>
      <c r="E98" s="576">
        <f ca="1">OFFSET(B98,0,Dashboard!$S$6)</f>
        <v>836.09353299999987</v>
      </c>
      <c r="F98" s="96"/>
    </row>
    <row r="99" spans="1:6">
      <c r="A99" s="96" t="s">
        <v>189</v>
      </c>
      <c r="B99" s="96"/>
      <c r="C99" s="576">
        <f>'Reporting Worksheet'!G58</f>
        <v>982.52429999999993</v>
      </c>
      <c r="D99" s="578">
        <f>D97+D98+D90+D91</f>
        <v>5453009.8649999993</v>
      </c>
      <c r="E99" s="576">
        <f ca="1">OFFSET(B99,0,Dashboard!$S$6)</f>
        <v>982.52429999999993</v>
      </c>
      <c r="F99" s="96"/>
    </row>
  </sheetData>
  <sheetProtection password="8B16" sheet="1" objects="1" scenarios="1"/>
  <phoneticPr fontId="0" type="noConversion"/>
  <dataValidations disablePrompts="1" count="3">
    <dataValidation type="list" allowBlank="1" showInputMessage="1" showErrorMessage="1" sqref="L13 I13" xr:uid="{4165457E-7C9D-4B04-829C-696BCB8EC8F7}">
      <formula1>"Million Gallons (US),Megalitres (thousand cubic metres),Acre-feet"</formula1>
    </dataValidation>
    <dataValidation type="list" allowBlank="1" showInputMessage="1" showErrorMessage="1" sqref="C9 C22" xr:uid="{E74B4D3C-6EB3-4AB0-BAE6-460A1F3E5B24}">
      <formula1>"$/1000 gallons (US),$/1000 litres,$/100 cubic feet (ccf)"</formula1>
    </dataValidation>
    <dataValidation type="list" allowBlank="1" showInputMessage="1" showErrorMessage="1" sqref="C7 C24" xr:uid="{3FB263BF-1171-4E7F-AD76-79FF6ABE4166}">
      <formula1>"million gallons (US),thousand cubic meters,acre-feet"</formula1>
    </dataValidation>
  </dataValidations>
  <pageMargins left="0.75" right="0.75" top="1" bottom="1" header="0.5" footer="0.5"/>
  <pageSetup orientation="portrait"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BB3DCC6C119144A1B799A7EB3E6334" ma:contentTypeVersion="13" ma:contentTypeDescription="Create a new document." ma:contentTypeScope="" ma:versionID="1f93e66f95633f5000fc5d51569a8d9d">
  <xsd:schema xmlns:xsd="http://www.w3.org/2001/XMLSchema" xmlns:xs="http://www.w3.org/2001/XMLSchema" xmlns:p="http://schemas.microsoft.com/office/2006/metadata/properties" xmlns:ns2="0cecfb9b-0468-465a-b9ae-414e901ae5ee" xmlns:ns3="087a676d-ac83-4d2d-856d-c0e8a94ac354" targetNamespace="http://schemas.microsoft.com/office/2006/metadata/properties" ma:root="true" ma:fieldsID="e6343cd748487ccf2fc1f7e87e6dd8a9" ns2:_="" ns3:_="">
    <xsd:import namespace="0cecfb9b-0468-465a-b9ae-414e901ae5ee"/>
    <xsd:import namespace="087a676d-ac83-4d2d-856d-c0e8a94ac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fb9b-0468-465a-b9ae-414e901ae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7a676d-ac83-4d2d-856d-c0e8a94ac3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371723f-daa3-47c6-a5f0-66797a229488}" ma:internalName="TaxCatchAll" ma:showField="CatchAllData" ma:web="087a676d-ac83-4d2d-856d-c0e8a94ac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cecfb9b-0468-465a-b9ae-414e901ae5ee">
      <Terms xmlns="http://schemas.microsoft.com/office/infopath/2007/PartnerControls"/>
    </lcf76f155ced4ddcb4097134ff3c332f>
    <TaxCatchAll xmlns="087a676d-ac83-4d2d-856d-c0e8a94ac354"/>
  </documentManagement>
</p:properties>
</file>

<file path=customXml/itemProps1.xml><?xml version="1.0" encoding="utf-8"?>
<ds:datastoreItem xmlns:ds="http://schemas.openxmlformats.org/officeDocument/2006/customXml" ds:itemID="{7519E31A-7643-4745-AC24-61848D25F3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cfb9b-0468-465a-b9ae-414e901ae5ee"/>
    <ds:schemaRef ds:uri="087a676d-ac83-4d2d-856d-c0e8a94ac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728FA0-506B-48A6-A967-4643E168AA9C}">
  <ds:schemaRefs>
    <ds:schemaRef ds:uri="http://schemas.microsoft.com/office/2006/metadata/longProperties"/>
  </ds:schemaRefs>
</ds:datastoreItem>
</file>

<file path=customXml/itemProps3.xml><?xml version="1.0" encoding="utf-8"?>
<ds:datastoreItem xmlns:ds="http://schemas.openxmlformats.org/officeDocument/2006/customXml" ds:itemID="{8146A1CA-77E2-4507-ACA0-6969982E1DC3}">
  <ds:schemaRefs>
    <ds:schemaRef ds:uri="http://schemas.microsoft.com/sharepoint/v3/contenttype/forms"/>
  </ds:schemaRefs>
</ds:datastoreItem>
</file>

<file path=customXml/itemProps4.xml><?xml version="1.0" encoding="utf-8"?>
<ds:datastoreItem xmlns:ds="http://schemas.openxmlformats.org/officeDocument/2006/customXml" ds:itemID="{3ACE0733-30BC-4E40-89D8-2A3573A28D2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Instructions</vt:lpstr>
      <vt:lpstr>Reporting Worksheet</vt:lpstr>
      <vt:lpstr>Performance Indicators</vt:lpstr>
      <vt:lpstr>Comments</vt:lpstr>
      <vt:lpstr>Water Balance</vt:lpstr>
      <vt:lpstr>GradingAssessment</vt:lpstr>
      <vt:lpstr>Dashboard</vt:lpstr>
      <vt:lpstr>Grading Matrix</vt:lpstr>
      <vt:lpstr>Service Connection Diagram</vt:lpstr>
      <vt:lpstr>Definitions</vt:lpstr>
      <vt:lpstr>Loss Control Planning</vt:lpstr>
      <vt:lpstr>Example Audits</vt:lpstr>
      <vt:lpstr>Acknowledgements</vt:lpstr>
      <vt:lpstr>Sheet1</vt:lpstr>
      <vt:lpstr>Definitions!Print_Area</vt:lpstr>
      <vt:lpstr>'Performance Indicators'!Print_Area</vt:lpstr>
      <vt:lpstr>'Reporting Worksheet'!Print_Area</vt:lpstr>
      <vt:lpstr>'Service Connection Diagram'!Print_Area</vt:lpstr>
      <vt:lpstr>Comments!Print_Titles</vt:lpstr>
      <vt:lpstr>Definitions!Print_Titles</vt:lpstr>
      <vt:lpstr>'Grading Matrix'!Print_Titles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Thompson, Michael [DRBC]</cp:lastModifiedBy>
  <cp:lastPrinted>2016-03-31T12:30:40Z</cp:lastPrinted>
  <dcterms:created xsi:type="dcterms:W3CDTF">2004-11-04T17:59:53Z</dcterms:created>
  <dcterms:modified xsi:type="dcterms:W3CDTF">2025-05-21T15:31:11Z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Sayed, Sara [DRBC]</vt:lpwstr>
  </property>
  <property fmtid="{D5CDD505-2E9C-101B-9397-08002B2CF9AE}" pid="4" name="Order">
    <vt:lpwstr>13516200.0000000</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display_urn:schemas-microsoft-com:office:office#Author">
    <vt:lpwstr>Sayed, Sara [DRBC]</vt:lpwstr>
  </property>
  <property fmtid="{D5CDD505-2E9C-101B-9397-08002B2CF9AE}" pid="10" name="ContentTypeId">
    <vt:lpwstr>0x010100F94FEEA97F7714429B464513D9D0A311</vt:lpwstr>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MediaLengthInSeconds">
    <vt:lpwstr/>
  </property>
  <property fmtid="{D5CDD505-2E9C-101B-9397-08002B2CF9AE}" pid="15" name="MediaServiceImageTags">
    <vt:lpwstr/>
  </property>
</Properties>
</file>