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yolocountyorg-my.sharepoint.com/personal/sdoolittle_yolocounty_org/Documents/Drawing Board/"/>
    </mc:Choice>
  </mc:AlternateContent>
  <xr:revisionPtr revIDLastSave="7034" documentId="8_{A277713B-8224-9E43-BFFC-5C80EE455C9E}" xr6:coauthVersionLast="47" xr6:coauthVersionMax="47" xr10:uidLastSave="{B29DEEF9-681C-493C-9DFC-09E7420019BD}"/>
  <bookViews>
    <workbookView xWindow="38280" yWindow="-120" windowWidth="29040" windowHeight="15840" activeTab="4" xr2:uid="{00000000-000D-0000-FFFF-FFFF00000000}"/>
  </bookViews>
  <sheets>
    <sheet name="Workflow" sheetId="10" r:id="rId1"/>
    <sheet name="Users" sheetId="9" r:id="rId2"/>
    <sheet name="Application" sheetId="1" r:id="rId3"/>
    <sheet name="Reviews" sheetId="8" r:id="rId4"/>
    <sheet name="Inspection Request Log" sheetId="11" r:id="rId5"/>
    <sheet name="Inspections" sheetId="2" r:id="rId6"/>
    <sheet name="Fees" sheetId="6" r:id="rId7"/>
    <sheet name="Status" sheetId="4" r:id="rId8"/>
  </sheets>
  <definedNames>
    <definedName name="_xlnm._FilterDatabase" localSheetId="1" hidden="1">Users!$A$1:$R$28</definedName>
    <definedName name="AG">Application!$C$3</definedName>
    <definedName name="BLD">Application!$C$10</definedName>
    <definedName name="DEM">Application!$C$4</definedName>
    <definedName name="DEMO">Application!$C$4</definedName>
    <definedName name="ELC">Application!$C$7</definedName>
    <definedName name="GRADE">Application!$C$5</definedName>
    <definedName name="GRD">Application!$C$5</definedName>
    <definedName name="MCH">Application!$C$8</definedName>
    <definedName name="OTC">Application!#REF!</definedName>
    <definedName name="PLB">Application!$C$9</definedName>
    <definedName name="POOL">Application!$C$6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6" i="8" l="1"/>
  <c r="V25" i="8"/>
  <c r="W25" i="8"/>
  <c r="V24" i="8"/>
  <c r="W24" i="8"/>
  <c r="V23" i="8"/>
  <c r="V22" i="8"/>
  <c r="V21" i="8"/>
  <c r="V20" i="8"/>
  <c r="V19" i="8"/>
  <c r="V18" i="8"/>
  <c r="W18" i="8"/>
  <c r="V17" i="8"/>
  <c r="V16" i="8"/>
  <c r="W16" i="8"/>
  <c r="V15" i="8"/>
  <c r="W15" i="8"/>
  <c r="V14" i="8"/>
  <c r="V13" i="8"/>
  <c r="W13" i="8"/>
  <c r="V12" i="8"/>
  <c r="W12" i="8"/>
  <c r="V11" i="8"/>
  <c r="V10" i="8"/>
  <c r="V9" i="8"/>
  <c r="V8" i="8"/>
  <c r="V7" i="8"/>
  <c r="V6" i="8"/>
  <c r="R37" i="8"/>
  <c r="S37" i="8"/>
  <c r="T26" i="8"/>
  <c r="T25" i="8"/>
  <c r="T24" i="8"/>
  <c r="T23" i="8"/>
  <c r="T22" i="8"/>
  <c r="T21" i="8"/>
  <c r="T20" i="8"/>
  <c r="T19" i="8"/>
  <c r="W19" i="8"/>
  <c r="T18" i="8"/>
  <c r="T17" i="8"/>
  <c r="W17" i="8"/>
  <c r="T16" i="8"/>
  <c r="T15" i="8"/>
  <c r="T14" i="8"/>
  <c r="T13" i="8"/>
  <c r="T12" i="8"/>
  <c r="T11" i="8"/>
  <c r="T10" i="8"/>
  <c r="T9" i="8"/>
  <c r="T8" i="8"/>
  <c r="T7" i="8"/>
  <c r="W7" i="8"/>
  <c r="T6" i="8"/>
  <c r="AC36" i="8"/>
  <c r="AB36" i="8"/>
  <c r="AC35" i="8"/>
  <c r="AB35" i="8"/>
  <c r="AC34" i="8"/>
  <c r="AB34" i="8"/>
  <c r="AC33" i="8"/>
  <c r="AB33" i="8"/>
  <c r="AC32" i="8"/>
  <c r="AB32" i="8"/>
  <c r="AC31" i="8"/>
  <c r="AB31" i="8"/>
  <c r="AC30" i="8"/>
  <c r="AB30" i="8"/>
  <c r="AC29" i="8"/>
  <c r="AB29" i="8"/>
  <c r="AC28" i="8"/>
  <c r="AB28" i="8"/>
  <c r="AC27" i="8"/>
  <c r="AB27" i="8"/>
  <c r="AC26" i="8"/>
  <c r="AB26" i="8"/>
  <c r="AC25" i="8"/>
  <c r="AB25" i="8"/>
  <c r="AC24" i="8"/>
  <c r="AB24" i="8"/>
  <c r="AC23" i="8"/>
  <c r="AB23" i="8"/>
  <c r="AC22" i="8"/>
  <c r="AB22" i="8"/>
  <c r="AC21" i="8"/>
  <c r="AB21" i="8"/>
  <c r="AC20" i="8"/>
  <c r="AB20" i="8"/>
  <c r="AC19" i="8"/>
  <c r="AB19" i="8"/>
  <c r="AC18" i="8"/>
  <c r="AB18" i="8"/>
  <c r="AC17" i="8"/>
  <c r="AB17" i="8"/>
  <c r="AC16" i="8"/>
  <c r="AB16" i="8"/>
  <c r="AC15" i="8"/>
  <c r="AB15" i="8"/>
  <c r="AC14" i="8"/>
  <c r="AB14" i="8"/>
  <c r="AC13" i="8"/>
  <c r="AB13" i="8"/>
  <c r="AC12" i="8"/>
  <c r="AB12" i="8"/>
  <c r="AC11" i="8"/>
  <c r="AB11" i="8"/>
  <c r="AC10" i="8"/>
  <c r="AB10" i="8"/>
  <c r="AC9" i="8"/>
  <c r="AB9" i="8"/>
  <c r="AC8" i="8"/>
  <c r="AB8" i="8"/>
  <c r="AC7" i="8"/>
  <c r="AB7" i="8"/>
  <c r="AC6" i="8"/>
  <c r="AB6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6" i="8"/>
  <c r="A3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I36" i="8"/>
  <c r="B227" i="1"/>
  <c r="I35" i="8"/>
  <c r="B226" i="1"/>
  <c r="I34" i="8"/>
  <c r="B225" i="1"/>
  <c r="I33" i="8"/>
  <c r="I32" i="8"/>
  <c r="I31" i="8"/>
  <c r="I30" i="8"/>
  <c r="B223" i="1"/>
  <c r="I29" i="8"/>
  <c r="I28" i="8"/>
  <c r="I27" i="8"/>
  <c r="B221" i="1"/>
  <c r="I26" i="8"/>
  <c r="B220" i="1"/>
  <c r="I25" i="8"/>
  <c r="B219" i="1"/>
  <c r="I24" i="8"/>
  <c r="I23" i="8"/>
  <c r="B218" i="1"/>
  <c r="I22" i="8"/>
  <c r="B217" i="1"/>
  <c r="I21" i="8"/>
  <c r="B216" i="1"/>
  <c r="I20" i="8"/>
  <c r="B215" i="1"/>
  <c r="I19" i="8"/>
  <c r="B214" i="1"/>
  <c r="I18" i="8"/>
  <c r="B213" i="1"/>
  <c r="I17" i="8"/>
  <c r="B212" i="1"/>
  <c r="I16" i="8"/>
  <c r="B211" i="1"/>
  <c r="I15" i="8"/>
  <c r="B210" i="1"/>
  <c r="I14" i="8"/>
  <c r="B209" i="1"/>
  <c r="I13" i="8"/>
  <c r="B208" i="1"/>
  <c r="I12" i="8"/>
  <c r="B207" i="1"/>
  <c r="I11" i="8"/>
  <c r="B206" i="1"/>
  <c r="I10" i="8"/>
  <c r="B205" i="1"/>
  <c r="I9" i="8"/>
  <c r="B204" i="1"/>
  <c r="I8" i="8"/>
  <c r="B222" i="1"/>
  <c r="I7" i="8"/>
  <c r="I6" i="8"/>
  <c r="B203" i="1"/>
  <c r="I5" i="8"/>
  <c r="B202" i="1"/>
  <c r="I4" i="8"/>
  <c r="B201" i="1"/>
  <c r="I3" i="8"/>
  <c r="B200" i="1"/>
  <c r="L33" i="8"/>
  <c r="L32" i="8"/>
  <c r="N32" i="6"/>
  <c r="BA8" i="6"/>
  <c r="AZ8" i="6"/>
  <c r="AO8" i="6"/>
  <c r="AM8" i="6"/>
  <c r="AL8" i="6"/>
  <c r="S8" i="6"/>
  <c r="X8" i="6"/>
  <c r="U8" i="6"/>
  <c r="I8" i="6"/>
  <c r="B8" i="6"/>
  <c r="BA7" i="6"/>
  <c r="AZ7" i="6"/>
  <c r="AO7" i="6"/>
  <c r="AM7" i="6"/>
  <c r="AL7" i="6"/>
  <c r="S7" i="6"/>
  <c r="X7" i="6"/>
  <c r="U7" i="6"/>
  <c r="I7" i="6"/>
  <c r="B7" i="6"/>
  <c r="BA6" i="6"/>
  <c r="AZ6" i="6"/>
  <c r="AO6" i="6"/>
  <c r="AM6" i="6"/>
  <c r="AL6" i="6"/>
  <c r="S6" i="6"/>
  <c r="X6" i="6"/>
  <c r="U6" i="6"/>
  <c r="AB6" i="6"/>
  <c r="I6" i="6"/>
  <c r="B6" i="6"/>
  <c r="B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5" i="6"/>
  <c r="B4" i="6"/>
  <c r="BA51" i="6"/>
  <c r="AZ51" i="6"/>
  <c r="AO51" i="6"/>
  <c r="AM51" i="6"/>
  <c r="AL51" i="6"/>
  <c r="S51" i="6"/>
  <c r="X51" i="6"/>
  <c r="U51" i="6"/>
  <c r="AB51" i="6"/>
  <c r="I51" i="6"/>
  <c r="BA50" i="6"/>
  <c r="AZ50" i="6"/>
  <c r="AO50" i="6"/>
  <c r="AM50" i="6"/>
  <c r="AL50" i="6"/>
  <c r="S50" i="6"/>
  <c r="X50" i="6"/>
  <c r="U50" i="6"/>
  <c r="AB50" i="6"/>
  <c r="I50" i="6"/>
  <c r="BA49" i="6"/>
  <c r="AZ49" i="6"/>
  <c r="AO49" i="6"/>
  <c r="AM49" i="6"/>
  <c r="AL49" i="6"/>
  <c r="S49" i="6"/>
  <c r="X49" i="6"/>
  <c r="U49" i="6"/>
  <c r="AB49" i="6"/>
  <c r="I49" i="6"/>
  <c r="BA48" i="6"/>
  <c r="AZ48" i="6"/>
  <c r="AO48" i="6"/>
  <c r="AM48" i="6"/>
  <c r="AL48" i="6"/>
  <c r="S48" i="6"/>
  <c r="X48" i="6"/>
  <c r="U48" i="6"/>
  <c r="AB48" i="6"/>
  <c r="I48" i="6"/>
  <c r="BA47" i="6"/>
  <c r="AZ47" i="6"/>
  <c r="AO47" i="6"/>
  <c r="AM47" i="6"/>
  <c r="AL47" i="6"/>
  <c r="R47" i="6"/>
  <c r="S47" i="6"/>
  <c r="X47" i="6"/>
  <c r="U47" i="6"/>
  <c r="AB47" i="6"/>
  <c r="I47" i="6"/>
  <c r="BA46" i="6"/>
  <c r="AZ46" i="6"/>
  <c r="AO46" i="6"/>
  <c r="AM46" i="6"/>
  <c r="AL46" i="6"/>
  <c r="S46" i="6"/>
  <c r="X46" i="6"/>
  <c r="U46" i="6"/>
  <c r="AB46" i="6"/>
  <c r="I46" i="6"/>
  <c r="BA45" i="6"/>
  <c r="AZ45" i="6"/>
  <c r="AO45" i="6"/>
  <c r="AM45" i="6"/>
  <c r="AL45" i="6"/>
  <c r="S45" i="6"/>
  <c r="X45" i="6"/>
  <c r="U45" i="6"/>
  <c r="AB45" i="6"/>
  <c r="I45" i="6"/>
  <c r="BA44" i="6"/>
  <c r="AZ44" i="6"/>
  <c r="AO44" i="6"/>
  <c r="AM44" i="6"/>
  <c r="AL44" i="6"/>
  <c r="S44" i="6"/>
  <c r="X44" i="6"/>
  <c r="U44" i="6"/>
  <c r="I44" i="6"/>
  <c r="BA43" i="6"/>
  <c r="AZ43" i="6"/>
  <c r="AO43" i="6"/>
  <c r="AM43" i="6"/>
  <c r="AL43" i="6"/>
  <c r="S43" i="6"/>
  <c r="X43" i="6"/>
  <c r="U43" i="6"/>
  <c r="I43" i="6"/>
  <c r="BA42" i="6"/>
  <c r="AZ42" i="6"/>
  <c r="AO42" i="6"/>
  <c r="AM42" i="6"/>
  <c r="AL42" i="6"/>
  <c r="S42" i="6"/>
  <c r="X42" i="6"/>
  <c r="U42" i="6"/>
  <c r="I42" i="6"/>
  <c r="BA41" i="6"/>
  <c r="AZ41" i="6"/>
  <c r="AO41" i="6"/>
  <c r="AM41" i="6"/>
  <c r="AL41" i="6"/>
  <c r="S41" i="6"/>
  <c r="X41" i="6"/>
  <c r="U41" i="6"/>
  <c r="I41" i="6"/>
  <c r="BA40" i="6"/>
  <c r="AZ40" i="6"/>
  <c r="AO40" i="6"/>
  <c r="AM40" i="6"/>
  <c r="AL40" i="6"/>
  <c r="R40" i="6"/>
  <c r="S40" i="6"/>
  <c r="X40" i="6"/>
  <c r="U40" i="6"/>
  <c r="I40" i="6"/>
  <c r="BA39" i="6"/>
  <c r="AZ39" i="6"/>
  <c r="AO39" i="6"/>
  <c r="AM39" i="6"/>
  <c r="AL39" i="6"/>
  <c r="S39" i="6"/>
  <c r="X39" i="6"/>
  <c r="U39" i="6"/>
  <c r="AB39" i="6"/>
  <c r="I39" i="6"/>
  <c r="BA38" i="6"/>
  <c r="AZ38" i="6"/>
  <c r="AO38" i="6"/>
  <c r="AM38" i="6"/>
  <c r="AL38" i="6"/>
  <c r="S38" i="6"/>
  <c r="X38" i="6"/>
  <c r="U38" i="6"/>
  <c r="AB38" i="6"/>
  <c r="I38" i="6"/>
  <c r="BA58" i="6"/>
  <c r="AZ58" i="6"/>
  <c r="AO58" i="6"/>
  <c r="AM58" i="6"/>
  <c r="AL58" i="6"/>
  <c r="S58" i="6"/>
  <c r="X58" i="6"/>
  <c r="U58" i="6"/>
  <c r="AB58" i="6"/>
  <c r="I58" i="6"/>
  <c r="BA57" i="6"/>
  <c r="AZ57" i="6"/>
  <c r="AO57" i="6"/>
  <c r="AM57" i="6"/>
  <c r="AL57" i="6"/>
  <c r="S57" i="6"/>
  <c r="X57" i="6"/>
  <c r="U57" i="6"/>
  <c r="I57" i="6"/>
  <c r="BA56" i="6"/>
  <c r="AZ56" i="6"/>
  <c r="AO56" i="6"/>
  <c r="AM56" i="6"/>
  <c r="AL56" i="6"/>
  <c r="S56" i="6"/>
  <c r="X56" i="6"/>
  <c r="U56" i="6"/>
  <c r="I56" i="6"/>
  <c r="BA55" i="6"/>
  <c r="AZ55" i="6"/>
  <c r="AO55" i="6"/>
  <c r="AM55" i="6"/>
  <c r="AL55" i="6"/>
  <c r="S55" i="6"/>
  <c r="X55" i="6"/>
  <c r="U55" i="6"/>
  <c r="I55" i="6"/>
  <c r="BA54" i="6"/>
  <c r="AZ54" i="6"/>
  <c r="AO54" i="6"/>
  <c r="AM54" i="6"/>
  <c r="AL54" i="6"/>
  <c r="R54" i="6"/>
  <c r="S54" i="6"/>
  <c r="X54" i="6"/>
  <c r="U54" i="6"/>
  <c r="I54" i="6"/>
  <c r="BA53" i="6"/>
  <c r="AZ53" i="6"/>
  <c r="AO53" i="6"/>
  <c r="AM53" i="6"/>
  <c r="AL53" i="6"/>
  <c r="S53" i="6"/>
  <c r="X53" i="6"/>
  <c r="U53" i="6"/>
  <c r="I53" i="6"/>
  <c r="BA52" i="6"/>
  <c r="AZ52" i="6"/>
  <c r="AO52" i="6"/>
  <c r="AM52" i="6"/>
  <c r="AL52" i="6"/>
  <c r="S52" i="6"/>
  <c r="X52" i="6"/>
  <c r="U52" i="6"/>
  <c r="I52" i="6"/>
  <c r="BA65" i="6"/>
  <c r="AZ65" i="6"/>
  <c r="AO65" i="6"/>
  <c r="AM65" i="6"/>
  <c r="AL65" i="6"/>
  <c r="S65" i="6"/>
  <c r="X65" i="6"/>
  <c r="U65" i="6"/>
  <c r="AB65" i="6"/>
  <c r="I65" i="6"/>
  <c r="BA64" i="6"/>
  <c r="AZ64" i="6"/>
  <c r="AO64" i="6"/>
  <c r="AM64" i="6"/>
  <c r="AL64" i="6"/>
  <c r="S64" i="6"/>
  <c r="X64" i="6"/>
  <c r="U64" i="6"/>
  <c r="I64" i="6"/>
  <c r="BA63" i="6"/>
  <c r="AZ63" i="6"/>
  <c r="AO63" i="6"/>
  <c r="AM63" i="6"/>
  <c r="AL63" i="6"/>
  <c r="S63" i="6"/>
  <c r="X63" i="6"/>
  <c r="U63" i="6"/>
  <c r="I63" i="6"/>
  <c r="BA62" i="6"/>
  <c r="AZ62" i="6"/>
  <c r="AO62" i="6"/>
  <c r="AM62" i="6"/>
  <c r="AL62" i="6"/>
  <c r="S62" i="6"/>
  <c r="X62" i="6"/>
  <c r="U62" i="6"/>
  <c r="I62" i="6"/>
  <c r="BA61" i="6"/>
  <c r="AZ61" i="6"/>
  <c r="AO61" i="6"/>
  <c r="AM61" i="6"/>
  <c r="AL61" i="6"/>
  <c r="R61" i="6"/>
  <c r="S61" i="6"/>
  <c r="X61" i="6"/>
  <c r="U61" i="6"/>
  <c r="I61" i="6"/>
  <c r="BA60" i="6"/>
  <c r="AZ60" i="6"/>
  <c r="AO60" i="6"/>
  <c r="AM60" i="6"/>
  <c r="AL60" i="6"/>
  <c r="S60" i="6"/>
  <c r="X60" i="6"/>
  <c r="U60" i="6"/>
  <c r="AB60" i="6"/>
  <c r="I60" i="6"/>
  <c r="BA59" i="6"/>
  <c r="AZ59" i="6"/>
  <c r="AO59" i="6"/>
  <c r="AM59" i="6"/>
  <c r="AL59" i="6"/>
  <c r="S59" i="6"/>
  <c r="X59" i="6"/>
  <c r="U59" i="6"/>
  <c r="I59" i="6"/>
  <c r="I72" i="6"/>
  <c r="I71" i="6"/>
  <c r="I70" i="6"/>
  <c r="I69" i="6"/>
  <c r="I68" i="6"/>
  <c r="I67" i="6"/>
  <c r="I66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5" i="6"/>
  <c r="I4" i="6"/>
  <c r="I3" i="6"/>
  <c r="I2" i="6"/>
  <c r="O67" i="2"/>
  <c r="O66" i="2"/>
  <c r="O65" i="2"/>
  <c r="O60" i="2"/>
  <c r="O59" i="2"/>
  <c r="O58" i="2"/>
  <c r="O47" i="2"/>
  <c r="O44" i="2"/>
  <c r="O43" i="2"/>
  <c r="O32" i="2"/>
  <c r="O31" i="2"/>
  <c r="O29" i="2"/>
  <c r="O28" i="2"/>
  <c r="O26" i="2"/>
  <c r="O2" i="2"/>
  <c r="I2" i="2"/>
  <c r="H27" i="2"/>
  <c r="L47" i="2"/>
  <c r="L44" i="2"/>
  <c r="L43" i="2"/>
  <c r="L32" i="2"/>
  <c r="L31" i="2"/>
  <c r="L28" i="2"/>
  <c r="L26" i="2"/>
  <c r="L2" i="2"/>
  <c r="M2" i="2"/>
  <c r="N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N29" i="2"/>
  <c r="N58" i="2"/>
  <c r="N59" i="2"/>
  <c r="N60" i="2"/>
  <c r="N65" i="2"/>
  <c r="N66" i="2"/>
  <c r="N67" i="2"/>
  <c r="J3" i="8" a="1"/>
  <c r="J3" i="8"/>
  <c r="L3" i="8"/>
  <c r="A208" i="1"/>
  <c r="A200" i="1"/>
  <c r="A209" i="1"/>
  <c r="A212" i="1"/>
  <c r="A220" i="1"/>
  <c r="A219" i="1"/>
  <c r="A215" i="1"/>
  <c r="A214" i="1"/>
  <c r="A217" i="1"/>
  <c r="A218" i="1"/>
  <c r="A213" i="1"/>
  <c r="A211" i="1"/>
  <c r="A210" i="1"/>
  <c r="A207" i="1"/>
  <c r="A204" i="1"/>
  <c r="A224" i="1"/>
  <c r="A222" i="1"/>
  <c r="A227" i="1"/>
  <c r="A226" i="1"/>
  <c r="A225" i="1"/>
  <c r="A223" i="1"/>
  <c r="A202" i="1"/>
  <c r="A206" i="1"/>
  <c r="A205" i="1"/>
  <c r="A201" i="1"/>
  <c r="A203" i="1"/>
  <c r="B224" i="1"/>
  <c r="A173" i="1"/>
  <c r="A172" i="1"/>
  <c r="A171" i="1"/>
  <c r="A170" i="1"/>
  <c r="A169" i="1"/>
  <c r="A168" i="1"/>
  <c r="A167" i="1"/>
  <c r="A166" i="1"/>
  <c r="A148" i="1"/>
  <c r="A154" i="1"/>
  <c r="A140" i="1"/>
  <c r="A135" i="1"/>
  <c r="A136" i="1"/>
  <c r="A139" i="1"/>
  <c r="A138" i="1"/>
  <c r="A137" i="1"/>
  <c r="A132" i="1"/>
  <c r="A126" i="1"/>
  <c r="A127" i="1"/>
  <c r="A119" i="1"/>
  <c r="A114" i="1"/>
  <c r="A115" i="1"/>
  <c r="A116" i="1"/>
  <c r="A121" i="1"/>
  <c r="A118" i="1"/>
  <c r="A120" i="1"/>
  <c r="A125" i="1"/>
  <c r="A124" i="1"/>
  <c r="A123" i="1"/>
  <c r="A122" i="1"/>
  <c r="A117" i="1"/>
  <c r="A113" i="1"/>
  <c r="A112" i="1"/>
  <c r="A109" i="1"/>
  <c r="A107" i="1"/>
  <c r="A106" i="1"/>
  <c r="A54" i="1" a="1"/>
  <c r="A54" i="1"/>
  <c r="A56" i="1" a="1"/>
  <c r="A56" i="1"/>
  <c r="A57" i="1" a="1"/>
  <c r="A57" i="1"/>
  <c r="A59" i="1" a="1"/>
  <c r="A59" i="1"/>
  <c r="A99" i="1"/>
  <c r="A97" i="1"/>
  <c r="A96" i="1"/>
  <c r="A98" i="1"/>
  <c r="A105" i="1"/>
  <c r="A103" i="1"/>
  <c r="A102" i="1"/>
  <c r="A101" i="1"/>
  <c r="A100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46" i="1"/>
  <c r="A45" i="1"/>
  <c r="A44" i="1"/>
  <c r="A43" i="1"/>
  <c r="A42" i="1"/>
  <c r="A41" i="1"/>
  <c r="A40" i="1"/>
  <c r="A39" i="1"/>
  <c r="A38" i="1"/>
  <c r="A13" i="1"/>
  <c r="A12" i="1"/>
  <c r="A11" i="1"/>
  <c r="A62" i="1"/>
  <c r="A110" i="1"/>
  <c r="A111" i="1"/>
  <c r="A108" i="1"/>
  <c r="A104" i="1"/>
  <c r="A184" i="1"/>
  <c r="A190" i="1"/>
  <c r="A156" i="1"/>
  <c r="A176" i="1"/>
  <c r="AM85" i="6"/>
  <c r="AM84" i="6"/>
  <c r="AM83" i="6"/>
  <c r="AM82" i="6"/>
  <c r="AM81" i="6"/>
  <c r="AM80" i="6"/>
  <c r="AM79" i="6"/>
  <c r="AM78" i="6"/>
  <c r="AM77" i="6"/>
  <c r="AM76" i="6"/>
  <c r="AM75" i="6"/>
  <c r="AM74" i="6"/>
  <c r="AL85" i="6"/>
  <c r="AL84" i="6"/>
  <c r="AL83" i="6"/>
  <c r="AL82" i="6"/>
  <c r="AL81" i="6"/>
  <c r="AL80" i="6"/>
  <c r="AL79" i="6"/>
  <c r="AL78" i="6"/>
  <c r="AL77" i="6"/>
  <c r="AL76" i="6"/>
  <c r="AL75" i="6"/>
  <c r="AL74" i="6"/>
  <c r="BA5" i="6"/>
  <c r="AZ5" i="6"/>
  <c r="BA4" i="6"/>
  <c r="AZ4" i="6"/>
  <c r="BA3" i="6"/>
  <c r="AZ3" i="6"/>
  <c r="BA2" i="6"/>
  <c r="AZ2" i="6"/>
  <c r="A61" i="1"/>
  <c r="A60" i="1"/>
  <c r="A53" i="1" a="1"/>
  <c r="A53" i="1"/>
  <c r="A37" i="1"/>
  <c r="A36" i="1"/>
  <c r="A35" i="1"/>
  <c r="A34" i="1"/>
  <c r="A33" i="1"/>
  <c r="R29" i="9"/>
  <c r="Q29" i="9"/>
  <c r="P29" i="9"/>
  <c r="O29" i="9"/>
  <c r="N29" i="9"/>
  <c r="M29" i="9"/>
  <c r="L29" i="9"/>
  <c r="K29" i="9"/>
  <c r="J29" i="9"/>
  <c r="I29" i="9"/>
  <c r="H29" i="9"/>
  <c r="F20" i="9"/>
  <c r="F19" i="9"/>
  <c r="F18" i="9"/>
  <c r="F27" i="9"/>
  <c r="F26" i="9"/>
  <c r="F25" i="9"/>
  <c r="F24" i="9"/>
  <c r="F23" i="9"/>
  <c r="F22" i="9"/>
  <c r="F21" i="9"/>
  <c r="F16" i="9"/>
  <c r="F15" i="9"/>
  <c r="F14" i="9"/>
  <c r="F13" i="9"/>
  <c r="F12" i="9"/>
  <c r="F9" i="9"/>
  <c r="F8" i="9"/>
  <c r="F10" i="9"/>
  <c r="F7" i="9"/>
  <c r="F6" i="9"/>
  <c r="F5" i="9"/>
  <c r="F4" i="9"/>
  <c r="F3" i="9"/>
  <c r="F28" i="9"/>
  <c r="BA31" i="6"/>
  <c r="AZ31" i="6"/>
  <c r="AO31" i="6"/>
  <c r="AM31" i="6"/>
  <c r="AL31" i="6"/>
  <c r="S31" i="6"/>
  <c r="X31" i="6"/>
  <c r="U31" i="6"/>
  <c r="AB31" i="6"/>
  <c r="R68" i="6"/>
  <c r="BA67" i="6"/>
  <c r="AZ67" i="6"/>
  <c r="AO67" i="6"/>
  <c r="AM67" i="6"/>
  <c r="AL67" i="6"/>
  <c r="S67" i="6"/>
  <c r="X67" i="6"/>
  <c r="U67" i="6"/>
  <c r="AB67" i="6"/>
  <c r="G67" i="2"/>
  <c r="G66" i="2"/>
  <c r="G65" i="2"/>
  <c r="G64" i="2"/>
  <c r="G63" i="2"/>
  <c r="G62" i="2"/>
  <c r="G61" i="2"/>
  <c r="G60" i="2"/>
  <c r="G59" i="2"/>
  <c r="G58" i="2"/>
  <c r="F65" i="2"/>
  <c r="F64" i="2"/>
  <c r="F63" i="2"/>
  <c r="F62" i="2"/>
  <c r="F61" i="2"/>
  <c r="F60" i="2"/>
  <c r="F59" i="2"/>
  <c r="F58" i="2"/>
  <c r="F37" i="2"/>
  <c r="F39" i="2"/>
  <c r="G32" i="2"/>
  <c r="G31" i="2"/>
  <c r="G29" i="2"/>
  <c r="F29" i="2"/>
  <c r="F31" i="2"/>
  <c r="F32" i="2"/>
  <c r="E30" i="2"/>
  <c r="F30" i="2"/>
  <c r="F73" i="2"/>
  <c r="F72" i="2"/>
  <c r="F71" i="2"/>
  <c r="F70" i="2"/>
  <c r="F69" i="2"/>
  <c r="F68" i="2"/>
  <c r="F57" i="2"/>
  <c r="F56" i="2"/>
  <c r="F55" i="2"/>
  <c r="F54" i="2"/>
  <c r="F53" i="2"/>
  <c r="F52" i="2"/>
  <c r="F50" i="2"/>
  <c r="F49" i="2"/>
  <c r="F48" i="2"/>
  <c r="F47" i="2"/>
  <c r="F46" i="2"/>
  <c r="F45" i="2"/>
  <c r="F44" i="2"/>
  <c r="F43" i="2"/>
  <c r="F42" i="2"/>
  <c r="F40" i="2"/>
  <c r="F22" i="2"/>
  <c r="F21" i="2"/>
  <c r="F20" i="2"/>
  <c r="F19" i="2"/>
  <c r="F18" i="2"/>
  <c r="F17" i="2"/>
  <c r="F16" i="2"/>
  <c r="F15" i="2"/>
  <c r="F14" i="2"/>
  <c r="F13" i="2"/>
  <c r="F12" i="2"/>
  <c r="F34" i="2"/>
  <c r="F33" i="2"/>
  <c r="F28" i="2"/>
  <c r="F26" i="2"/>
  <c r="F25" i="2"/>
  <c r="F24" i="2"/>
  <c r="F23" i="2"/>
  <c r="F11" i="2"/>
  <c r="F10" i="2"/>
  <c r="F9" i="2"/>
  <c r="F8" i="2"/>
  <c r="G73" i="2"/>
  <c r="G72" i="2"/>
  <c r="G71" i="2"/>
  <c r="G70" i="2"/>
  <c r="G69" i="2"/>
  <c r="G6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7" i="2"/>
  <c r="G36" i="2"/>
  <c r="G35" i="2"/>
  <c r="G22" i="2"/>
  <c r="G21" i="2"/>
  <c r="G20" i="2"/>
  <c r="G19" i="2"/>
  <c r="G18" i="2"/>
  <c r="G17" i="2"/>
  <c r="G16" i="2"/>
  <c r="G15" i="2"/>
  <c r="G14" i="2"/>
  <c r="G13" i="2"/>
  <c r="G12" i="2"/>
  <c r="G34" i="2"/>
  <c r="G33" i="2"/>
  <c r="G30" i="2"/>
  <c r="G28" i="2"/>
  <c r="G27" i="2"/>
  <c r="I27" i="2"/>
  <c r="G26" i="2"/>
  <c r="G25" i="2"/>
  <c r="G24" i="2"/>
  <c r="G23" i="2"/>
  <c r="G11" i="2"/>
  <c r="G10" i="2"/>
  <c r="G9" i="2"/>
  <c r="G8" i="2"/>
  <c r="W76" i="6"/>
  <c r="W75" i="6"/>
  <c r="W74" i="6"/>
  <c r="W78" i="6"/>
  <c r="W77" i="6"/>
  <c r="BA72" i="6"/>
  <c r="AZ72" i="6"/>
  <c r="BA71" i="6"/>
  <c r="AZ71" i="6"/>
  <c r="BA70" i="6"/>
  <c r="AZ70" i="6"/>
  <c r="BA69" i="6"/>
  <c r="AZ69" i="6"/>
  <c r="BA68" i="6"/>
  <c r="AZ68" i="6"/>
  <c r="BA66" i="6"/>
  <c r="AZ66" i="6"/>
  <c r="BA37" i="6"/>
  <c r="AZ37" i="6"/>
  <c r="BA36" i="6"/>
  <c r="AZ36" i="6"/>
  <c r="BA35" i="6"/>
  <c r="AZ35" i="6"/>
  <c r="BA34" i="6"/>
  <c r="AZ34" i="6"/>
  <c r="BA33" i="6"/>
  <c r="AZ33" i="6"/>
  <c r="BA32" i="6"/>
  <c r="AZ32" i="6"/>
  <c r="BA30" i="6"/>
  <c r="AZ30" i="6"/>
  <c r="BA29" i="6"/>
  <c r="AZ29" i="6"/>
  <c r="BA28" i="6"/>
  <c r="AZ28" i="6"/>
  <c r="BA27" i="6"/>
  <c r="AZ27" i="6"/>
  <c r="BA26" i="6"/>
  <c r="AZ26" i="6"/>
  <c r="BA25" i="6"/>
  <c r="AZ25" i="6"/>
  <c r="BA24" i="6"/>
  <c r="AZ24" i="6"/>
  <c r="BA23" i="6"/>
  <c r="AZ23" i="6"/>
  <c r="BA22" i="6"/>
  <c r="AZ22" i="6"/>
  <c r="BA21" i="6"/>
  <c r="AZ21" i="6"/>
  <c r="BA20" i="6"/>
  <c r="AZ20" i="6"/>
  <c r="BA19" i="6"/>
  <c r="AZ19" i="6"/>
  <c r="BA18" i="6"/>
  <c r="AZ18" i="6"/>
  <c r="BA17" i="6"/>
  <c r="AZ17" i="6"/>
  <c r="BA16" i="6"/>
  <c r="AZ16" i="6"/>
  <c r="BA14" i="6"/>
  <c r="AZ14" i="6"/>
  <c r="BA13" i="6"/>
  <c r="AZ13" i="6"/>
  <c r="BA12" i="6"/>
  <c r="AZ12" i="6"/>
  <c r="BA11" i="6"/>
  <c r="AZ11" i="6"/>
  <c r="BA10" i="6"/>
  <c r="AZ10" i="6"/>
  <c r="BA9" i="6"/>
  <c r="AZ9" i="6"/>
  <c r="AM72" i="6"/>
  <c r="AL72" i="6"/>
  <c r="AM71" i="6"/>
  <c r="AL71" i="6"/>
  <c r="AM70" i="6"/>
  <c r="AL70" i="6"/>
  <c r="AM69" i="6"/>
  <c r="AL69" i="6"/>
  <c r="AM68" i="6"/>
  <c r="AL68" i="6"/>
  <c r="AM66" i="6"/>
  <c r="AL66" i="6"/>
  <c r="AM37" i="6"/>
  <c r="AL37" i="6"/>
  <c r="AM36" i="6"/>
  <c r="AL36" i="6"/>
  <c r="AM35" i="6"/>
  <c r="AL35" i="6"/>
  <c r="AM34" i="6"/>
  <c r="AL34" i="6"/>
  <c r="AM33" i="6"/>
  <c r="AL33" i="6"/>
  <c r="AM32" i="6"/>
  <c r="AL32" i="6"/>
  <c r="AM30" i="6"/>
  <c r="AL30" i="6"/>
  <c r="AM29" i="6"/>
  <c r="AL29" i="6"/>
  <c r="AM28" i="6"/>
  <c r="AL28" i="6"/>
  <c r="AM27" i="6"/>
  <c r="AL27" i="6"/>
  <c r="AM26" i="6"/>
  <c r="AL26" i="6"/>
  <c r="AM25" i="6"/>
  <c r="AL25" i="6"/>
  <c r="AM24" i="6"/>
  <c r="AL24" i="6"/>
  <c r="AM23" i="6"/>
  <c r="AL23" i="6"/>
  <c r="AM22" i="6"/>
  <c r="AL22" i="6"/>
  <c r="AM21" i="6"/>
  <c r="AL21" i="6"/>
  <c r="AM20" i="6"/>
  <c r="AL20" i="6"/>
  <c r="AM19" i="6"/>
  <c r="AL19" i="6"/>
  <c r="AM18" i="6"/>
  <c r="AL18" i="6"/>
  <c r="AM17" i="6"/>
  <c r="AL17" i="6"/>
  <c r="AM16" i="6"/>
  <c r="AL16" i="6"/>
  <c r="AM14" i="6"/>
  <c r="AL14" i="6"/>
  <c r="AM13" i="6"/>
  <c r="AL13" i="6"/>
  <c r="AM12" i="6"/>
  <c r="AL12" i="6"/>
  <c r="AM11" i="6"/>
  <c r="AL11" i="6"/>
  <c r="AM10" i="6"/>
  <c r="AL10" i="6"/>
  <c r="AM9" i="6"/>
  <c r="AL9" i="6"/>
  <c r="AM5" i="6"/>
  <c r="AL5" i="6"/>
  <c r="AM4" i="6"/>
  <c r="AL4" i="6"/>
  <c r="AM3" i="6"/>
  <c r="AL3" i="6"/>
  <c r="AM2" i="6"/>
  <c r="AL2" i="6"/>
  <c r="AM15" i="6"/>
  <c r="AL15" i="6"/>
  <c r="AO3" i="6"/>
  <c r="AO4" i="6"/>
  <c r="AO5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2" i="6"/>
  <c r="AO33" i="6"/>
  <c r="AO34" i="6"/>
  <c r="AO35" i="6"/>
  <c r="AO36" i="6"/>
  <c r="AO37" i="6"/>
  <c r="AO66" i="6"/>
  <c r="AO68" i="6"/>
  <c r="AO69" i="6"/>
  <c r="AO70" i="6"/>
  <c r="AO71" i="6"/>
  <c r="AO72" i="6"/>
  <c r="AO2" i="6"/>
  <c r="W79" i="6"/>
  <c r="S72" i="6"/>
  <c r="X72" i="6"/>
  <c r="U72" i="6"/>
  <c r="AB72" i="6"/>
  <c r="S71" i="6"/>
  <c r="X71" i="6"/>
  <c r="U71" i="6"/>
  <c r="S70" i="6"/>
  <c r="X70" i="6"/>
  <c r="U70" i="6"/>
  <c r="S69" i="6"/>
  <c r="X69" i="6"/>
  <c r="U69" i="6"/>
  <c r="AB69" i="6"/>
  <c r="S68" i="6"/>
  <c r="X68" i="6"/>
  <c r="U68" i="6"/>
  <c r="AB68" i="6"/>
  <c r="S66" i="6"/>
  <c r="X66" i="6"/>
  <c r="U66" i="6"/>
  <c r="AB66" i="6"/>
  <c r="S37" i="6"/>
  <c r="X37" i="6"/>
  <c r="U37" i="6"/>
  <c r="AB37" i="6"/>
  <c r="S36" i="6"/>
  <c r="X36" i="6"/>
  <c r="U36" i="6"/>
  <c r="AB36" i="6"/>
  <c r="S35" i="6"/>
  <c r="X35" i="6"/>
  <c r="U35" i="6"/>
  <c r="AB35" i="6"/>
  <c r="S34" i="6"/>
  <c r="X34" i="6"/>
  <c r="U34" i="6"/>
  <c r="AB34" i="6"/>
  <c r="S33" i="6"/>
  <c r="X33" i="6"/>
  <c r="U33" i="6"/>
  <c r="AB33" i="6"/>
  <c r="S32" i="6"/>
  <c r="X32" i="6"/>
  <c r="U32" i="6"/>
  <c r="AB32" i="6"/>
  <c r="S30" i="6"/>
  <c r="X30" i="6"/>
  <c r="U30" i="6"/>
  <c r="AB30" i="6"/>
  <c r="S29" i="6"/>
  <c r="X29" i="6"/>
  <c r="U29" i="6"/>
  <c r="AB29" i="6"/>
  <c r="S28" i="6"/>
  <c r="X28" i="6"/>
  <c r="U28" i="6"/>
  <c r="AB28" i="6"/>
  <c r="S27" i="6"/>
  <c r="X27" i="6"/>
  <c r="U27" i="6"/>
  <c r="AB27" i="6"/>
  <c r="S26" i="6"/>
  <c r="S25" i="6"/>
  <c r="X25" i="6"/>
  <c r="U25" i="6"/>
  <c r="AB25" i="6"/>
  <c r="S24" i="6"/>
  <c r="X24" i="6"/>
  <c r="U24" i="6"/>
  <c r="AB24" i="6"/>
  <c r="S23" i="6"/>
  <c r="X23" i="6"/>
  <c r="U23" i="6"/>
  <c r="S22" i="6"/>
  <c r="X22" i="6"/>
  <c r="U22" i="6"/>
  <c r="S21" i="6"/>
  <c r="X21" i="6"/>
  <c r="U21" i="6"/>
  <c r="AB21" i="6"/>
  <c r="S20" i="6"/>
  <c r="X20" i="6"/>
  <c r="U20" i="6"/>
  <c r="AB20" i="6"/>
  <c r="S19" i="6"/>
  <c r="X19" i="6"/>
  <c r="U19" i="6"/>
  <c r="AB19" i="6"/>
  <c r="S18" i="6"/>
  <c r="X18" i="6"/>
  <c r="U18" i="6"/>
  <c r="AB18" i="6"/>
  <c r="S17" i="6"/>
  <c r="X17" i="6"/>
  <c r="U17" i="6"/>
  <c r="AB17" i="6"/>
  <c r="S16" i="6"/>
  <c r="X16" i="6"/>
  <c r="U16" i="6"/>
  <c r="AB16" i="6"/>
  <c r="S15" i="6"/>
  <c r="X15" i="6"/>
  <c r="U15" i="6"/>
  <c r="AB15" i="6"/>
  <c r="S14" i="6"/>
  <c r="X14" i="6"/>
  <c r="U14" i="6"/>
  <c r="AB14" i="6"/>
  <c r="S13" i="6"/>
  <c r="X13" i="6"/>
  <c r="U13" i="6"/>
  <c r="AB13" i="6"/>
  <c r="S12" i="6"/>
  <c r="X12" i="6"/>
  <c r="U12" i="6"/>
  <c r="S11" i="6"/>
  <c r="X11" i="6"/>
  <c r="U11" i="6"/>
  <c r="S10" i="6"/>
  <c r="X10" i="6"/>
  <c r="U10" i="6"/>
  <c r="S9" i="6"/>
  <c r="S5" i="6"/>
  <c r="X5" i="6"/>
  <c r="U5" i="6"/>
  <c r="AB5" i="6"/>
  <c r="S4" i="6"/>
  <c r="X4" i="6"/>
  <c r="U4" i="6"/>
  <c r="AB4" i="6"/>
  <c r="S3" i="6"/>
  <c r="X3" i="6"/>
  <c r="U3" i="6"/>
  <c r="AB3" i="6"/>
  <c r="S2" i="6"/>
  <c r="X2" i="6"/>
  <c r="U2" i="6"/>
  <c r="AB2" i="6"/>
  <c r="A7" i="8"/>
  <c r="A19" i="8"/>
  <c r="A31" i="8"/>
  <c r="W6" i="8"/>
  <c r="W8" i="8"/>
  <c r="W20" i="8"/>
  <c r="W9" i="8"/>
  <c r="W21" i="8"/>
  <c r="W10" i="8"/>
  <c r="W22" i="8"/>
  <c r="W11" i="8"/>
  <c r="W23" i="8"/>
  <c r="W14" i="8"/>
  <c r="W26" i="8"/>
  <c r="A5" i="8"/>
  <c r="A17" i="8"/>
  <c r="T37" i="8"/>
  <c r="A9" i="8"/>
  <c r="A21" i="8"/>
  <c r="A33" i="8"/>
  <c r="A10" i="8"/>
  <c r="A22" i="8"/>
  <c r="A34" i="8"/>
  <c r="A36" i="8"/>
  <c r="A12" i="8"/>
  <c r="A24" i="8"/>
  <c r="A8" i="8"/>
  <c r="A20" i="8"/>
  <c r="A32" i="8"/>
  <c r="A11" i="8"/>
  <c r="A23" i="8"/>
  <c r="A35" i="8"/>
  <c r="A14" i="8"/>
  <c r="A16" i="8"/>
  <c r="A18" i="8"/>
  <c r="A6" i="8"/>
  <c r="A4" i="8"/>
  <c r="A13" i="8"/>
  <c r="A25" i="8"/>
  <c r="A26" i="8"/>
  <c r="A15" i="8"/>
  <c r="A27" i="8"/>
  <c r="A28" i="8"/>
  <c r="A29" i="8"/>
  <c r="A30" i="8"/>
  <c r="L28" i="8"/>
  <c r="L29" i="8"/>
  <c r="L31" i="8"/>
  <c r="L24" i="8"/>
  <c r="L34" i="8"/>
  <c r="L20" i="8"/>
  <c r="L11" i="8"/>
  <c r="L23" i="8"/>
  <c r="L6" i="8"/>
  <c r="L12" i="8"/>
  <c r="L25" i="8"/>
  <c r="L13" i="8"/>
  <c r="L26" i="8"/>
  <c r="L14" i="8"/>
  <c r="L27" i="8"/>
  <c r="L15" i="8"/>
  <c r="L8" i="8"/>
  <c r="L16" i="8"/>
  <c r="L30" i="8"/>
  <c r="L17" i="8"/>
  <c r="L7" i="8"/>
  <c r="L4" i="8"/>
  <c r="L18" i="8"/>
  <c r="L5" i="8"/>
  <c r="L19" i="8"/>
  <c r="L35" i="8"/>
  <c r="L36" i="8"/>
  <c r="L21" i="8"/>
  <c r="L9" i="8"/>
  <c r="L10" i="8"/>
  <c r="L22" i="8"/>
  <c r="AP8" i="6"/>
  <c r="AB8" i="6"/>
  <c r="AP6" i="6"/>
  <c r="AP7" i="6"/>
  <c r="AB7" i="6"/>
  <c r="AP45" i="6"/>
  <c r="AP52" i="6"/>
  <c r="AP50" i="6"/>
  <c r="AP65" i="6"/>
  <c r="AP48" i="6"/>
  <c r="AP47" i="6"/>
  <c r="AP49" i="6"/>
  <c r="AP46" i="6"/>
  <c r="AP51" i="6"/>
  <c r="AP53" i="6"/>
  <c r="AP39" i="6"/>
  <c r="AP38" i="6"/>
  <c r="AP42" i="6"/>
  <c r="AB42" i="6"/>
  <c r="AP41" i="6"/>
  <c r="AB41" i="6"/>
  <c r="AP44" i="6"/>
  <c r="AB44" i="6"/>
  <c r="AP43" i="6"/>
  <c r="AB43" i="6"/>
  <c r="AP40" i="6"/>
  <c r="AB40" i="6"/>
  <c r="AP54" i="6"/>
  <c r="AB54" i="6"/>
  <c r="AP56" i="6"/>
  <c r="AB56" i="6"/>
  <c r="AP55" i="6"/>
  <c r="AB55" i="6"/>
  <c r="AP58" i="6"/>
  <c r="AP57" i="6"/>
  <c r="AB57" i="6"/>
  <c r="AB52" i="6"/>
  <c r="AB53" i="6"/>
  <c r="AP60" i="6"/>
  <c r="AP63" i="6"/>
  <c r="AB63" i="6"/>
  <c r="AP62" i="6"/>
  <c r="AB62" i="6"/>
  <c r="AP59" i="6"/>
  <c r="AB59" i="6"/>
  <c r="AP61" i="6"/>
  <c r="AB61" i="6"/>
  <c r="AP64" i="6"/>
  <c r="AB64" i="6"/>
  <c r="N40" i="2"/>
  <c r="O40" i="2"/>
  <c r="H14" i="2"/>
  <c r="I14" i="2"/>
  <c r="H15" i="2"/>
  <c r="I15" i="2"/>
  <c r="H26" i="2"/>
  <c r="I26" i="2"/>
  <c r="H38" i="2"/>
  <c r="I38" i="2"/>
  <c r="H39" i="2"/>
  <c r="I39" i="2"/>
  <c r="H50" i="2"/>
  <c r="I50" i="2"/>
  <c r="H51" i="2"/>
  <c r="I51" i="2"/>
  <c r="H62" i="2"/>
  <c r="I62" i="2"/>
  <c r="H63" i="2"/>
  <c r="I63" i="2"/>
  <c r="H16" i="2"/>
  <c r="I16" i="2"/>
  <c r="H28" i="2"/>
  <c r="I28" i="2"/>
  <c r="H40" i="2"/>
  <c r="I40" i="2"/>
  <c r="H52" i="2"/>
  <c r="I52" i="2"/>
  <c r="H64" i="2"/>
  <c r="I64" i="2"/>
  <c r="H17" i="2"/>
  <c r="I17" i="2"/>
  <c r="H29" i="2"/>
  <c r="I29" i="2"/>
  <c r="H41" i="2"/>
  <c r="I41" i="2"/>
  <c r="H53" i="2"/>
  <c r="I53" i="2"/>
  <c r="H65" i="2"/>
  <c r="I65" i="2"/>
  <c r="H18" i="2"/>
  <c r="I18" i="2"/>
  <c r="H30" i="2"/>
  <c r="I30" i="2"/>
  <c r="H42" i="2"/>
  <c r="I42" i="2"/>
  <c r="H54" i="2"/>
  <c r="I54" i="2"/>
  <c r="H66" i="2"/>
  <c r="I66" i="2"/>
  <c r="H19" i="2"/>
  <c r="I19" i="2"/>
  <c r="H31" i="2"/>
  <c r="I31" i="2"/>
  <c r="H43" i="2"/>
  <c r="I43" i="2"/>
  <c r="H55" i="2"/>
  <c r="I55" i="2"/>
  <c r="H67" i="2"/>
  <c r="I67" i="2"/>
  <c r="H8" i="2"/>
  <c r="I8" i="2"/>
  <c r="H20" i="2"/>
  <c r="I20" i="2"/>
  <c r="H32" i="2"/>
  <c r="I32" i="2"/>
  <c r="H44" i="2"/>
  <c r="I44" i="2"/>
  <c r="H56" i="2"/>
  <c r="I56" i="2"/>
  <c r="H68" i="2"/>
  <c r="I68" i="2"/>
  <c r="H9" i="2"/>
  <c r="I9" i="2"/>
  <c r="H21" i="2"/>
  <c r="I21" i="2"/>
  <c r="H33" i="2"/>
  <c r="I33" i="2"/>
  <c r="H45" i="2"/>
  <c r="I45" i="2"/>
  <c r="H57" i="2"/>
  <c r="I57" i="2"/>
  <c r="H69" i="2"/>
  <c r="I69" i="2"/>
  <c r="H10" i="2"/>
  <c r="I10" i="2"/>
  <c r="H22" i="2"/>
  <c r="I22" i="2"/>
  <c r="H34" i="2"/>
  <c r="I34" i="2"/>
  <c r="H46" i="2"/>
  <c r="I46" i="2"/>
  <c r="H58" i="2"/>
  <c r="I58" i="2"/>
  <c r="H70" i="2"/>
  <c r="I70" i="2"/>
  <c r="H11" i="2"/>
  <c r="I11" i="2"/>
  <c r="H23" i="2"/>
  <c r="I23" i="2"/>
  <c r="H35" i="2"/>
  <c r="I35" i="2"/>
  <c r="H47" i="2"/>
  <c r="I47" i="2"/>
  <c r="H59" i="2"/>
  <c r="I59" i="2"/>
  <c r="H71" i="2"/>
  <c r="I71" i="2"/>
  <c r="H12" i="2"/>
  <c r="I12" i="2"/>
  <c r="H24" i="2"/>
  <c r="I24" i="2"/>
  <c r="H36" i="2"/>
  <c r="I36" i="2"/>
  <c r="H48" i="2"/>
  <c r="I48" i="2"/>
  <c r="H60" i="2"/>
  <c r="I60" i="2"/>
  <c r="H72" i="2"/>
  <c r="I72" i="2"/>
  <c r="H13" i="2"/>
  <c r="I13" i="2"/>
  <c r="H25" i="2"/>
  <c r="I25" i="2"/>
  <c r="H37" i="2"/>
  <c r="I37" i="2"/>
  <c r="H49" i="2"/>
  <c r="I49" i="2"/>
  <c r="H61" i="2"/>
  <c r="I61" i="2"/>
  <c r="H73" i="2"/>
  <c r="I73" i="2"/>
  <c r="M47" i="2"/>
  <c r="N47" i="2"/>
  <c r="M32" i="2"/>
  <c r="N32" i="2"/>
  <c r="M28" i="2"/>
  <c r="N28" i="2"/>
  <c r="M43" i="2"/>
  <c r="N43" i="2"/>
  <c r="M44" i="2"/>
  <c r="N44" i="2"/>
  <c r="M31" i="2"/>
  <c r="N31" i="2"/>
  <c r="M26" i="2"/>
  <c r="N26" i="2"/>
  <c r="A131" i="1"/>
  <c r="A147" i="1"/>
  <c r="A145" i="1"/>
  <c r="A133" i="1"/>
  <c r="A134" i="1"/>
  <c r="A141" i="1"/>
  <c r="A142" i="1"/>
  <c r="A143" i="1"/>
  <c r="A144" i="1"/>
  <c r="A146" i="1"/>
  <c r="A149" i="1"/>
  <c r="A129" i="1"/>
  <c r="A130" i="1"/>
  <c r="A128" i="1"/>
  <c r="A155" i="1"/>
  <c r="A150" i="1"/>
  <c r="A151" i="1"/>
  <c r="A152" i="1"/>
  <c r="A153" i="1"/>
  <c r="A180" i="1"/>
  <c r="A181" i="1"/>
  <c r="A177" i="1"/>
  <c r="A178" i="1"/>
  <c r="A179" i="1"/>
  <c r="A182" i="1"/>
  <c r="A183" i="1"/>
  <c r="A165" i="1"/>
  <c r="A188" i="1"/>
  <c r="A189" i="1"/>
  <c r="A191" i="1"/>
  <c r="A186" i="1"/>
  <c r="A185" i="1"/>
  <c r="A187" i="1"/>
  <c r="A175" i="1"/>
  <c r="A157" i="1"/>
  <c r="A158" i="1"/>
  <c r="A159" i="1"/>
  <c r="A160" i="1"/>
  <c r="A161" i="1"/>
  <c r="A162" i="1"/>
  <c r="A163" i="1"/>
  <c r="A164" i="1"/>
  <c r="A174" i="1"/>
  <c r="AP31" i="6"/>
  <c r="S76" i="6"/>
  <c r="AP67" i="6"/>
  <c r="S78" i="6"/>
  <c r="U78" i="6"/>
  <c r="X78" i="6"/>
  <c r="X75" i="6"/>
  <c r="U75" i="6"/>
  <c r="S74" i="6"/>
  <c r="S75" i="6"/>
  <c r="AP10" i="6"/>
  <c r="AP11" i="6"/>
  <c r="AP70" i="6"/>
  <c r="AP24" i="6"/>
  <c r="AP34" i="6"/>
  <c r="AP21" i="6"/>
  <c r="AP28" i="6"/>
  <c r="AP71" i="6"/>
  <c r="AB71" i="6"/>
  <c r="AP22" i="6"/>
  <c r="AB22" i="6"/>
  <c r="AP72" i="6"/>
  <c r="AP23" i="6"/>
  <c r="AB23" i="6"/>
  <c r="AP12" i="6"/>
  <c r="AB12" i="6"/>
  <c r="AP69" i="6"/>
  <c r="AP27" i="6"/>
  <c r="AP16" i="6"/>
  <c r="AP25" i="6"/>
  <c r="AP15" i="6"/>
  <c r="AP14" i="6"/>
  <c r="AP13" i="6"/>
  <c r="AB11" i="6"/>
  <c r="AP32" i="6"/>
  <c r="AP33" i="6"/>
  <c r="AP35" i="6"/>
  <c r="AP17" i="6"/>
  <c r="AP29" i="6"/>
  <c r="AP36" i="6"/>
  <c r="AP18" i="6"/>
  <c r="AP37" i="6"/>
  <c r="AP19" i="6"/>
  <c r="AP66" i="6"/>
  <c r="AP30" i="6"/>
  <c r="AP20" i="6"/>
  <c r="AP68" i="6"/>
  <c r="AB10" i="6"/>
  <c r="AB70" i="6"/>
  <c r="AP3" i="6"/>
  <c r="AP2" i="6"/>
  <c r="AP4" i="6"/>
  <c r="AP5" i="6"/>
  <c r="X9" i="6"/>
  <c r="X74" i="6"/>
  <c r="S79" i="6"/>
  <c r="X26" i="6"/>
  <c r="X76" i="6"/>
  <c r="N38" i="2"/>
  <c r="O38" i="2"/>
  <c r="N37" i="2"/>
  <c r="O37" i="2"/>
  <c r="N39" i="2"/>
  <c r="O39" i="2"/>
  <c r="S77" i="6"/>
  <c r="X79" i="6"/>
  <c r="X77" i="6"/>
  <c r="U26" i="6"/>
  <c r="U76" i="6"/>
  <c r="U9" i="6"/>
  <c r="U74" i="6"/>
  <c r="AF6" i="8"/>
  <c r="AA6" i="8" s="1"/>
  <c r="AP26" i="6"/>
  <c r="U77" i="6"/>
  <c r="AB26" i="6"/>
  <c r="U79" i="6"/>
  <c r="AB9" i="6"/>
  <c r="AP9" i="6"/>
  <c r="AF7" i="8"/>
  <c r="AA7" i="8" s="1"/>
  <c r="AF8" i="8"/>
  <c r="AA8" i="8" s="1"/>
  <c r="AF9" i="8"/>
  <c r="AA9" i="8" s="1"/>
  <c r="AF10" i="8"/>
  <c r="AA10" i="8" s="1"/>
  <c r="AF11" i="8"/>
  <c r="AA11" i="8" s="1"/>
  <c r="AF12" i="8"/>
  <c r="AA12" i="8" s="1"/>
  <c r="AF13" i="8"/>
  <c r="AA13" i="8" s="1"/>
  <c r="AF14" i="8"/>
  <c r="AA14" i="8" s="1"/>
  <c r="AF15" i="8"/>
  <c r="AA15" i="8" s="1"/>
  <c r="AF16" i="8"/>
  <c r="AA16" i="8" s="1"/>
  <c r="AF17" i="8"/>
  <c r="AA17" i="8" s="1"/>
  <c r="AF18" i="8"/>
  <c r="AA18" i="8" s="1"/>
  <c r="AF19" i="8"/>
  <c r="AA19" i="8" s="1"/>
  <c r="AF20" i="8"/>
  <c r="AA20" i="8" s="1"/>
  <c r="AF21" i="8"/>
  <c r="AA21" i="8" s="1"/>
  <c r="AF22" i="8"/>
  <c r="AA22" i="8" s="1"/>
  <c r="AF23" i="8"/>
  <c r="AA23" i="8" s="1"/>
  <c r="AF24" i="8"/>
  <c r="AA24" i="8" s="1"/>
  <c r="AF25" i="8"/>
  <c r="AA25" i="8" s="1"/>
  <c r="AF26" i="8"/>
  <c r="AA26" i="8" s="1"/>
  <c r="AF27" i="8"/>
  <c r="AA27" i="8" s="1"/>
  <c r="AF28" i="8"/>
  <c r="AA28" i="8" s="1"/>
  <c r="AF29" i="8"/>
  <c r="AA29" i="8" s="1"/>
  <c r="AF30" i="8"/>
  <c r="AA30" i="8" s="1"/>
  <c r="AF31" i="8"/>
  <c r="AA31" i="8" s="1"/>
  <c r="AF32" i="8"/>
  <c r="AA32" i="8" s="1"/>
  <c r="AF33" i="8"/>
  <c r="AA33" i="8" s="1"/>
  <c r="AF34" i="8"/>
  <c r="AA34" i="8" s="1"/>
  <c r="AF35" i="8"/>
  <c r="AA35" i="8" s="1"/>
  <c r="AF36" i="8"/>
  <c r="AA36" i="8" s="1"/>
  <c r="AF37" i="8" l="1"/>
  <c r="AA37" i="8"/>
  <c r="AA38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tc={7677D9D1-594D-456A-9DDE-AD71F7BB0822}</author>
  </authors>
  <commentList>
    <comment ref="A2" authorId="0" shapeId="0" xr:uid="{7677D9D1-594D-456A-9DDE-AD71F7BB08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row determines if the column is part of the end-user interface.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<sst xmlns="http://schemas.openxmlformats.org/spreadsheetml/2006/main" count="1786" uniqueCount="719">
  <si>
    <t>Address</t>
  </si>
  <si>
    <t>APN</t>
  </si>
  <si>
    <t>Applicant Name</t>
  </si>
  <si>
    <t>Applicant Address</t>
  </si>
  <si>
    <t>Applicant Email</t>
  </si>
  <si>
    <t>Applicant Phone</t>
  </si>
  <si>
    <t>Owner Name</t>
  </si>
  <si>
    <t>Owner Address</t>
  </si>
  <si>
    <t>Owner Email</t>
  </si>
  <si>
    <t>Owner Phone</t>
  </si>
  <si>
    <t>Contractor</t>
  </si>
  <si>
    <t>Applicant City-State-Zip</t>
  </si>
  <si>
    <t>Owner City-State-Zip</t>
  </si>
  <si>
    <t>Other (explain in description)</t>
  </si>
  <si>
    <t>Contractor CSLB Type</t>
  </si>
  <si>
    <t>Contractor License Number</t>
  </si>
  <si>
    <t>Contractor License Description</t>
  </si>
  <si>
    <t>Contractor Contact Name</t>
  </si>
  <si>
    <t>Contractor Business Name</t>
  </si>
  <si>
    <t>Contractor Address</t>
  </si>
  <si>
    <t>Contractor City-State-Zip</t>
  </si>
  <si>
    <t>Contractor Email</t>
  </si>
  <si>
    <t>Contractor Phone</t>
  </si>
  <si>
    <t>Demolition</t>
  </si>
  <si>
    <t>Grading</t>
  </si>
  <si>
    <t>Mechanical</t>
  </si>
  <si>
    <t>Plumbing</t>
  </si>
  <si>
    <t xml:space="preserve">The owner has hired, or will hire, a contractor </t>
  </si>
  <si>
    <t>Pool/Spa</t>
  </si>
  <si>
    <t>Group H: High Hazard</t>
  </si>
  <si>
    <t>The owner will perform all of the work</t>
  </si>
  <si>
    <t>Electrical (including Solar, Fire Alarms, etc.)</t>
  </si>
  <si>
    <t>Designer Phone</t>
  </si>
  <si>
    <t>Designer Email</t>
  </si>
  <si>
    <t>Designer City-State-Zip</t>
  </si>
  <si>
    <t>Designer Address</t>
  </si>
  <si>
    <t>Designer Contact Name</t>
  </si>
  <si>
    <t>Designer Business Name</t>
  </si>
  <si>
    <t>Designer License Number</t>
  </si>
  <si>
    <t>Architect</t>
  </si>
  <si>
    <t>Engineer</t>
  </si>
  <si>
    <t>Surveyor</t>
  </si>
  <si>
    <t>None</t>
  </si>
  <si>
    <t xml:space="preserve">Building/Structure </t>
  </si>
  <si>
    <t>Str.Conc.Slab</t>
  </si>
  <si>
    <t>Str.Conc.Walls</t>
  </si>
  <si>
    <t>Flood.EC3.FinishedConstruction</t>
  </si>
  <si>
    <t>Flood.EC2.LowestFloor</t>
  </si>
  <si>
    <t>Grading.SitePrep</t>
  </si>
  <si>
    <t>Grading.Lift/Progress</t>
  </si>
  <si>
    <t>Grading.Final</t>
  </si>
  <si>
    <t>Pool.PreGunite</t>
  </si>
  <si>
    <t>Pool.PreDeck</t>
  </si>
  <si>
    <t>Pool.PrePlaster</t>
  </si>
  <si>
    <t>Pool.HotTub</t>
  </si>
  <si>
    <t>Str.GypsumNailing</t>
  </si>
  <si>
    <t>Elc.Rough</t>
  </si>
  <si>
    <t>Elc.Final</t>
  </si>
  <si>
    <t>Elc.MeterRelease</t>
  </si>
  <si>
    <t>Elc.Equipment</t>
  </si>
  <si>
    <t>Elc.FireAlarms</t>
  </si>
  <si>
    <t>Elc.Solar</t>
  </si>
  <si>
    <t>Elc.Switchgear</t>
  </si>
  <si>
    <t>Elc.Battery</t>
  </si>
  <si>
    <t>Elc.EV</t>
  </si>
  <si>
    <t>Mch.Rough</t>
  </si>
  <si>
    <t>Mch.HVAC</t>
  </si>
  <si>
    <t>Mch.HoodT2</t>
  </si>
  <si>
    <t>Mch.HoodT1</t>
  </si>
  <si>
    <t>Mch.Final</t>
  </si>
  <si>
    <t>Plb.Rough</t>
  </si>
  <si>
    <t>Elc.Underground</t>
  </si>
  <si>
    <t>Plb.Underground</t>
  </si>
  <si>
    <t>Plb.WH.HeatPump</t>
  </si>
  <si>
    <t>Plb.WH.Gas</t>
  </si>
  <si>
    <t>Plb.WH.Solar</t>
  </si>
  <si>
    <t>Plb.Gas</t>
  </si>
  <si>
    <t>Plb.Final</t>
  </si>
  <si>
    <t>Demo.1.Pre</t>
  </si>
  <si>
    <t>Demo.2.Post</t>
  </si>
  <si>
    <t>AgExempt.3.Annual</t>
  </si>
  <si>
    <t>Str.Mason.3.Cap</t>
  </si>
  <si>
    <t>Str.Mason.1.Footing</t>
  </si>
  <si>
    <t>Str.Mason.2.Lift</t>
  </si>
  <si>
    <t>AgExempt.1.Fnd/Site/EC2</t>
  </si>
  <si>
    <t>AgExempt.2.Final/C&amp;D/EC3</t>
  </si>
  <si>
    <t>Inspection</t>
  </si>
  <si>
    <t>Per Acre</t>
  </si>
  <si>
    <t>Per CY</t>
  </si>
  <si>
    <t>** PERMIT FINAL **</t>
  </si>
  <si>
    <t>* Final Bldg</t>
  </si>
  <si>
    <t>* Final C&amp;D</t>
  </si>
  <si>
    <t>* Final EH</t>
  </si>
  <si>
    <t>* Final Fire</t>
  </si>
  <si>
    <t>* Final PW</t>
  </si>
  <si>
    <t>Str.Wood.1.Subfloor</t>
  </si>
  <si>
    <t>Str.Wood.2.Shear&amp;RoofDeck</t>
  </si>
  <si>
    <t>Reroof.1.RoofDeck</t>
  </si>
  <si>
    <t>Str.Wood.3.Frame</t>
  </si>
  <si>
    <t>Reroof.2.Final</t>
  </si>
  <si>
    <t>T25.7.Final</t>
  </si>
  <si>
    <t>T25.6.DisabledAccess</t>
  </si>
  <si>
    <t>T25.5.Egress</t>
  </si>
  <si>
    <t>IWM</t>
  </si>
  <si>
    <t>EH</t>
  </si>
  <si>
    <t>PW</t>
  </si>
  <si>
    <t>Fire District</t>
  </si>
  <si>
    <t>Planning</t>
  </si>
  <si>
    <t>Building</t>
  </si>
  <si>
    <t>Pam.Hedrick@YoloCounty.org</t>
  </si>
  <si>
    <t>Tracy.Gonzalez@YoloCounty.org</t>
  </si>
  <si>
    <t>JD.Trebec@YoloCounty.org</t>
  </si>
  <si>
    <t>Charlie.Tschudin@YoloCounty.org</t>
  </si>
  <si>
    <t>Jeff.Anderson@YoloCounty.org</t>
  </si>
  <si>
    <t>Stephanie.Cormier@YoloCounty.org</t>
  </si>
  <si>
    <t>Deborah.Anderson@YoloCounty.org</t>
  </si>
  <si>
    <t>Susie.Dawlwy@YoloCounty.org</t>
  </si>
  <si>
    <t>Jianmin.Huang@YoloCounty.org</t>
  </si>
  <si>
    <t>Cassandra.Mendoza@YoloCounty.org</t>
  </si>
  <si>
    <t>Approved</t>
  </si>
  <si>
    <t>The application has not been deemed a complete submittal</t>
  </si>
  <si>
    <t>The application is complete but reviews have not been approved</t>
  </si>
  <si>
    <t>The reviews have been approved but the permit has not been issued</t>
  </si>
  <si>
    <t>The permit has been issued but occupancy has not been approved</t>
  </si>
  <si>
    <t>Ideal Workflow</t>
  </si>
  <si>
    <t>Other Status Options</t>
  </si>
  <si>
    <t>Application Withdrawn</t>
  </si>
  <si>
    <t>Application Under Review</t>
  </si>
  <si>
    <t>Application Pending</t>
  </si>
  <si>
    <t>Application Approved</t>
  </si>
  <si>
    <t>Permit Issued</t>
  </si>
  <si>
    <t>Permit Finaled</t>
  </si>
  <si>
    <t>Application Abandoned</t>
  </si>
  <si>
    <t>Permit Cancelled</t>
  </si>
  <si>
    <t>Permit Expired</t>
  </si>
  <si>
    <t>Construction was not completed in time. A new permit  application based on updated codes must be submitted. Any work completed before expiration is "Existing" as defined in the California Existing Building Code.</t>
  </si>
  <si>
    <t>The permit the application requested was not issued in time. A new application based on updated codes must be submitted. Delays caused by County staff will not be counted against the application time limit.</t>
  </si>
  <si>
    <t>Permit Suspended</t>
  </si>
  <si>
    <t>Void</t>
  </si>
  <si>
    <t>The application or permit was a test or mistake</t>
  </si>
  <si>
    <t xml:space="preserve">The Building Official has determined that the permit is no longer approved. The permit is suspended until the permit can approved. If a suspended permit  expires, a new permit application based on current codes must be submitted. </t>
  </si>
  <si>
    <t>The applicant has requested review to be halted and requested a refund of any unused fees.</t>
  </si>
  <si>
    <t>Permit Status</t>
  </si>
  <si>
    <t>Review Status</t>
  </si>
  <si>
    <t>Not Applicable</t>
  </si>
  <si>
    <t>Based on the scope of work, this review is not required.</t>
  </si>
  <si>
    <t>Initial Review</t>
  </si>
  <si>
    <t>Response 1</t>
  </si>
  <si>
    <t>Comments 1</t>
  </si>
  <si>
    <t>Comments 2</t>
  </si>
  <si>
    <t>Response 2</t>
  </si>
  <si>
    <t>Comments 3</t>
  </si>
  <si>
    <t>Response 3</t>
  </si>
  <si>
    <t xml:space="preserve">Based on the submitted application and construction documents, the permit is approved by [Division] to be issued. </t>
  </si>
  <si>
    <t>The application and construction documents cannot be approved as submitted. Comments have been added to the permit records and will be sent to the applicant once all comments are received.</t>
  </si>
  <si>
    <t>The applicant has submitted updates to the application and/or construction documents in response to the reviewers comments.</t>
  </si>
  <si>
    <t>The main detailed review is in progress.</t>
  </si>
  <si>
    <t>etc.</t>
  </si>
  <si>
    <t>Inspection Status</t>
  </si>
  <si>
    <t>Not Issued</t>
  </si>
  <si>
    <t>Not Ready</t>
  </si>
  <si>
    <t>The permit application is incomplete and plan review has not started.</t>
  </si>
  <si>
    <t>Pending</t>
  </si>
  <si>
    <t>Based on the scope of work, this inspection is not required.</t>
  </si>
  <si>
    <t>Requested</t>
  </si>
  <si>
    <t>The permit holder has requested this inspection.</t>
  </si>
  <si>
    <t>The permit has been issued, but this inspection has not been requested by the permit holder.</t>
  </si>
  <si>
    <t>The permit status is not "Permit Issued" so inspections cannot be requested.</t>
  </si>
  <si>
    <t>Scheduled</t>
  </si>
  <si>
    <t>The inspector has scheduled the requested inspection.</t>
  </si>
  <si>
    <t>The inspection has been approved.</t>
  </si>
  <si>
    <t>The permit holder has requested a partial inspection on a large project.</t>
  </si>
  <si>
    <t>The partial inspection was approved.</t>
  </si>
  <si>
    <t>Partial Approved</t>
  </si>
  <si>
    <t>Punch List</t>
  </si>
  <si>
    <t>Construction was allowed to proceed, but the inspector gave the permit holder a list of items that will need to be reinspected at the next inspection.</t>
  </si>
  <si>
    <t>Not Approved</t>
  </si>
  <si>
    <t>The inspection was not approved.</t>
  </si>
  <si>
    <t>Red Tag</t>
  </si>
  <si>
    <t>A serious code violation was found. All construction activity must cease except for the specific actions requested by the inspector.</t>
  </si>
  <si>
    <t>The inspector was not able to perform the inspection because the work was not complete or because access to the work was not adequate.</t>
  </si>
  <si>
    <t>A certificate of occupancy has been issued and/or final inspection approved.</t>
  </si>
  <si>
    <t xml:space="preserve">Partial Requested </t>
  </si>
  <si>
    <t>The permit holder has requested cancellation of the permit and requested a refund of any unused fees.</t>
  </si>
  <si>
    <t>Index</t>
  </si>
  <si>
    <t>Jeremy.vanhorn@yolocounty.org</t>
  </si>
  <si>
    <t>Code Enforcement</t>
  </si>
  <si>
    <t>Dawne.Koranda@YoloCounty.org</t>
  </si>
  <si>
    <t>Angelica.Yepez@YoloCounty.org</t>
  </si>
  <si>
    <t>Chris.Rice@YoloCounty.org</t>
  </si>
  <si>
    <t>Angelina.Espinoza@YoloCounty.org</t>
  </si>
  <si>
    <t>Fee Name</t>
  </si>
  <si>
    <t>Rate</t>
  </si>
  <si>
    <t>Fee</t>
  </si>
  <si>
    <t>QTY</t>
  </si>
  <si>
    <t>Include</t>
  </si>
  <si>
    <t>Notes</t>
  </si>
  <si>
    <t>Fund</t>
  </si>
  <si>
    <t>Receipt #</t>
  </si>
  <si>
    <t>Paid</t>
  </si>
  <si>
    <t>Account Nickname</t>
  </si>
  <si>
    <t>Percentage</t>
  </si>
  <si>
    <t>Amount</t>
  </si>
  <si>
    <t>FSA</t>
  </si>
  <si>
    <t>Pay Now?</t>
  </si>
  <si>
    <t>BldgStds(State)</t>
  </si>
  <si>
    <t>StrongMotion(State)</t>
  </si>
  <si>
    <t>Due Now (Balance x 
Pay Now?)</t>
  </si>
  <si>
    <t>Budget Unit</t>
  </si>
  <si>
    <t>Cost Center</t>
  </si>
  <si>
    <t>GL Account</t>
  </si>
  <si>
    <t>GL Transfer Fund</t>
  </si>
  <si>
    <t>CAMS Project Number</t>
  </si>
  <si>
    <t>Infor Activity</t>
  </si>
  <si>
    <t>Infor Account Category</t>
  </si>
  <si>
    <t>Revenue Ledger Account Number</t>
  </si>
  <si>
    <t>Revenue Ledger Account Name for Journal Entries</t>
  </si>
  <si>
    <t>2975-BD5003</t>
  </si>
  <si>
    <t>Administration</t>
  </si>
  <si>
    <t>Review</t>
  </si>
  <si>
    <t>Building Division Subtotal</t>
  </si>
  <si>
    <t>Other Fees</t>
  </si>
  <si>
    <t>Total Fees</t>
  </si>
  <si>
    <t>Balance
(Fee minus Paid)</t>
  </si>
  <si>
    <t>Bldg.Insp.Default</t>
  </si>
  <si>
    <t>Valuation</t>
  </si>
  <si>
    <t>kilowatt</t>
  </si>
  <si>
    <t>Units</t>
  </si>
  <si>
    <t>Quantity</t>
  </si>
  <si>
    <t>V-A</t>
  </si>
  <si>
    <t>LOW</t>
  </si>
  <si>
    <t>HI</t>
  </si>
  <si>
    <t>acres</t>
  </si>
  <si>
    <t>cubic yards</t>
  </si>
  <si>
    <t>Flat Fee</t>
  </si>
  <si>
    <t>Review which inspections are "flat" and which require variation by project size/type</t>
  </si>
  <si>
    <t>Tasks for configuring this sheet:</t>
  </si>
  <si>
    <t>Review the low side of the scale and minimum time/trips spent on inspection.</t>
  </si>
  <si>
    <t>Review the high side of the scale and "maximum" time/trips spent on an inspection.</t>
  </si>
  <si>
    <t>Add any missing inspections or variants</t>
  </si>
  <si>
    <t>Standard Stops</t>
  </si>
  <si>
    <t>Special Trips</t>
  </si>
  <si>
    <t>Total Inspection Time (on-site)</t>
  </si>
  <si>
    <t>Add all fees</t>
  </si>
  <si>
    <t>Add all account information</t>
  </si>
  <si>
    <t>WUI</t>
  </si>
  <si>
    <t>If Yes, go to 131. If No, continue.</t>
  </si>
  <si>
    <t>Waiting for a request</t>
  </si>
  <si>
    <t>Return to 171</t>
  </si>
  <si>
    <t>If Yes, continue. If No, return to 180</t>
  </si>
  <si>
    <t>What is the current permitted use of the structure?</t>
  </si>
  <si>
    <t>Reference MOU for minimum time allotted for work after hours</t>
  </si>
  <si>
    <t>Permit Number</t>
  </si>
  <si>
    <t>Fire</t>
  </si>
  <si>
    <t>Electrical</t>
  </si>
  <si>
    <t>Public Works</t>
  </si>
  <si>
    <t>Created</t>
  </si>
  <si>
    <t>Sent</t>
  </si>
  <si>
    <t>Due</t>
  </si>
  <si>
    <t>Completed</t>
  </si>
  <si>
    <t>Corrections Sent</t>
  </si>
  <si>
    <t>Sent To</t>
  </si>
  <si>
    <t>Assigned To</t>
  </si>
  <si>
    <t>&lt;user&gt;</t>
  </si>
  <si>
    <t>CSD/CSA</t>
  </si>
  <si>
    <t>N/A</t>
  </si>
  <si>
    <t>building.division@yolocounty.org</t>
  </si>
  <si>
    <t>Scott.Doolittle@yolocounty.org</t>
  </si>
  <si>
    <t>Marlin.Nardiello@YoloCounty.org</t>
  </si>
  <si>
    <t>Notify@ysaqmd.org</t>
  </si>
  <si>
    <t>&lt;applicant&gt;</t>
  </si>
  <si>
    <t>Completed by</t>
  </si>
  <si>
    <t>Status</t>
  </si>
  <si>
    <t>See Next Cycle</t>
  </si>
  <si>
    <t>Environmental Health</t>
  </si>
  <si>
    <t>Jair</t>
  </si>
  <si>
    <t>Created by</t>
  </si>
  <si>
    <t>First Name</t>
  </si>
  <si>
    <t>Last Name</t>
  </si>
  <si>
    <t>Nickname</t>
  </si>
  <si>
    <t>Group</t>
  </si>
  <si>
    <t>Admin</t>
  </si>
  <si>
    <t>Fiscal</t>
  </si>
  <si>
    <t>Angelica</t>
  </si>
  <si>
    <t>Angelina</t>
  </si>
  <si>
    <t>Cassandra</t>
  </si>
  <si>
    <t>Charlie</t>
  </si>
  <si>
    <t>Chris</t>
  </si>
  <si>
    <t>Dawne</t>
  </si>
  <si>
    <t>Deborah</t>
  </si>
  <si>
    <t>JD</t>
  </si>
  <si>
    <t>Jeff</t>
  </si>
  <si>
    <t>Jeremy</t>
  </si>
  <si>
    <t>Jianmin</t>
  </si>
  <si>
    <t>Marlin</t>
  </si>
  <si>
    <t>Pam</t>
  </si>
  <si>
    <t>Scott</t>
  </si>
  <si>
    <t>Stephanie</t>
  </si>
  <si>
    <t>Tracy</t>
  </si>
  <si>
    <t>Yepez</t>
  </si>
  <si>
    <t>Espinoza</t>
  </si>
  <si>
    <t>Mendoza</t>
  </si>
  <si>
    <t>Tschudin</t>
  </si>
  <si>
    <t>Rice</t>
  </si>
  <si>
    <t>Koranda</t>
  </si>
  <si>
    <t>Anderson</t>
  </si>
  <si>
    <t>Trebec</t>
  </si>
  <si>
    <t>Huang</t>
  </si>
  <si>
    <t>Nardiello</t>
  </si>
  <si>
    <t>Hedrick</t>
  </si>
  <si>
    <t>Doolittle</t>
  </si>
  <si>
    <t>Cormier</t>
  </si>
  <si>
    <t>Gonzalez</t>
  </si>
  <si>
    <t>AIR</t>
  </si>
  <si>
    <t>Division</t>
  </si>
  <si>
    <t>Air</t>
  </si>
  <si>
    <t>Assessor</t>
  </si>
  <si>
    <t>Van Horn</t>
  </si>
  <si>
    <t>Suzie</t>
  </si>
  <si>
    <t>Dawley</t>
  </si>
  <si>
    <t>Bautisa</t>
  </si>
  <si>
    <t>Josue</t>
  </si>
  <si>
    <t>Pimentel-Morra</t>
  </si>
  <si>
    <t>Josue.Pimentel@YoloCounty.org</t>
  </si>
  <si>
    <t>MI</t>
  </si>
  <si>
    <t>A</t>
  </si>
  <si>
    <t>Email</t>
  </si>
  <si>
    <t>Read-Only</t>
  </si>
  <si>
    <t>Shriti</t>
  </si>
  <si>
    <t>Jeet</t>
  </si>
  <si>
    <t>Shelby</t>
  </si>
  <si>
    <t>Miliren</t>
  </si>
  <si>
    <t>Maryam</t>
  </si>
  <si>
    <t>Farhoudi</t>
  </si>
  <si>
    <t>Review Coordinator</t>
  </si>
  <si>
    <t>Review Cycle</t>
  </si>
  <si>
    <t>Josephine</t>
  </si>
  <si>
    <t>Acevedo</t>
  </si>
  <si>
    <t>Josephine.Acevedo@yolocounty.org</t>
  </si>
  <si>
    <t>Shriti.Jeet@YoloCounty.org</t>
  </si>
  <si>
    <t xml:space="preserve">Shelby.Milliren@YoloCounty.org </t>
  </si>
  <si>
    <t xml:space="preserve">Maryam.Farhoodi@YoloCounty.org </t>
  </si>
  <si>
    <t>Jair.Bautista@YoloCounty.org</t>
  </si>
  <si>
    <t>Groups</t>
  </si>
  <si>
    <t>Air Quality</t>
  </si>
  <si>
    <t>Quality</t>
  </si>
  <si>
    <t>P</t>
  </si>
  <si>
    <t>Arch.Insul.Ceiling</t>
  </si>
  <si>
    <t>Arch.Insul.Floor</t>
  </si>
  <si>
    <t>Arch.Insul.Rafters</t>
  </si>
  <si>
    <t>Arch.Insul.RoofDeck</t>
  </si>
  <si>
    <t>Arch.Insul.Wall.Cavity</t>
  </si>
  <si>
    <t>Arch.Insul.Wall.Panels</t>
  </si>
  <si>
    <t>Arch.Roofing</t>
  </si>
  <si>
    <t>Arch.Siding</t>
  </si>
  <si>
    <t>Arch.Stucco.Lath</t>
  </si>
  <si>
    <t>Arch.Stucco.Scratch</t>
  </si>
  <si>
    <t>Arch.Windows</t>
  </si>
  <si>
    <t>Flat</t>
  </si>
  <si>
    <t>Applicant is Owner</t>
  </si>
  <si>
    <t>Applicant is Contractor</t>
  </si>
  <si>
    <t>Applicant is Designer</t>
  </si>
  <si>
    <t>Applicant is Other (explain in description)</t>
  </si>
  <si>
    <t>Applicant Role (select all that apply)</t>
  </si>
  <si>
    <t>No</t>
  </si>
  <si>
    <t>Yes</t>
  </si>
  <si>
    <t>Entry</t>
  </si>
  <si>
    <t>Name</t>
  </si>
  <si>
    <t>Project Type (select all that apply)</t>
  </si>
  <si>
    <t>Owner Role (select all that apply)</t>
  </si>
  <si>
    <t>Designer License Type (select all that apply)</t>
  </si>
  <si>
    <t>The owner employs the workers</t>
  </si>
  <si>
    <t>Project Scope / Description</t>
  </si>
  <si>
    <t>Building/Structure</t>
  </si>
  <si>
    <t>Always</t>
  </si>
  <si>
    <t>Existing Area (square feet)</t>
  </si>
  <si>
    <t>Existing Height (feet)</t>
  </si>
  <si>
    <t>Existing Height (stories)</t>
  </si>
  <si>
    <t>Demolition Scope</t>
  </si>
  <si>
    <t>Workers Compensation is Probably Required</t>
  </si>
  <si>
    <t>Which of these best describes the structure?</t>
  </si>
  <si>
    <t>Residential Dwelling, Alteration</t>
  </si>
  <si>
    <t>Reroof</t>
  </si>
  <si>
    <t>Replace Siding</t>
  </si>
  <si>
    <t>Replace Stucco</t>
  </si>
  <si>
    <t>Replace Windows/Doors (like for like)</t>
  </si>
  <si>
    <t>Bathroom Remodel</t>
  </si>
  <si>
    <t>Kitchen Remodel</t>
  </si>
  <si>
    <t>Remove or relocate interior walls</t>
  </si>
  <si>
    <t>Add Deck</t>
  </si>
  <si>
    <t>Add Patio Cover</t>
  </si>
  <si>
    <t>Residential Dwelling, Addition</t>
  </si>
  <si>
    <t>Add Living Area</t>
  </si>
  <si>
    <t>Detached Habitable Area (Non-Dwelling)</t>
  </si>
  <si>
    <t>Garage</t>
  </si>
  <si>
    <t>Shed</t>
  </si>
  <si>
    <t>Other</t>
  </si>
  <si>
    <t>Existing Roof Material</t>
  </si>
  <si>
    <t>Will the existing roofing be removed?</t>
  </si>
  <si>
    <t>Roof Slope ( x:12)</t>
  </si>
  <si>
    <t>Proposed Roof Material</t>
  </si>
  <si>
    <t>Building B</t>
  </si>
  <si>
    <t>01002</t>
  </si>
  <si>
    <t>2029</t>
  </si>
  <si>
    <t>400310</t>
  </si>
  <si>
    <t>716350</t>
  </si>
  <si>
    <t>0000</t>
  </si>
  <si>
    <t>Building A - Temp Occ and Permit Ext</t>
  </si>
  <si>
    <t>5031</t>
  </si>
  <si>
    <t>756350</t>
  </si>
  <si>
    <t>Building Main Account</t>
  </si>
  <si>
    <t>Building Copies</t>
  </si>
  <si>
    <t>40400</t>
  </si>
  <si>
    <t>9900</t>
  </si>
  <si>
    <t>0100012</t>
  </si>
  <si>
    <t>10700</t>
  </si>
  <si>
    <t>0022</t>
  </si>
  <si>
    <t>Building Seismic</t>
  </si>
  <si>
    <t>Building Bldg Std</t>
  </si>
  <si>
    <t>0033</t>
  </si>
  <si>
    <t>756315</t>
  </si>
  <si>
    <t>Building Disability Access</t>
  </si>
  <si>
    <t>756325</t>
  </si>
  <si>
    <t>Project Construction Valuation (Market value for all labor and material)</t>
  </si>
  <si>
    <t>Data Validation</t>
  </si>
  <si>
    <t>Positive Integer</t>
  </si>
  <si>
    <t>List: Yes, No</t>
  </si>
  <si>
    <t>any</t>
  </si>
  <si>
    <t>List: Habitable, Occupiable, Non-Occupiable, Not-Permitted</t>
  </si>
  <si>
    <t>List: Total, Partial, Pool</t>
  </si>
  <si>
    <t>Display?</t>
  </si>
  <si>
    <t>Positive Integer up to 100</t>
  </si>
  <si>
    <t>The scope of work is for which of the following?</t>
  </si>
  <si>
    <t>List: Residential Dwelling, Commercial Building, Accessory Structure</t>
  </si>
  <si>
    <t>[END.APPLICATION]</t>
  </si>
  <si>
    <t>Residential New</t>
  </si>
  <si>
    <t>Commercial Building</t>
  </si>
  <si>
    <t>Cell Tower</t>
  </si>
  <si>
    <t>Water Tank</t>
  </si>
  <si>
    <t>Propane Tank (Above Ground)</t>
  </si>
  <si>
    <t>Propane Tank (Underground)</t>
  </si>
  <si>
    <t>Other:</t>
  </si>
  <si>
    <t>Group A Assembly (50+ occupants)</t>
  </si>
  <si>
    <t>Group B: Business / Office</t>
  </si>
  <si>
    <t>Group F: Factory / Industrial / Processing</t>
  </si>
  <si>
    <t>Group M: Mercantile / Retail</t>
  </si>
  <si>
    <t>Group R: Residential (not covered by CRC)</t>
  </si>
  <si>
    <t>Group S: Storage / Warehouse</t>
  </si>
  <si>
    <t>Group U: Utility / Accessory</t>
  </si>
  <si>
    <t>Total Area, Conditioned</t>
  </si>
  <si>
    <t>Total Area, Unconditioned but Enclosed</t>
  </si>
  <si>
    <t>Total Area, Not Enclosed but Covered</t>
  </si>
  <si>
    <t>Group U Utility / Accessory Structure</t>
  </si>
  <si>
    <t>Type of Construction = VB (any materials)</t>
  </si>
  <si>
    <t>Type of Construction = IIB (non-combustible)</t>
  </si>
  <si>
    <t>Type of Construction = other</t>
  </si>
  <si>
    <t>Area fire sprinklers provided?</t>
  </si>
  <si>
    <t>Are fire sprinklers required?</t>
  </si>
  <si>
    <t>Fire Separation Distance</t>
  </si>
  <si>
    <t>Is the structure separated into multiple fire areas?</t>
  </si>
  <si>
    <t>Detached Single-Family Dwelling up to 2 stories</t>
  </si>
  <si>
    <t>Townhouse</t>
  </si>
  <si>
    <t>Manufactured Home or Tiny Home on Wheels</t>
  </si>
  <si>
    <t>Accessory Dwelling Unit</t>
  </si>
  <si>
    <t>Multi-Family (3+ Dwelling Units)</t>
  </si>
  <si>
    <t>Which of these best describes the addition?</t>
  </si>
  <si>
    <t>Will this project also alter the existing structure?</t>
  </si>
  <si>
    <t>List: New, Addition, Alteration/Repair/Replacement</t>
  </si>
  <si>
    <t>What parts of the dwelling are being altered, repaired or replaced? (check all that apply)</t>
  </si>
  <si>
    <t>Total Disturbed Area (sf)</t>
  </si>
  <si>
    <t>Total Disturbed Area (acres)</t>
  </si>
  <si>
    <t>Maximum Depth of Cut (ft)</t>
  </si>
  <si>
    <t>Maximum Depth of Fill (ft)</t>
  </si>
  <si>
    <t>Steepest Cut Slope (H:1)</t>
  </si>
  <si>
    <t>Steepest Fill Slope (H:1)</t>
  </si>
  <si>
    <t>Total Cut Volume (Cubic Yards)</t>
  </si>
  <si>
    <t>Total Fill Volume (Cubic Yards)</t>
  </si>
  <si>
    <t>Total Export (cubic yards)</t>
  </si>
  <si>
    <t>Total Import (cubic yards)</t>
  </si>
  <si>
    <t>Will workers' compensation insurance be provided?</t>
  </si>
  <si>
    <t>Policy Holder</t>
  </si>
  <si>
    <t>Insurance Company</t>
  </si>
  <si>
    <t>Insurance Agent</t>
  </si>
  <si>
    <t>Insurance Agent Phone</t>
  </si>
  <si>
    <t>Policy Number</t>
  </si>
  <si>
    <t>Explain why workers' compensation insurance is not required.</t>
  </si>
  <si>
    <t>Area of Group A (square feet)</t>
  </si>
  <si>
    <t>Area of Group B (square feet)</t>
  </si>
  <si>
    <t>Area of Group F (square feet)</t>
  </si>
  <si>
    <t>Area of Group H (square feet)</t>
  </si>
  <si>
    <t>Area of Group M (square feet)</t>
  </si>
  <si>
    <t>Area of Group R (square feet)</t>
  </si>
  <si>
    <t>Area of Group S (square feet)</t>
  </si>
  <si>
    <t>Area of Group U (square feet)</t>
  </si>
  <si>
    <t>Is a pool enclosure or automatic pool cover proposed?</t>
  </si>
  <si>
    <t>What is the second method of drowning prevention?</t>
  </si>
  <si>
    <t>Replace or Install Main Service Panel</t>
  </si>
  <si>
    <t>Panel Potential (Volts)</t>
  </si>
  <si>
    <t>Panel Current (Amperes)</t>
  </si>
  <si>
    <t>Install or Replace Motor Loads</t>
  </si>
  <si>
    <t>Install or Replace Solar Photovoltaic Equipment</t>
  </si>
  <si>
    <t>Install or Replace Energy Storage Systems (Batteries)</t>
  </si>
  <si>
    <t>Install or Replace Fire Alarms</t>
  </si>
  <si>
    <t>Area served by Fire Alarms (square feet)</t>
  </si>
  <si>
    <t>Area served by general lighting/receptacles (square feet)</t>
  </si>
  <si>
    <t>Install or Replace Other Appliance or Equipment</t>
  </si>
  <si>
    <t>Describe the Applicance or Equipment</t>
  </si>
  <si>
    <t>Install or Replace HVAC Unit(s)</t>
  </si>
  <si>
    <t>Install or Replace Electric Vehicle Charging Station</t>
  </si>
  <si>
    <t>Install or Replace Water Heater(s)</t>
  </si>
  <si>
    <t>Is the water heater a heat pump water heater?</t>
  </si>
  <si>
    <t>Describe the water heater type</t>
  </si>
  <si>
    <t>HVAC Quantity</t>
  </si>
  <si>
    <t>Mechanical Appliance Quantity</t>
  </si>
  <si>
    <t>Install or replace general lighting and receptacles</t>
  </si>
  <si>
    <t>Install or replace general plumbing fixtures and piping</t>
  </si>
  <si>
    <t>Area served by general plumbing (square feet)</t>
  </si>
  <si>
    <t>Install or Replace Gas Line(s)</t>
  </si>
  <si>
    <t>Diameter of gas pipe (inches)</t>
  </si>
  <si>
    <t>Fuel load demand (btu/hour)</t>
  </si>
  <si>
    <t>Length of gas line (feet)</t>
  </si>
  <si>
    <t>Install or replace building sewer</t>
  </si>
  <si>
    <t>Install or replace water supply</t>
  </si>
  <si>
    <t>Install or replace drain/waste/vent piping</t>
  </si>
  <si>
    <t>Install or replace plumbing fixture(s)</t>
  </si>
  <si>
    <t>Ag Exempt</t>
  </si>
  <si>
    <t>Flood Zone</t>
  </si>
  <si>
    <t>High Expansive Potential of Soils</t>
  </si>
  <si>
    <t>Land Use Zoning</t>
  </si>
  <si>
    <t>School District</t>
  </si>
  <si>
    <t>Existing Roofing Description</t>
  </si>
  <si>
    <t>Proposed Roof Description</t>
  </si>
  <si>
    <t>Default Review Value</t>
  </si>
  <si>
    <t>Auto Fire</t>
  </si>
  <si>
    <t>Staff Override</t>
  </si>
  <si>
    <t>Cycle 1 Days</t>
  </si>
  <si>
    <t>Cycle 2 Days</t>
  </si>
  <si>
    <t>Review Index</t>
  </si>
  <si>
    <t>#</t>
  </si>
  <si>
    <t>TEST.001</t>
  </si>
  <si>
    <t>Run Pay Fees</t>
  </si>
  <si>
    <t>Run Issue Permit</t>
  </si>
  <si>
    <t>Run Reviews.Approved?</t>
  </si>
  <si>
    <t>Run Comments.Send</t>
  </si>
  <si>
    <t>Run Comments.Response</t>
  </si>
  <si>
    <t>Run Inspections.Open</t>
  </si>
  <si>
    <t>Run Inspection.Request</t>
  </si>
  <si>
    <t>Run Inspections.Schedule</t>
  </si>
  <si>
    <t>Run Inspections.Result</t>
  </si>
  <si>
    <t>Run Inspections.Approved?</t>
  </si>
  <si>
    <t>Run Permit.Final</t>
  </si>
  <si>
    <t>Run Schedule Reviews</t>
  </si>
  <si>
    <t>Algorithms:</t>
  </si>
  <si>
    <t>T25.1.Anchoring/Setup</t>
  </si>
  <si>
    <t>T25.3.Marriage/Utilities</t>
  </si>
  <si>
    <t>Str.Conc.Footings/Piers</t>
  </si>
  <si>
    <t>Total Fee</t>
  </si>
  <si>
    <t>CA.</t>
  </si>
  <si>
    <t>Com.</t>
  </si>
  <si>
    <t>Res.</t>
  </si>
  <si>
    <t>perPage</t>
  </si>
  <si>
    <t>EH.</t>
  </si>
  <si>
    <t>IWM.</t>
  </si>
  <si>
    <t>Planning.</t>
  </si>
  <si>
    <t>PW.</t>
  </si>
  <si>
    <t>Yolo.</t>
  </si>
  <si>
    <t>Retail.</t>
  </si>
  <si>
    <t>Warehouse.</t>
  </si>
  <si>
    <t>Office.</t>
  </si>
  <si>
    <t>Factory.</t>
  </si>
  <si>
    <t>CRC.</t>
  </si>
  <si>
    <t>ADU1.</t>
  </si>
  <si>
    <t>ADU2.</t>
  </si>
  <si>
    <t>perSQFT</t>
  </si>
  <si>
    <t>Admin.</t>
  </si>
  <si>
    <t>Bldg.</t>
  </si>
  <si>
    <t>Review.</t>
  </si>
  <si>
    <t>Insp.</t>
  </si>
  <si>
    <t>Conventional.</t>
  </si>
  <si>
    <t>perUnit</t>
  </si>
  <si>
    <t>each</t>
  </si>
  <si>
    <t>SQFT</t>
  </si>
  <si>
    <t>Hrs</t>
  </si>
  <si>
    <t>Demo.</t>
  </si>
  <si>
    <t>Grading.</t>
  </si>
  <si>
    <t>Pool.</t>
  </si>
  <si>
    <t>T25.</t>
  </si>
  <si>
    <t>Electrical.</t>
  </si>
  <si>
    <t>Mechanical.</t>
  </si>
  <si>
    <t>Plumbing.</t>
  </si>
  <si>
    <t>Structural.</t>
  </si>
  <si>
    <t>Engineering.</t>
  </si>
  <si>
    <t>Seismic.</t>
  </si>
  <si>
    <t>BldStd.</t>
  </si>
  <si>
    <t>DCS.</t>
  </si>
  <si>
    <t>FSA.</t>
  </si>
  <si>
    <t>Woodland.</t>
  </si>
  <si>
    <t>Winters.</t>
  </si>
  <si>
    <t>Davis.</t>
  </si>
  <si>
    <t>WestSac.</t>
  </si>
  <si>
    <t>B</t>
  </si>
  <si>
    <t>C</t>
  </si>
  <si>
    <t>D</t>
  </si>
  <si>
    <t>E</t>
  </si>
  <si>
    <t>Auto-Include</t>
  </si>
  <si>
    <t>Staff Over-ride</t>
  </si>
  <si>
    <t>Print.</t>
  </si>
  <si>
    <t>Scan.</t>
  </si>
  <si>
    <t>Addressing.</t>
  </si>
  <si>
    <t>AgExempt.</t>
  </si>
  <si>
    <t>AMMR.</t>
  </si>
  <si>
    <t>Master Fee Schedule Name</t>
  </si>
  <si>
    <t>California Building Standards Fee (State Pass-Through Fee)</t>
  </si>
  <si>
    <t>Strong Motion Instrumentation and Seismic Hazard Mapping (State Pass Through Fee) ($7 for Strong Motion Instrumentation and $3 for Seismic Hazard Mapping)</t>
  </si>
  <si>
    <t>Combo.</t>
  </si>
  <si>
    <t>Review Time (each)</t>
  </si>
  <si>
    <t>Insp. Time (each)</t>
  </si>
  <si>
    <t>Review Fee</t>
  </si>
  <si>
    <t>Insp. Fee</t>
  </si>
  <si>
    <t>Allotted Time (Hours)</t>
  </si>
  <si>
    <t>Actual Time (Hours)</t>
  </si>
  <si>
    <t>Applicant.</t>
  </si>
  <si>
    <t>CE.</t>
  </si>
  <si>
    <t>Full</t>
  </si>
  <si>
    <t>Accessibility</t>
  </si>
  <si>
    <t>Addressing</t>
  </si>
  <si>
    <t>AgExempt</t>
  </si>
  <si>
    <t>Architectural</t>
  </si>
  <si>
    <t>CC/MH/THOW</t>
  </si>
  <si>
    <t>Green/Energy</t>
  </si>
  <si>
    <t>Fire.Alarms</t>
  </si>
  <si>
    <t>Fire.Sprinklers</t>
  </si>
  <si>
    <t>Flood</t>
  </si>
  <si>
    <t>Pool</t>
  </si>
  <si>
    <t>Rapid</t>
  </si>
  <si>
    <t>Structural</t>
  </si>
  <si>
    <t>School</t>
  </si>
  <si>
    <t>District.</t>
  </si>
  <si>
    <t>C&amp;D</t>
  </si>
  <si>
    <t>Land.Use</t>
  </si>
  <si>
    <t>Consumer.Protection</t>
  </si>
  <si>
    <t>HazMat</t>
  </si>
  <si>
    <t>Cannabis.Unit</t>
  </si>
  <si>
    <t>Compliance</t>
  </si>
  <si>
    <t>Incl?</t>
  </si>
  <si>
    <t>Created Date</t>
  </si>
  <si>
    <t>Created Time</t>
  </si>
  <si>
    <t>Age</t>
  </si>
  <si>
    <t>Remaining</t>
  </si>
  <si>
    <t>Difference (Hours)</t>
  </si>
  <si>
    <t>Time Rating</t>
  </si>
  <si>
    <t>Hourly Rate</t>
  </si>
  <si>
    <t>Allotted Review Fee</t>
  </si>
  <si>
    <t>Applicant (or staff) submits Application on yolobuilds.org/application</t>
  </si>
  <si>
    <t>App is emailed to outlook</t>
  </si>
  <si>
    <t>Staff reviews, renames, and moves app file, then triggers submittal algorithm. (Eventually automate this… vba? python?)</t>
  </si>
  <si>
    <t>Staff renames Construction Documents</t>
  </si>
  <si>
    <t>Staf reviews Reviews, Inspections, and Fees created by submittal algorithm.</t>
  </si>
  <si>
    <t>Subgroup</t>
  </si>
  <si>
    <t>Permit Tech</t>
  </si>
  <si>
    <t xml:space="preserve">Bldg Inspector </t>
  </si>
  <si>
    <t>EH Tech</t>
  </si>
  <si>
    <t>EH Land Use</t>
  </si>
  <si>
    <t>EH Cannabis</t>
  </si>
  <si>
    <t>EH Haz Mat</t>
  </si>
  <si>
    <t>EH Consumer Protection</t>
  </si>
  <si>
    <t>Project Location</t>
  </si>
  <si>
    <t>Project Description</t>
  </si>
  <si>
    <t>Type of Request</t>
  </si>
  <si>
    <t>Modification Details</t>
  </si>
  <si>
    <t>Cancellation Details</t>
  </si>
  <si>
    <t>When do you want your inspection?</t>
  </si>
  <si>
    <t>Is the work is ready for inspection?</t>
  </si>
  <si>
    <t>Requested Date</t>
  </si>
  <si>
    <t>Inspection Category (select all that apply)</t>
  </si>
  <si>
    <t>Building Inspection (select all that apply)</t>
  </si>
  <si>
    <t>Other Building Inspection</t>
  </si>
  <si>
    <t>Demolition Inspection</t>
  </si>
  <si>
    <t>Electrical Inspection</t>
  </si>
  <si>
    <t>Other Electrical Inspection</t>
  </si>
  <si>
    <t>Grading Inspection</t>
  </si>
  <si>
    <t>Mechanical Inspection</t>
  </si>
  <si>
    <t>Other Mechanical Inspection</t>
  </si>
  <si>
    <t>Plumbing Inspection</t>
  </si>
  <si>
    <t>Other Plumbing Inspection</t>
  </si>
  <si>
    <t>Pool/Spa Inspection</t>
  </si>
  <si>
    <t>Other Pool/Spa Inspection</t>
  </si>
  <si>
    <t>On-Site Contact Name</t>
  </si>
  <si>
    <t>On-Site Contact Phone</t>
  </si>
  <si>
    <t>Inspection Notes</t>
  </si>
  <si>
    <t>Entry Date</t>
  </si>
  <si>
    <t>Unique Value</t>
  </si>
  <si>
    <t>Request Field</t>
  </si>
  <si>
    <t>Yolo-Builds Field</t>
  </si>
  <si>
    <t>InspReqCategory</t>
  </si>
  <si>
    <t>InspReqTargetDate</t>
  </si>
  <si>
    <t>inspReqType</t>
  </si>
  <si>
    <t>inspReqNextAvailable</t>
  </si>
  <si>
    <t>inspReqReady</t>
  </si>
  <si>
    <t>inspReqDemo</t>
  </si>
  <si>
    <t>inspReqElc</t>
  </si>
  <si>
    <t>inspReqElcOther</t>
  </si>
  <si>
    <t>inspReqGrd</t>
  </si>
  <si>
    <t>inspReqMch</t>
  </si>
  <si>
    <t>inspReqMchOther</t>
  </si>
  <si>
    <t>inspReqPlb</t>
  </si>
  <si>
    <t>inspReqPlbOther</t>
  </si>
  <si>
    <t>inspReqPool</t>
  </si>
  <si>
    <t>inspReqPoolOther</t>
  </si>
  <si>
    <t>inspReqContact</t>
  </si>
  <si>
    <t>inspReqPhone</t>
  </si>
  <si>
    <t>inspReqNotes</t>
  </si>
  <si>
    <t>inspReqID</t>
  </si>
  <si>
    <t>inspReqSubDate</t>
  </si>
  <si>
    <t>inspReqPermit</t>
  </si>
  <si>
    <t>inspReqProjLocation</t>
  </si>
  <si>
    <t>inspReqProjDescription</t>
  </si>
  <si>
    <t>inspModDetails</t>
  </si>
  <si>
    <t>inspCancelDetails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</si>
</sst>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0.0"/>
    <numFmt numFmtId="166" formatCode="_([$$-409]* #,##0.00000_);_([$$-409]* \(#,##0.00000\);_([$$-409]* &quot;-&quot;??_);_(@_)"/>
    <numFmt numFmtId="167" formatCode="_([$$-409]* #,##0_);_([$$-409]* \(#,##0\);_([$$-409]* &quot;-&quot;??_);_(@_)"/>
    <numFmt numFmtId="168" formatCode="#,##0.0"/>
    <numFmt numFmtId="169" formatCode="yyyy\.mm\.dd"/>
    <numFmt numFmtId="170" formatCode="hh:mm\.ss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7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9" borderId="2" xfId="0" applyFill="1" applyBorder="1" applyAlignment="1">
      <alignment vertical="top"/>
    </xf>
    <xf numFmtId="167" fontId="0" fillId="9" borderId="2" xfId="0" applyNumberFormat="1" applyFill="1" applyBorder="1" applyAlignment="1">
      <alignment horizontal="center" vertical="top"/>
    </xf>
    <xf numFmtId="165" fontId="0" fillId="9" borderId="2" xfId="0" applyNumberFormat="1" applyFill="1" applyBorder="1" applyAlignment="1">
      <alignment horizontal="center" vertical="top"/>
    </xf>
    <xf numFmtId="166" fontId="0" fillId="9" borderId="2" xfId="0" applyNumberFormat="1" applyFill="1" applyBorder="1" applyAlignment="1">
      <alignment horizontal="center" vertical="top"/>
    </xf>
    <xf numFmtId="164" fontId="0" fillId="9" borderId="2" xfId="0" applyNumberFormat="1" applyFill="1" applyBorder="1" applyAlignment="1">
      <alignment horizontal="center" vertical="top"/>
    </xf>
    <xf numFmtId="0" fontId="0" fillId="9" borderId="3" xfId="0" applyFill="1" applyBorder="1" applyAlignment="1">
      <alignment vertical="top"/>
    </xf>
    <xf numFmtId="167" fontId="0" fillId="9" borderId="3" xfId="0" applyNumberFormat="1" applyFill="1" applyBorder="1" applyAlignment="1">
      <alignment horizontal="center" vertical="top"/>
    </xf>
    <xf numFmtId="165" fontId="0" fillId="9" borderId="3" xfId="0" applyNumberFormat="1" applyFill="1" applyBorder="1" applyAlignment="1">
      <alignment horizontal="center" vertical="top"/>
    </xf>
    <xf numFmtId="166" fontId="0" fillId="9" borderId="3" xfId="0" applyNumberFormat="1" applyFill="1" applyBorder="1" applyAlignment="1">
      <alignment horizontal="center" vertical="top"/>
    </xf>
    <xf numFmtId="164" fontId="0" fillId="9" borderId="3" xfId="0" applyNumberFormat="1" applyFill="1" applyBorder="1" applyAlignment="1">
      <alignment horizontal="center" vertical="top"/>
    </xf>
    <xf numFmtId="0" fontId="0" fillId="9" borderId="3" xfId="0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vertical="top"/>
    </xf>
    <xf numFmtId="0" fontId="0" fillId="10" borderId="15" xfId="0" applyFill="1" applyBorder="1" applyAlignment="1">
      <alignment vertical="top"/>
    </xf>
    <xf numFmtId="0" fontId="0" fillId="10" borderId="15" xfId="0" applyFill="1" applyBorder="1" applyAlignment="1">
      <alignment horizontal="center" vertical="top"/>
    </xf>
    <xf numFmtId="0" fontId="0" fillId="10" borderId="17" xfId="0" applyFill="1" applyBorder="1" applyAlignment="1">
      <alignment vertical="top"/>
    </xf>
    <xf numFmtId="0" fontId="0" fillId="11" borderId="2" xfId="0" applyFill="1" applyBorder="1" applyAlignment="1">
      <alignment horizontal="center" vertical="top"/>
    </xf>
    <xf numFmtId="0" fontId="0" fillId="11" borderId="2" xfId="0" applyFill="1" applyBorder="1" applyAlignment="1">
      <alignment vertical="top"/>
    </xf>
    <xf numFmtId="0" fontId="0" fillId="11" borderId="3" xfId="0" applyFill="1" applyBorder="1" applyAlignment="1">
      <alignment horizontal="center" vertical="top"/>
    </xf>
    <xf numFmtId="0" fontId="0" fillId="11" borderId="3" xfId="0" applyFill="1" applyBorder="1" applyAlignment="1">
      <alignment vertical="top"/>
    </xf>
    <xf numFmtId="0" fontId="0" fillId="11" borderId="14" xfId="0" applyFill="1" applyBorder="1" applyAlignment="1">
      <alignment horizontal="center" vertical="top"/>
    </xf>
    <xf numFmtId="0" fontId="0" fillId="11" borderId="14" xfId="0" applyFill="1" applyBorder="1" applyAlignment="1">
      <alignment vertical="top"/>
    </xf>
    <xf numFmtId="164" fontId="0" fillId="6" borderId="2" xfId="0" applyNumberFormat="1" applyFill="1" applyBorder="1" applyAlignment="1">
      <alignment vertical="top"/>
    </xf>
    <xf numFmtId="0" fontId="0" fillId="6" borderId="2" xfId="0" applyFill="1" applyBorder="1" applyAlignment="1">
      <alignment vertical="top"/>
    </xf>
    <xf numFmtId="164" fontId="0" fillId="6" borderId="3" xfId="0" applyNumberFormat="1" applyFill="1" applyBorder="1" applyAlignment="1">
      <alignment vertical="top"/>
    </xf>
    <xf numFmtId="0" fontId="0" fillId="6" borderId="3" xfId="0" applyFill="1" applyBorder="1" applyAlignment="1">
      <alignment vertical="top"/>
    </xf>
    <xf numFmtId="164" fontId="0" fillId="6" borderId="14" xfId="0" applyNumberFormat="1" applyFill="1" applyBorder="1" applyAlignment="1">
      <alignment vertical="top"/>
    </xf>
    <xf numFmtId="0" fontId="0" fillId="6" borderId="14" xfId="0" applyFill="1" applyBorder="1" applyAlignment="1">
      <alignment vertical="top"/>
    </xf>
    <xf numFmtId="10" fontId="0" fillId="7" borderId="2" xfId="0" applyNumberFormat="1" applyFill="1" applyBorder="1" applyAlignment="1">
      <alignment vertical="top"/>
    </xf>
    <xf numFmtId="164" fontId="0" fillId="7" borderId="2" xfId="0" applyNumberFormat="1" applyFill="1" applyBorder="1" applyAlignment="1">
      <alignment vertical="top"/>
    </xf>
    <xf numFmtId="0" fontId="0" fillId="7" borderId="2" xfId="0" applyFill="1" applyBorder="1" applyAlignment="1">
      <alignment vertical="top"/>
    </xf>
    <xf numFmtId="10" fontId="0" fillId="7" borderId="3" xfId="0" applyNumberFormat="1" applyFill="1" applyBorder="1" applyAlignment="1">
      <alignment vertical="top"/>
    </xf>
    <xf numFmtId="164" fontId="0" fillId="7" borderId="3" xfId="0" applyNumberFormat="1" applyFill="1" applyBorder="1" applyAlignment="1">
      <alignment vertical="top"/>
    </xf>
    <xf numFmtId="0" fontId="0" fillId="7" borderId="3" xfId="0" applyFill="1" applyBorder="1" applyAlignment="1">
      <alignment vertical="top"/>
    </xf>
    <xf numFmtId="10" fontId="0" fillId="7" borderId="14" xfId="0" applyNumberFormat="1" applyFill="1" applyBorder="1" applyAlignment="1">
      <alignment vertical="top"/>
    </xf>
    <xf numFmtId="164" fontId="0" fillId="7" borderId="14" xfId="0" applyNumberFormat="1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0" fillId="12" borderId="0" xfId="0" applyFill="1"/>
    <xf numFmtId="0" fontId="4" fillId="12" borderId="0" xfId="0" applyFont="1" applyFill="1" applyAlignment="1">
      <alignment vertical="center"/>
    </xf>
    <xf numFmtId="0" fontId="1" fillId="0" borderId="2" xfId="0" applyFont="1" applyBorder="1"/>
    <xf numFmtId="0" fontId="1" fillId="12" borderId="2" xfId="0" applyFont="1" applyFill="1" applyBorder="1"/>
    <xf numFmtId="0" fontId="0" fillId="0" borderId="3" xfId="0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2" borderId="3" xfId="0" applyFill="1" applyBorder="1"/>
    <xf numFmtId="0" fontId="0" fillId="12" borderId="3" xfId="0" applyFill="1" applyBorder="1"/>
    <xf numFmtId="0" fontId="0" fillId="7" borderId="3" xfId="0" applyFill="1" applyBorder="1"/>
    <xf numFmtId="0" fontId="3" fillId="7" borderId="3" xfId="0" applyFont="1" applyFill="1" applyBorder="1"/>
    <xf numFmtId="0" fontId="3" fillId="12" borderId="3" xfId="0" applyFont="1" applyFill="1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8" borderId="3" xfId="0" applyFill="1" applyBorder="1"/>
    <xf numFmtId="42" fontId="0" fillId="6" borderId="3" xfId="0" applyNumberFormat="1" applyFill="1" applyBorder="1" applyAlignment="1">
      <alignment horizontal="left" vertical="center" wrapText="1"/>
    </xf>
    <xf numFmtId="42" fontId="0" fillId="6" borderId="3" xfId="0" applyNumberFormat="1" applyFill="1" applyBorder="1" applyAlignment="1">
      <alignment horizontal="left"/>
    </xf>
    <xf numFmtId="3" fontId="0" fillId="6" borderId="3" xfId="0" applyNumberFormat="1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10" borderId="18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left" vertical="center" wrapText="1"/>
    </xf>
    <xf numFmtId="0" fontId="0" fillId="10" borderId="15" xfId="0" applyFill="1" applyBorder="1"/>
    <xf numFmtId="0" fontId="0" fillId="10" borderId="15" xfId="0" applyFill="1" applyBorder="1" applyAlignment="1">
      <alignment horizontal="left"/>
    </xf>
    <xf numFmtId="0" fontId="0" fillId="10" borderId="17" xfId="0" applyFill="1" applyBorder="1"/>
    <xf numFmtId="0" fontId="0" fillId="10" borderId="19" xfId="0" applyFill="1" applyBorder="1"/>
    <xf numFmtId="4" fontId="0" fillId="6" borderId="3" xfId="0" applyNumberFormat="1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/>
    </xf>
    <xf numFmtId="165" fontId="0" fillId="0" borderId="3" xfId="0" applyNumberFormat="1" applyFont="1" applyBorder="1" applyAlignment="1">
      <alignment horizontal="center" vertical="center" wrapText="1"/>
    </xf>
    <xf numFmtId="0" fontId="0" fillId="13" borderId="3" xfId="0" applyFill="1" applyBorder="1" applyAlignment="1">
      <alignment horizontal="center"/>
    </xf>
    <xf numFmtId="165" fontId="0" fillId="0" borderId="7" xfId="0" applyNumberFormat="1" applyFont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0" fillId="10" borderId="16" xfId="0" applyFill="1" applyBorder="1"/>
    <xf numFmtId="0" fontId="0" fillId="10" borderId="22" xfId="0" applyFill="1" applyBorder="1"/>
    <xf numFmtId="0" fontId="4" fillId="7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6" fillId="14" borderId="0" xfId="0" applyFont="1" applyFill="1"/>
    <xf numFmtId="0" fontId="1" fillId="14" borderId="6" xfId="0" applyFont="1" applyFill="1" applyBorder="1" applyAlignment="1">
      <alignment vertical="top"/>
    </xf>
    <xf numFmtId="0" fontId="1" fillId="14" borderId="7" xfId="0" applyFont="1" applyFill="1" applyBorder="1" applyAlignment="1">
      <alignment vertical="top"/>
    </xf>
    <xf numFmtId="0" fontId="0" fillId="0" borderId="3" xfId="0" applyFill="1" applyBorder="1"/>
    <xf numFmtId="0" fontId="0" fillId="0" borderId="0" xfId="0" applyFill="1" applyBorder="1"/>
    <xf numFmtId="0" fontId="0" fillId="8" borderId="3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15" borderId="3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16" borderId="3" xfId="0" applyFill="1" applyBorder="1" applyAlignment="1">
      <alignment vertical="top"/>
    </xf>
    <xf numFmtId="1" fontId="0" fillId="17" borderId="2" xfId="0" applyNumberFormat="1" applyFill="1" applyBorder="1" applyAlignment="1">
      <alignment horizontal="center" vertical="top"/>
    </xf>
    <xf numFmtId="1" fontId="0" fillId="17" borderId="3" xfId="0" applyNumberFormat="1" applyFill="1" applyBorder="1" applyAlignment="1">
      <alignment horizontal="center" vertical="top"/>
    </xf>
    <xf numFmtId="0" fontId="0" fillId="16" borderId="3" xfId="0" applyFill="1" applyBorder="1" applyAlignment="1">
      <alignment horizontal="center" vertical="top"/>
    </xf>
    <xf numFmtId="165" fontId="0" fillId="16" borderId="3" xfId="0" applyNumberFormat="1" applyFill="1" applyBorder="1" applyAlignment="1">
      <alignment horizontal="center" vertical="top"/>
    </xf>
    <xf numFmtId="164" fontId="0" fillId="16" borderId="3" xfId="0" applyNumberFormat="1" applyFill="1" applyBorder="1" applyAlignment="1">
      <alignment horizontal="center" vertical="top"/>
    </xf>
    <xf numFmtId="0" fontId="0" fillId="13" borderId="3" xfId="0" applyFill="1" applyBorder="1" applyAlignment="1">
      <alignment horizontal="center" vertical="top"/>
    </xf>
    <xf numFmtId="165" fontId="0" fillId="13" borderId="3" xfId="0" applyNumberFormat="1" applyFill="1" applyBorder="1" applyAlignment="1">
      <alignment horizontal="center" vertical="top"/>
    </xf>
    <xf numFmtId="164" fontId="0" fillId="13" borderId="3" xfId="0" applyNumberFormat="1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165" fontId="0" fillId="8" borderId="3" xfId="0" applyNumberFormat="1" applyFill="1" applyBorder="1" applyAlignment="1">
      <alignment horizontal="center" vertical="top"/>
    </xf>
    <xf numFmtId="164" fontId="0" fillId="8" borderId="3" xfId="0" applyNumberFormat="1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165" fontId="0" fillId="6" borderId="3" xfId="0" applyNumberFormat="1" applyFill="1" applyBorder="1" applyAlignment="1">
      <alignment horizontal="center" vertical="top"/>
    </xf>
    <xf numFmtId="164" fontId="0" fillId="6" borderId="3" xfId="0" applyNumberFormat="1" applyFill="1" applyBorder="1" applyAlignment="1">
      <alignment horizontal="center" vertical="top"/>
    </xf>
    <xf numFmtId="0" fontId="0" fillId="15" borderId="3" xfId="0" applyFill="1" applyBorder="1" applyAlignment="1">
      <alignment horizontal="center" vertical="top"/>
    </xf>
    <xf numFmtId="165" fontId="0" fillId="15" borderId="3" xfId="0" applyNumberFormat="1" applyFill="1" applyBorder="1" applyAlignment="1">
      <alignment horizontal="center" vertical="top"/>
    </xf>
    <xf numFmtId="164" fontId="0" fillId="15" borderId="3" xfId="0" applyNumberFormat="1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165" fontId="0" fillId="3" borderId="3" xfId="0" applyNumberFormat="1" applyFill="1" applyBorder="1" applyAlignment="1">
      <alignment horizontal="center" vertical="top"/>
    </xf>
    <xf numFmtId="164" fontId="0" fillId="3" borderId="3" xfId="0" applyNumberFormat="1" applyFill="1" applyBorder="1" applyAlignment="1">
      <alignment horizontal="center" vertical="top"/>
    </xf>
    <xf numFmtId="0" fontId="0" fillId="18" borderId="3" xfId="0" applyFill="1" applyBorder="1" applyAlignment="1">
      <alignment vertical="top"/>
    </xf>
    <xf numFmtId="0" fontId="0" fillId="18" borderId="3" xfId="0" applyFill="1" applyBorder="1" applyAlignment="1">
      <alignment horizontal="center" vertical="top"/>
    </xf>
    <xf numFmtId="165" fontId="0" fillId="18" borderId="3" xfId="0" applyNumberFormat="1" applyFill="1" applyBorder="1" applyAlignment="1">
      <alignment horizontal="center" vertical="top"/>
    </xf>
    <xf numFmtId="164" fontId="0" fillId="18" borderId="3" xfId="0" applyNumberFormat="1" applyFill="1" applyBorder="1" applyAlignment="1">
      <alignment horizontal="center" vertical="top"/>
    </xf>
    <xf numFmtId="1" fontId="0" fillId="8" borderId="23" xfId="0" applyNumberFormat="1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164" fontId="0" fillId="8" borderId="23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1" fontId="0" fillId="3" borderId="23" xfId="0" applyNumberForma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" fontId="0" fillId="0" borderId="23" xfId="0" applyNumberForma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164" fontId="0" fillId="0" borderId="23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" fontId="0" fillId="11" borderId="20" xfId="0" applyNumberFormat="1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164" fontId="0" fillId="11" borderId="20" xfId="0" applyNumberFormat="1" applyFill="1" applyBorder="1" applyAlignment="1">
      <alignment horizontal="center" vertical="center"/>
    </xf>
    <xf numFmtId="164" fontId="0" fillId="11" borderId="12" xfId="0" applyNumberFormat="1" applyFill="1" applyBorder="1" applyAlignment="1">
      <alignment horizontal="center" vertical="center"/>
    </xf>
    <xf numFmtId="0" fontId="0" fillId="10" borderId="22" xfId="0" applyFill="1" applyBorder="1" applyAlignment="1">
      <alignment vertical="top"/>
    </xf>
    <xf numFmtId="0" fontId="0" fillId="10" borderId="21" xfId="0" applyFill="1" applyBorder="1" applyAlignment="1">
      <alignment vertical="top"/>
    </xf>
    <xf numFmtId="0" fontId="0" fillId="10" borderId="26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10" borderId="19" xfId="0" applyFill="1" applyBorder="1" applyAlignment="1">
      <alignment vertical="top"/>
    </xf>
    <xf numFmtId="0" fontId="4" fillId="0" borderId="0" xfId="0" applyFont="1" applyAlignment="1">
      <alignment horizontal="center" vertical="top"/>
    </xf>
    <xf numFmtId="0" fontId="2" fillId="0" borderId="0" xfId="1" applyAlignment="1">
      <alignment vertical="top"/>
    </xf>
    <xf numFmtId="0" fontId="0" fillId="0" borderId="0" xfId="0" applyFill="1" applyAlignment="1">
      <alignment vertical="top"/>
    </xf>
    <xf numFmtId="0" fontId="4" fillId="8" borderId="0" xfId="0" applyFont="1" applyFill="1" applyAlignment="1">
      <alignment horizontal="center" vertical="top"/>
    </xf>
    <xf numFmtId="0" fontId="1" fillId="0" borderId="3" xfId="0" applyFont="1" applyBorder="1" applyAlignment="1">
      <alignment vertical="top"/>
    </xf>
    <xf numFmtId="0" fontId="2" fillId="0" borderId="3" xfId="1" applyFill="1" applyBorder="1" applyAlignment="1">
      <alignment vertical="top"/>
    </xf>
    <xf numFmtId="0" fontId="2" fillId="0" borderId="3" xfId="1" applyBorder="1" applyAlignment="1">
      <alignment vertical="top"/>
    </xf>
    <xf numFmtId="0" fontId="1" fillId="7" borderId="3" xfId="0" applyFon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4" xfId="1" applyFill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3" xfId="1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2" fillId="0" borderId="2" xfId="1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4" fillId="7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0" fillId="7" borderId="25" xfId="0" applyFill="1" applyBorder="1" applyAlignment="1">
      <alignment vertical="top"/>
    </xf>
    <xf numFmtId="0" fontId="0" fillId="4" borderId="25" xfId="0" applyFill="1" applyBorder="1" applyAlignment="1">
      <alignment vertical="top"/>
    </xf>
    <xf numFmtId="0" fontId="0" fillId="8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8" borderId="25" xfId="0" applyFill="1" applyBorder="1" applyAlignment="1">
      <alignment horizontal="center" vertical="top"/>
    </xf>
    <xf numFmtId="0" fontId="0" fillId="3" borderId="25" xfId="0" applyFill="1" applyBorder="1" applyAlignment="1">
      <alignment horizontal="center" vertical="top"/>
    </xf>
    <xf numFmtId="0" fontId="2" fillId="3" borderId="3" xfId="1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7" borderId="0" xfId="0" applyFill="1" applyAlignment="1">
      <alignment vertical="top"/>
    </xf>
    <xf numFmtId="0" fontId="4" fillId="20" borderId="0" xfId="0" applyFont="1" applyFill="1" applyAlignment="1">
      <alignment horizontal="center" vertical="top"/>
    </xf>
    <xf numFmtId="0" fontId="1" fillId="10" borderId="5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10" fontId="8" fillId="6" borderId="10" xfId="0" applyNumberFormat="1" applyFont="1" applyFill="1" applyBorder="1" applyAlignment="1">
      <alignment vertical="top"/>
    </xf>
    <xf numFmtId="10" fontId="8" fillId="6" borderId="11" xfId="0" applyNumberFormat="1" applyFont="1" applyFill="1" applyBorder="1" applyAlignment="1">
      <alignment vertical="top"/>
    </xf>
    <xf numFmtId="10" fontId="8" fillId="6" borderId="13" xfId="0" applyNumberFormat="1" applyFont="1" applyFill="1" applyBorder="1" applyAlignment="1">
      <alignment vertical="top"/>
    </xf>
    <xf numFmtId="49" fontId="8" fillId="11" borderId="3" xfId="0" applyNumberFormat="1" applyFont="1" applyFill="1" applyBorder="1" applyAlignment="1">
      <alignment horizontal="center" vertical="top"/>
    </xf>
    <xf numFmtId="0" fontId="8" fillId="6" borderId="3" xfId="0" applyFont="1" applyFill="1" applyBorder="1" applyAlignment="1">
      <alignment vertical="top"/>
    </xf>
    <xf numFmtId="1" fontId="0" fillId="3" borderId="27" xfId="0" applyNumberForma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164" fontId="0" fillId="3" borderId="27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vertical="center"/>
    </xf>
    <xf numFmtId="1" fontId="0" fillId="0" borderId="28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64" fontId="0" fillId="0" borderId="28" xfId="0" applyNumberFormat="1" applyFill="1" applyBorder="1" applyAlignment="1">
      <alignment horizontal="center" vertical="center"/>
    </xf>
    <xf numFmtId="0" fontId="0" fillId="9" borderId="14" xfId="0" applyFill="1" applyBorder="1" applyAlignment="1">
      <alignment vertical="top"/>
    </xf>
    <xf numFmtId="1" fontId="0" fillId="17" borderId="14" xfId="0" applyNumberFormat="1" applyFill="1" applyBorder="1" applyAlignment="1">
      <alignment horizontal="center" vertical="top"/>
    </xf>
    <xf numFmtId="0" fontId="0" fillId="9" borderId="14" xfId="0" applyFill="1" applyBorder="1" applyAlignment="1">
      <alignment horizontal="center" vertical="top"/>
    </xf>
    <xf numFmtId="164" fontId="0" fillId="9" borderId="14" xfId="0" applyNumberFormat="1" applyFill="1" applyBorder="1" applyAlignment="1">
      <alignment horizontal="center" vertical="top"/>
    </xf>
    <xf numFmtId="1" fontId="0" fillId="6" borderId="30" xfId="0" applyNumberForma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164" fontId="0" fillId="6" borderId="30" xfId="0" applyNumberFormat="1" applyFill="1" applyBorder="1" applyAlignment="1">
      <alignment horizontal="center" vertical="center"/>
    </xf>
    <xf numFmtId="164" fontId="0" fillId="6" borderId="31" xfId="0" applyNumberFormat="1" applyFill="1" applyBorder="1" applyAlignment="1">
      <alignment horizontal="center" vertical="center"/>
    </xf>
    <xf numFmtId="1" fontId="0" fillId="10" borderId="15" xfId="0" applyNumberFormat="1" applyFill="1" applyBorder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19" xfId="0" applyFill="1" applyBorder="1" applyAlignment="1">
      <alignment horizontal="center" vertical="top"/>
    </xf>
    <xf numFmtId="0" fontId="0" fillId="10" borderId="22" xfId="0" applyFill="1" applyBorder="1" applyAlignment="1">
      <alignment horizontal="center" vertical="top"/>
    </xf>
    <xf numFmtId="0" fontId="5" fillId="3" borderId="1" xfId="0" applyFont="1" applyFill="1" applyBorder="1" applyAlignment="1">
      <alignment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vertical="top"/>
    </xf>
    <xf numFmtId="0" fontId="0" fillId="11" borderId="24" xfId="0" applyFill="1" applyBorder="1" applyAlignment="1">
      <alignment vertical="top"/>
    </xf>
    <xf numFmtId="0" fontId="8" fillId="6" borderId="2" xfId="0" applyFont="1" applyFill="1" applyBorder="1" applyAlignment="1">
      <alignment vertical="top" wrapText="1"/>
    </xf>
    <xf numFmtId="49" fontId="8" fillId="11" borderId="2" xfId="0" applyNumberFormat="1" applyFont="1" applyFill="1" applyBorder="1" applyAlignment="1">
      <alignment horizontal="center" vertical="top"/>
    </xf>
    <xf numFmtId="0" fontId="8" fillId="6" borderId="4" xfId="0" applyFont="1" applyFill="1" applyBorder="1" applyAlignment="1">
      <alignment vertical="top"/>
    </xf>
    <xf numFmtId="49" fontId="8" fillId="11" borderId="4" xfId="0" applyNumberFormat="1" applyFont="1" applyFill="1" applyBorder="1" applyAlignment="1">
      <alignment horizontal="center" vertical="top"/>
    </xf>
    <xf numFmtId="0" fontId="0" fillId="11" borderId="4" xfId="0" applyFill="1" applyBorder="1" applyAlignment="1">
      <alignment vertical="top"/>
    </xf>
    <xf numFmtId="0" fontId="0" fillId="0" borderId="25" xfId="0" applyBorder="1" applyAlignment="1">
      <alignment vertical="center" wrapText="1"/>
    </xf>
    <xf numFmtId="167" fontId="0" fillId="0" borderId="25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4" xfId="0" applyNumberFormat="1" applyFont="1" applyBorder="1" applyAlignment="1">
      <alignment vertical="center"/>
    </xf>
    <xf numFmtId="49" fontId="0" fillId="0" borderId="25" xfId="0" applyNumberFormat="1" applyFont="1" applyBorder="1" applyAlignment="1">
      <alignment vertical="center"/>
    </xf>
    <xf numFmtId="3" fontId="0" fillId="0" borderId="14" xfId="0" applyNumberFormat="1" applyBorder="1" applyAlignment="1">
      <alignment vertical="center"/>
    </xf>
    <xf numFmtId="49" fontId="0" fillId="19" borderId="2" xfId="0" applyNumberFormat="1" applyFill="1" applyBorder="1" applyAlignment="1">
      <alignment vertical="center"/>
    </xf>
    <xf numFmtId="49" fontId="0" fillId="19" borderId="25" xfId="0" applyNumberFormat="1" applyFill="1" applyBorder="1" applyAlignment="1">
      <alignment vertical="center"/>
    </xf>
    <xf numFmtId="2" fontId="0" fillId="0" borderId="3" xfId="0" applyNumberFormat="1" applyFont="1" applyBorder="1" applyAlignment="1">
      <alignment vertical="center"/>
    </xf>
    <xf numFmtId="0" fontId="0" fillId="0" borderId="3" xfId="0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3" xfId="0" applyNumberFormat="1" applyBorder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49" fontId="7" fillId="0" borderId="3" xfId="0" applyNumberFormat="1" applyFont="1" applyBorder="1" applyAlignment="1">
      <alignment horizontal="left" vertical="top"/>
    </xf>
    <xf numFmtId="49" fontId="7" fillId="0" borderId="3" xfId="1" applyNumberFormat="1" applyFont="1" applyFill="1" applyBorder="1" applyAlignment="1">
      <alignment horizontal="left" vertical="top"/>
    </xf>
    <xf numFmtId="49" fontId="7" fillId="0" borderId="3" xfId="0" applyNumberFormat="1" applyFont="1" applyFill="1" applyBorder="1" applyAlignment="1">
      <alignment horizontal="left" vertical="top"/>
    </xf>
    <xf numFmtId="49" fontId="7" fillId="0" borderId="4" xfId="0" applyNumberFormat="1" applyFont="1" applyFill="1" applyBorder="1" applyAlignment="1">
      <alignment horizontal="left" vertical="top"/>
    </xf>
    <xf numFmtId="0" fontId="0" fillId="0" borderId="0" xfId="0" applyAlignment="1">
      <alignment horizontal="left" indent="1"/>
    </xf>
    <xf numFmtId="0" fontId="0" fillId="0" borderId="2" xfId="0" applyBorder="1"/>
    <xf numFmtId="0" fontId="0" fillId="0" borderId="4" xfId="0" applyFill="1" applyBorder="1"/>
    <xf numFmtId="0" fontId="0" fillId="0" borderId="4" xfId="0" applyBorder="1"/>
    <xf numFmtId="0" fontId="0" fillId="10" borderId="19" xfId="0" applyFill="1" applyBorder="1" applyAlignment="1">
      <alignment horizontal="left" vertical="center" wrapText="1"/>
    </xf>
    <xf numFmtId="44" fontId="1" fillId="0" borderId="6" xfId="3" applyFont="1" applyBorder="1" applyAlignment="1">
      <alignment horizontal="center" vertical="center" wrapText="1"/>
    </xf>
    <xf numFmtId="44" fontId="0" fillId="0" borderId="7" xfId="3" applyFont="1" applyBorder="1" applyAlignment="1">
      <alignment horizontal="center" vertical="center" wrapText="1"/>
    </xf>
    <xf numFmtId="0" fontId="0" fillId="10" borderId="16" xfId="0" applyFill="1" applyBorder="1" applyAlignment="1">
      <alignment horizontal="left" vertical="center" wrapText="1"/>
    </xf>
    <xf numFmtId="0" fontId="1" fillId="7" borderId="2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44" fontId="1" fillId="0" borderId="32" xfId="3" applyFont="1" applyBorder="1" applyAlignment="1">
      <alignment horizontal="center" vertical="center" wrapText="1"/>
    </xf>
    <xf numFmtId="0" fontId="0" fillId="11" borderId="25" xfId="0" applyFill="1" applyBorder="1" applyAlignment="1">
      <alignment horizontal="center"/>
    </xf>
    <xf numFmtId="44" fontId="0" fillId="0" borderId="29" xfId="3" applyFont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left" vertical="center" wrapText="1"/>
    </xf>
    <xf numFmtId="0" fontId="0" fillId="11" borderId="0" xfId="0" applyFont="1" applyFill="1" applyBorder="1" applyAlignment="1">
      <alignment horizontal="centerContinuous" vertical="center" wrapText="1"/>
    </xf>
    <xf numFmtId="0" fontId="0" fillId="11" borderId="32" xfId="0" applyFont="1" applyFill="1" applyBorder="1" applyAlignment="1">
      <alignment horizontal="left" vertical="center" wrapText="1"/>
    </xf>
    <xf numFmtId="0" fontId="0" fillId="11" borderId="28" xfId="0" applyFill="1" applyBorder="1" applyAlignment="1">
      <alignment horizontal="left" vertical="center" wrapText="1"/>
    </xf>
    <xf numFmtId="0" fontId="0" fillId="11" borderId="28" xfId="0" applyFont="1" applyFill="1" applyBorder="1" applyAlignment="1">
      <alignment horizontal="left" vertical="center" wrapText="1"/>
    </xf>
    <xf numFmtId="44" fontId="0" fillId="11" borderId="26" xfId="3" applyFont="1" applyFill="1" applyBorder="1" applyAlignment="1">
      <alignment horizontal="left" vertical="center" wrapText="1"/>
    </xf>
    <xf numFmtId="0" fontId="0" fillId="11" borderId="16" xfId="0" applyFont="1" applyFill="1" applyBorder="1" applyAlignment="1">
      <alignment horizontal="left" vertical="center" wrapText="1"/>
    </xf>
    <xf numFmtId="44" fontId="0" fillId="11" borderId="22" xfId="3" applyFont="1" applyFill="1" applyBorder="1" applyAlignment="1">
      <alignment horizontal="left" vertical="center" wrapText="1"/>
    </xf>
    <xf numFmtId="0" fontId="0" fillId="11" borderId="16" xfId="0" applyFont="1" applyFill="1" applyBorder="1" applyAlignment="1">
      <alignment horizontal="centerContinuous" vertical="center" wrapText="1"/>
    </xf>
    <xf numFmtId="44" fontId="0" fillId="11" borderId="22" xfId="3" applyFont="1" applyFill="1" applyBorder="1" applyAlignment="1">
      <alignment horizontal="center" vertical="center" wrapText="1"/>
    </xf>
    <xf numFmtId="0" fontId="0" fillId="11" borderId="33" xfId="0" applyFont="1" applyFill="1" applyBorder="1" applyAlignment="1">
      <alignment horizontal="centerContinuous" vertical="center" wrapText="1"/>
    </xf>
    <xf numFmtId="0" fontId="0" fillId="11" borderId="19" xfId="0" applyFont="1" applyFill="1" applyBorder="1" applyAlignment="1">
      <alignment horizontal="centerContinuous" vertical="center" wrapText="1"/>
    </xf>
    <xf numFmtId="44" fontId="0" fillId="11" borderId="17" xfId="3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left"/>
    </xf>
    <xf numFmtId="3" fontId="0" fillId="0" borderId="0" xfId="0" applyNumberFormat="1" applyAlignment="1">
      <alignment horizontal="center" vertical="center" wrapText="1"/>
    </xf>
    <xf numFmtId="3" fontId="1" fillId="0" borderId="6" xfId="4" applyNumberFormat="1" applyFont="1" applyBorder="1" applyAlignment="1">
      <alignment horizontal="center" vertical="center" wrapText="1"/>
    </xf>
    <xf numFmtId="3" fontId="0" fillId="11" borderId="3" xfId="4" applyNumberFormat="1" applyFont="1" applyFill="1" applyBorder="1" applyAlignment="1">
      <alignment horizontal="center"/>
    </xf>
    <xf numFmtId="3" fontId="0" fillId="10" borderId="15" xfId="0" applyNumberFormat="1" applyFill="1" applyBorder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42" fontId="0" fillId="6" borderId="25" xfId="0" applyNumberFormat="1" applyFill="1" applyBorder="1" applyAlignment="1">
      <alignment horizontal="left"/>
    </xf>
    <xf numFmtId="3" fontId="0" fillId="11" borderId="25" xfId="4" applyNumberFormat="1" applyFont="1" applyFill="1" applyBorder="1" applyAlignment="1">
      <alignment horizontal="center"/>
    </xf>
    <xf numFmtId="0" fontId="0" fillId="11" borderId="33" xfId="0" applyFont="1" applyFill="1" applyBorder="1" applyAlignment="1">
      <alignment horizontal="left" vertical="center" wrapText="1"/>
    </xf>
    <xf numFmtId="0" fontId="0" fillId="11" borderId="19" xfId="0" applyFont="1" applyFill="1" applyBorder="1" applyAlignment="1">
      <alignment horizontal="left" vertical="center" wrapText="1"/>
    </xf>
    <xf numFmtId="44" fontId="0" fillId="11" borderId="17" xfId="3" applyFont="1" applyFill="1" applyBorder="1" applyAlignment="1">
      <alignment horizontal="left" vertical="center" wrapText="1"/>
    </xf>
    <xf numFmtId="42" fontId="0" fillId="7" borderId="3" xfId="0" applyNumberFormat="1" applyFill="1" applyBorder="1" applyAlignment="1">
      <alignment horizontal="left" vertical="center" wrapText="1"/>
    </xf>
    <xf numFmtId="44" fontId="0" fillId="0" borderId="3" xfId="3" applyFont="1" applyBorder="1" applyAlignment="1">
      <alignment horizontal="center" vertical="center" wrapText="1"/>
    </xf>
    <xf numFmtId="42" fontId="0" fillId="7" borderId="3" xfId="0" applyNumberFormat="1" applyFill="1" applyBorder="1" applyAlignment="1">
      <alignment horizontal="left"/>
    </xf>
    <xf numFmtId="0" fontId="0" fillId="7" borderId="3" xfId="0" applyFont="1" applyFill="1" applyBorder="1" applyAlignment="1">
      <alignment horizontal="center" vertical="center" wrapText="1"/>
    </xf>
    <xf numFmtId="37" fontId="0" fillId="7" borderId="3" xfId="2" applyNumberFormat="1" applyFont="1" applyFill="1" applyBorder="1" applyAlignment="1">
      <alignment horizontal="center" vertical="center" wrapText="1"/>
    </xf>
    <xf numFmtId="0" fontId="0" fillId="6" borderId="30" xfId="0" applyFill="1" applyBorder="1" applyAlignment="1">
      <alignment vertical="center"/>
    </xf>
    <xf numFmtId="0" fontId="0" fillId="8" borderId="23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11" borderId="20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5" fillId="3" borderId="1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2" xfId="0" applyFill="1" applyBorder="1" applyAlignment="1">
      <alignment vertical="center"/>
    </xf>
    <xf numFmtId="0" fontId="0" fillId="0" borderId="28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10" fillId="10" borderId="32" xfId="0" applyFont="1" applyFill="1" applyBorder="1" applyAlignment="1">
      <alignment horizontal="center" vertical="center" wrapText="1"/>
    </xf>
    <xf numFmtId="0" fontId="10" fillId="10" borderId="0" xfId="0" applyFont="1" applyFill="1" applyBorder="1" applyAlignment="1">
      <alignment horizontal="center" vertical="top"/>
    </xf>
    <xf numFmtId="0" fontId="10" fillId="10" borderId="0" xfId="0" applyFont="1" applyFill="1" applyAlignment="1">
      <alignment horizontal="center" vertical="top"/>
    </xf>
    <xf numFmtId="0" fontId="10" fillId="10" borderId="19" xfId="0" applyFont="1" applyFill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28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5" fillId="3" borderId="1" xfId="0" applyFont="1" applyFill="1" applyBorder="1" applyAlignment="1">
      <alignment vertical="center"/>
    </xf>
    <xf numFmtId="0" fontId="0" fillId="9" borderId="3" xfId="0" applyFill="1" applyBorder="1" applyAlignment="1">
      <alignment vertical="top" wrapText="1"/>
    </xf>
    <xf numFmtId="0" fontId="0" fillId="0" borderId="0" xfId="0" applyFill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Font="1" applyFill="1" applyBorder="1" applyAlignment="1">
      <alignment vertical="top"/>
    </xf>
    <xf numFmtId="0" fontId="0" fillId="0" borderId="8" xfId="0" applyFont="1" applyFill="1" applyBorder="1" applyAlignment="1">
      <alignment vertical="top"/>
    </xf>
    <xf numFmtId="168" fontId="7" fillId="0" borderId="3" xfId="0" applyNumberFormat="1" applyFont="1" applyBorder="1" applyAlignment="1">
      <alignment horizontal="center" vertical="top"/>
    </xf>
    <xf numFmtId="168" fontId="7" fillId="0" borderId="3" xfId="1" applyNumberFormat="1" applyFont="1" applyBorder="1" applyAlignment="1">
      <alignment horizontal="center" vertical="top"/>
    </xf>
    <xf numFmtId="168" fontId="7" fillId="0" borderId="4" xfId="1" applyNumberFormat="1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left" vertical="top" shrinkToFit="1"/>
    </xf>
    <xf numFmtId="49" fontId="7" fillId="0" borderId="3" xfId="1" applyNumberFormat="1" applyFont="1" applyFill="1" applyBorder="1" applyAlignment="1">
      <alignment horizontal="left" vertical="top" shrinkToFit="1"/>
    </xf>
    <xf numFmtId="49" fontId="7" fillId="0" borderId="3" xfId="0" applyNumberFormat="1" applyFont="1" applyFill="1" applyBorder="1" applyAlignment="1">
      <alignment horizontal="left" vertical="top" shrinkToFit="1"/>
    </xf>
    <xf numFmtId="49" fontId="7" fillId="0" borderId="4" xfId="0" applyNumberFormat="1" applyFont="1" applyFill="1" applyBorder="1" applyAlignment="1">
      <alignment horizontal="left" vertical="top" shrinkToFit="1"/>
    </xf>
    <xf numFmtId="1" fontId="7" fillId="0" borderId="3" xfId="1" applyNumberFormat="1" applyFont="1" applyFill="1" applyBorder="1" applyAlignment="1">
      <alignment horizontal="center" vertical="top"/>
    </xf>
    <xf numFmtId="1" fontId="7" fillId="0" borderId="3" xfId="0" applyNumberFormat="1" applyFont="1" applyFill="1" applyBorder="1" applyAlignment="1">
      <alignment horizontal="center" vertical="top"/>
    </xf>
    <xf numFmtId="1" fontId="7" fillId="0" borderId="4" xfId="0" applyNumberFormat="1" applyFont="1" applyFill="1" applyBorder="1" applyAlignment="1">
      <alignment horizontal="center" vertical="top"/>
    </xf>
    <xf numFmtId="0" fontId="1" fillId="0" borderId="18" xfId="0" applyFont="1" applyBorder="1" applyAlignment="1">
      <alignment horizontal="center" vertical="center"/>
    </xf>
    <xf numFmtId="1" fontId="7" fillId="0" borderId="25" xfId="1" applyNumberFormat="1" applyFont="1" applyFill="1" applyBorder="1" applyAlignment="1">
      <alignment horizontal="center" vertical="top"/>
    </xf>
    <xf numFmtId="1" fontId="7" fillId="21" borderId="16" xfId="0" applyNumberFormat="1" applyFont="1" applyFill="1" applyBorder="1" applyAlignment="1">
      <alignment horizontal="center" vertical="top"/>
    </xf>
    <xf numFmtId="1" fontId="7" fillId="21" borderId="22" xfId="0" applyNumberFormat="1" applyFont="1" applyFill="1" applyBorder="1" applyAlignment="1">
      <alignment horizontal="center" vertical="top"/>
    </xf>
    <xf numFmtId="1" fontId="7" fillId="21" borderId="33" xfId="0" applyNumberFormat="1" applyFont="1" applyFill="1" applyBorder="1" applyAlignment="1">
      <alignment horizontal="center" vertical="top"/>
    </xf>
    <xf numFmtId="1" fontId="7" fillId="21" borderId="17" xfId="0" applyNumberFormat="1" applyFont="1" applyFill="1" applyBorder="1" applyAlignment="1">
      <alignment horizontal="center" vertical="top"/>
    </xf>
    <xf numFmtId="1" fontId="7" fillId="21" borderId="21" xfId="0" applyNumberFormat="1" applyFont="1" applyFill="1" applyBorder="1" applyAlignment="1">
      <alignment horizontal="center" vertical="top"/>
    </xf>
    <xf numFmtId="1" fontId="7" fillId="21" borderId="34" xfId="0" applyNumberFormat="1" applyFont="1" applyFill="1" applyBorder="1" applyAlignment="1">
      <alignment horizontal="center" vertical="top"/>
    </xf>
    <xf numFmtId="169" fontId="7" fillId="21" borderId="22" xfId="0" applyNumberFormat="1" applyFont="1" applyFill="1" applyBorder="1" applyAlignment="1">
      <alignment horizontal="center" vertical="top"/>
    </xf>
    <xf numFmtId="169" fontId="7" fillId="21" borderId="17" xfId="0" applyNumberFormat="1" applyFont="1" applyFill="1" applyBorder="1" applyAlignment="1">
      <alignment horizontal="center" vertical="top"/>
    </xf>
    <xf numFmtId="169" fontId="7" fillId="0" borderId="3" xfId="1" applyNumberFormat="1" applyFont="1" applyFill="1" applyBorder="1" applyAlignment="1">
      <alignment horizontal="center" vertical="top"/>
    </xf>
    <xf numFmtId="169" fontId="7" fillId="0" borderId="3" xfId="0" applyNumberFormat="1" applyFont="1" applyFill="1" applyBorder="1" applyAlignment="1">
      <alignment horizontal="center" vertical="top"/>
    </xf>
    <xf numFmtId="169" fontId="7" fillId="0" borderId="4" xfId="0" applyNumberFormat="1" applyFont="1" applyFill="1" applyBorder="1" applyAlignment="1">
      <alignment horizontal="center" vertical="top"/>
    </xf>
    <xf numFmtId="170" fontId="7" fillId="0" borderId="3" xfId="0" applyNumberFormat="1" applyFont="1" applyBorder="1" applyAlignment="1">
      <alignment horizontal="center" vertical="top"/>
    </xf>
    <xf numFmtId="170" fontId="7" fillId="0" borderId="3" xfId="1" applyNumberFormat="1" applyFont="1" applyFill="1" applyBorder="1" applyAlignment="1">
      <alignment horizontal="center" vertical="top"/>
    </xf>
    <xf numFmtId="170" fontId="7" fillId="0" borderId="3" xfId="0" applyNumberFormat="1" applyFont="1" applyFill="1" applyBorder="1" applyAlignment="1">
      <alignment horizontal="center" vertical="top"/>
    </xf>
    <xf numFmtId="170" fontId="7" fillId="0" borderId="4" xfId="0" applyNumberFormat="1" applyFont="1" applyFill="1" applyBorder="1" applyAlignment="1">
      <alignment horizontal="center" vertical="top"/>
    </xf>
    <xf numFmtId="169" fontId="7" fillId="0" borderId="3" xfId="0" applyNumberFormat="1" applyFont="1" applyBorder="1" applyAlignment="1">
      <alignment horizontal="center" vertical="top"/>
    </xf>
    <xf numFmtId="0" fontId="7" fillId="0" borderId="25" xfId="0" applyFont="1" applyFill="1" applyBorder="1" applyAlignment="1">
      <alignment horizontal="center" vertical="top"/>
    </xf>
    <xf numFmtId="0" fontId="1" fillId="22" borderId="5" xfId="0" applyFont="1" applyFill="1" applyBorder="1" applyAlignment="1">
      <alignment horizontal="center" vertical="center" wrapText="1"/>
    </xf>
    <xf numFmtId="0" fontId="1" fillId="22" borderId="9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/>
    </xf>
    <xf numFmtId="0" fontId="7" fillId="22" borderId="16" xfId="0" applyFont="1" applyFill="1" applyBorder="1" applyAlignment="1">
      <alignment horizontal="center" vertical="top"/>
    </xf>
    <xf numFmtId="0" fontId="7" fillId="22" borderId="22" xfId="0" applyFont="1" applyFill="1" applyBorder="1" applyAlignment="1">
      <alignment horizontal="center" vertical="top"/>
    </xf>
    <xf numFmtId="0" fontId="0" fillId="22" borderId="21" xfId="0" applyFont="1" applyFill="1" applyBorder="1" applyAlignment="1">
      <alignment horizontal="center" vertical="top"/>
    </xf>
    <xf numFmtId="0" fontId="7" fillId="22" borderId="33" xfId="0" applyFont="1" applyFill="1" applyBorder="1" applyAlignment="1">
      <alignment horizontal="center" vertical="top"/>
    </xf>
    <xf numFmtId="0" fontId="7" fillId="22" borderId="17" xfId="0" applyFont="1" applyFill="1" applyBorder="1" applyAlignment="1">
      <alignment horizontal="center" vertical="top"/>
    </xf>
    <xf numFmtId="0" fontId="0" fillId="22" borderId="34" xfId="0" applyFont="1" applyFill="1" applyBorder="1" applyAlignment="1">
      <alignment horizontal="center" vertical="top"/>
    </xf>
    <xf numFmtId="0" fontId="1" fillId="22" borderId="18" xfId="0" applyFont="1" applyFill="1" applyBorder="1" applyAlignment="1">
      <alignment horizontal="center" vertical="center" wrapText="1"/>
    </xf>
    <xf numFmtId="0" fontId="7" fillId="22" borderId="3" xfId="0" applyFont="1" applyFill="1" applyBorder="1" applyAlignment="1">
      <alignment horizontal="right" vertical="top"/>
    </xf>
    <xf numFmtId="0" fontId="7" fillId="22" borderId="3" xfId="0" applyFont="1" applyFill="1" applyBorder="1" applyAlignment="1">
      <alignment horizontal="left" vertical="top"/>
    </xf>
    <xf numFmtId="0" fontId="1" fillId="22" borderId="1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top"/>
    </xf>
    <xf numFmtId="0" fontId="1" fillId="22" borderId="4" xfId="0" applyFont="1" applyFill="1" applyBorder="1" applyAlignment="1">
      <alignment horizontal="center" vertical="top"/>
    </xf>
    <xf numFmtId="0" fontId="1" fillId="22" borderId="1" xfId="0" applyFont="1" applyFill="1" applyBorder="1" applyAlignment="1">
      <alignment vertical="center"/>
    </xf>
    <xf numFmtId="0" fontId="0" fillId="22" borderId="3" xfId="0" applyFill="1" applyBorder="1" applyAlignment="1">
      <alignment vertical="top"/>
    </xf>
    <xf numFmtId="0" fontId="4" fillId="22" borderId="3" xfId="0" applyFont="1" applyFill="1" applyBorder="1" applyAlignment="1">
      <alignment horizontal="center" vertical="top"/>
    </xf>
    <xf numFmtId="0" fontId="2" fillId="22" borderId="3" xfId="1" applyFill="1" applyBorder="1" applyAlignment="1">
      <alignment vertical="top"/>
    </xf>
    <xf numFmtId="0" fontId="0" fillId="22" borderId="3" xfId="0" applyFill="1" applyBorder="1" applyAlignment="1">
      <alignment horizontal="center" vertical="top"/>
    </xf>
    <xf numFmtId="0" fontId="2" fillId="22" borderId="4" xfId="1" applyFill="1" applyBorder="1" applyAlignment="1">
      <alignment vertical="top"/>
    </xf>
    <xf numFmtId="0" fontId="0" fillId="22" borderId="4" xfId="0" applyFill="1" applyBorder="1" applyAlignment="1">
      <alignment horizontal="center" vertical="top"/>
    </xf>
    <xf numFmtId="44" fontId="0" fillId="22" borderId="21" xfId="0" applyNumberFormat="1" applyFill="1" applyBorder="1"/>
    <xf numFmtId="168" fontId="7" fillId="22" borderId="3" xfId="0" applyNumberFormat="1" applyFont="1" applyFill="1" applyBorder="1" applyAlignment="1">
      <alignment horizontal="center" vertical="top"/>
    </xf>
    <xf numFmtId="168" fontId="7" fillId="22" borderId="3" xfId="1" applyNumberFormat="1" applyFont="1" applyFill="1" applyBorder="1" applyAlignment="1">
      <alignment horizontal="center" vertical="top"/>
    </xf>
    <xf numFmtId="44" fontId="0" fillId="22" borderId="3" xfId="0" applyNumberFormat="1" applyFill="1" applyBorder="1"/>
    <xf numFmtId="44" fontId="0" fillId="22" borderId="14" xfId="0" applyNumberFormat="1" applyFill="1" applyBorder="1"/>
    <xf numFmtId="44" fontId="0" fillId="22" borderId="34" xfId="0" applyNumberFormat="1" applyFill="1" applyBorder="1"/>
    <xf numFmtId="0" fontId="0" fillId="0" borderId="25" xfId="0" applyFont="1" applyFill="1" applyBorder="1" applyAlignment="1">
      <alignment vertical="top"/>
    </xf>
    <xf numFmtId="0" fontId="7" fillId="0" borderId="25" xfId="0" applyFont="1" applyBorder="1" applyAlignment="1">
      <alignment horizontal="center" vertical="top"/>
    </xf>
    <xf numFmtId="0" fontId="7" fillId="22" borderId="25" xfId="0" applyFont="1" applyFill="1" applyBorder="1" applyAlignment="1">
      <alignment horizontal="right" vertical="top"/>
    </xf>
    <xf numFmtId="0" fontId="7" fillId="22" borderId="25" xfId="0" applyFont="1" applyFill="1" applyBorder="1" applyAlignment="1">
      <alignment horizontal="left" vertical="top"/>
    </xf>
    <xf numFmtId="0" fontId="1" fillId="0" borderId="25" xfId="0" applyFont="1" applyBorder="1" applyAlignment="1">
      <alignment vertical="top"/>
    </xf>
    <xf numFmtId="0" fontId="0" fillId="0" borderId="25" xfId="0" applyFont="1" applyFill="1" applyBorder="1" applyAlignment="1">
      <alignment horizontal="center" vertical="top"/>
    </xf>
    <xf numFmtId="0" fontId="1" fillId="0" borderId="25" xfId="0" applyFont="1" applyFill="1" applyBorder="1" applyAlignment="1">
      <alignment horizontal="center" vertical="top"/>
    </xf>
    <xf numFmtId="0" fontId="1" fillId="22" borderId="25" xfId="0" applyFont="1" applyFill="1" applyBorder="1" applyAlignment="1">
      <alignment horizontal="center" vertical="top"/>
    </xf>
    <xf numFmtId="49" fontId="7" fillId="0" borderId="25" xfId="0" applyNumberFormat="1" applyFont="1" applyBorder="1" applyAlignment="1">
      <alignment horizontal="left" vertical="top"/>
    </xf>
    <xf numFmtId="0" fontId="0" fillId="22" borderId="25" xfId="0" applyFill="1" applyBorder="1" applyAlignment="1">
      <alignment vertical="top"/>
    </xf>
    <xf numFmtId="0" fontId="4" fillId="22" borderId="25" xfId="0" applyFont="1" applyFill="1" applyBorder="1" applyAlignment="1">
      <alignment horizontal="center" vertical="top"/>
    </xf>
    <xf numFmtId="49" fontId="7" fillId="0" borderId="25" xfId="0" applyNumberFormat="1" applyFont="1" applyBorder="1" applyAlignment="1">
      <alignment horizontal="left" vertical="top" shrinkToFit="1"/>
    </xf>
    <xf numFmtId="169" fontId="7" fillId="0" borderId="25" xfId="0" applyNumberFormat="1" applyFont="1" applyBorder="1" applyAlignment="1">
      <alignment horizontal="center" vertical="top"/>
    </xf>
    <xf numFmtId="169" fontId="7" fillId="0" borderId="25" xfId="0" applyNumberFormat="1" applyFont="1" applyFill="1" applyBorder="1" applyAlignment="1">
      <alignment horizontal="center" vertical="top"/>
    </xf>
    <xf numFmtId="170" fontId="7" fillId="0" borderId="25" xfId="0" applyNumberFormat="1" applyFont="1" applyBorder="1" applyAlignment="1">
      <alignment horizontal="center" vertical="top"/>
    </xf>
    <xf numFmtId="49" fontId="0" fillId="0" borderId="3" xfId="0" applyNumberFormat="1" applyFont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26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top"/>
    </xf>
    <xf numFmtId="0" fontId="0" fillId="0" borderId="25" xfId="0" applyBorder="1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11" borderId="0" xfId="0" applyFill="1" applyAlignment="1">
      <alignment horizontal="left" vertical="top" wrapText="1"/>
    </xf>
    <xf numFmtId="49" fontId="0" fillId="11" borderId="0" xfId="0" applyNumberFormat="1" applyFill="1" applyAlignment="1">
      <alignment horizontal="left" vertical="top" wrapText="1"/>
    </xf>
    <xf numFmtId="0" fontId="0" fillId="11" borderId="0" xfId="0" applyFill="1" applyAlignment="1">
      <alignment horizontal="left" vertical="top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31">
    <dxf>
      <font>
        <b/>
        <i val="0"/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color theme="0" tint="-0.14996795556505021"/>
      </font>
    </dxf>
    <dxf>
      <font>
        <b/>
        <i val="0"/>
        <color auto="1"/>
      </font>
      <fill>
        <patternFill>
          <bgColor theme="7" tint="0.79998168889431442"/>
        </patternFill>
      </fill>
    </dxf>
    <dxf>
      <font>
        <b/>
        <i val="0"/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Doolittle" id="{A790F276-2257-497E-91AC-20969E74C2AD}" userId="S::sdoolittle@yolocounty.org::3ef83435-718f-4ca8-a67f-b7213622984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8-29T18:09:57.06" personId="{A790F276-2257-497E-91AC-20969E74C2AD}" id="{7677D9D1-594D-456A-9DDE-AD71F7BB0822}">
    <text>This row determines if the column is part of the end-user interface.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sie.Dawlwy@YoloCounty.org" TargetMode="External"/><Relationship Id="rId13" Type="http://schemas.openxmlformats.org/officeDocument/2006/relationships/hyperlink" Target="mailto:Notify@ysaqmd.org" TargetMode="External"/><Relationship Id="rId18" Type="http://schemas.openxmlformats.org/officeDocument/2006/relationships/hyperlink" Target="mailto:Angelina.Espinoza@YoloCounty.org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JD.Trebec@YoloCounty.org" TargetMode="External"/><Relationship Id="rId21" Type="http://schemas.openxmlformats.org/officeDocument/2006/relationships/hyperlink" Target="mailto:Marlin.Nardiello@YoloCounty.org" TargetMode="External"/><Relationship Id="rId7" Type="http://schemas.openxmlformats.org/officeDocument/2006/relationships/hyperlink" Target="mailto:Deborah.Anderson@YoloCounty.org" TargetMode="External"/><Relationship Id="rId12" Type="http://schemas.openxmlformats.org/officeDocument/2006/relationships/hyperlink" Target="mailto:Josue.Pimentel@YoloCounty.org" TargetMode="External"/><Relationship Id="rId17" Type="http://schemas.openxmlformats.org/officeDocument/2006/relationships/hyperlink" Target="mailto:building.division@yolocounty.org" TargetMode="External"/><Relationship Id="rId25" Type="http://schemas.openxmlformats.org/officeDocument/2006/relationships/hyperlink" Target="mailto:Shriti.Jeet@YoloCounty.org" TargetMode="External"/><Relationship Id="rId2" Type="http://schemas.openxmlformats.org/officeDocument/2006/relationships/hyperlink" Target="mailto:Tracy.Gonzalez@YoloCounty.org" TargetMode="External"/><Relationship Id="rId16" Type="http://schemas.openxmlformats.org/officeDocument/2006/relationships/hyperlink" Target="mailto:Jianmin.Huang@YoloCounty.org" TargetMode="External"/><Relationship Id="rId20" Type="http://schemas.openxmlformats.org/officeDocument/2006/relationships/hyperlink" Target="mailto:Chris.Rice@YoloCounty.org" TargetMode="External"/><Relationship Id="rId1" Type="http://schemas.openxmlformats.org/officeDocument/2006/relationships/hyperlink" Target="mailto:Pam.Hedrick@YoloCounty.org" TargetMode="External"/><Relationship Id="rId6" Type="http://schemas.openxmlformats.org/officeDocument/2006/relationships/hyperlink" Target="mailto:Stephanie.Cormier@YoloCounty.org" TargetMode="External"/><Relationship Id="rId11" Type="http://schemas.openxmlformats.org/officeDocument/2006/relationships/hyperlink" Target="mailto:Jair.Bautista@YoloCounty.org" TargetMode="External"/><Relationship Id="rId24" Type="http://schemas.openxmlformats.org/officeDocument/2006/relationships/hyperlink" Target="mailto:Shelby.Milliren@YoloCounty.org" TargetMode="External"/><Relationship Id="rId5" Type="http://schemas.openxmlformats.org/officeDocument/2006/relationships/hyperlink" Target="mailto:Jeff.Anderson@YoloCounty.org" TargetMode="External"/><Relationship Id="rId15" Type="http://schemas.openxmlformats.org/officeDocument/2006/relationships/hyperlink" Target="mailto:Cassandra.Mendoza@YoloCounty.org" TargetMode="External"/><Relationship Id="rId23" Type="http://schemas.openxmlformats.org/officeDocument/2006/relationships/hyperlink" Target="mailto:Maryam.Farhoodi@YoloCounty.org" TargetMode="External"/><Relationship Id="rId10" Type="http://schemas.openxmlformats.org/officeDocument/2006/relationships/hyperlink" Target="mailto:Angelica.Yepez@YoloCounty.org" TargetMode="External"/><Relationship Id="rId19" Type="http://schemas.openxmlformats.org/officeDocument/2006/relationships/hyperlink" Target="mailto:Scott.Doolittle@yolocounty.org" TargetMode="External"/><Relationship Id="rId4" Type="http://schemas.openxmlformats.org/officeDocument/2006/relationships/hyperlink" Target="mailto:Charlie.Tschudin@YoloCounty.org" TargetMode="External"/><Relationship Id="rId9" Type="http://schemas.openxmlformats.org/officeDocument/2006/relationships/hyperlink" Target="mailto:Jeremy.vanhorn@yolocounty.org" TargetMode="External"/><Relationship Id="rId14" Type="http://schemas.openxmlformats.org/officeDocument/2006/relationships/hyperlink" Target="mailto:Dawne.Koranda@YoloCounty.org" TargetMode="External"/><Relationship Id="rId22" Type="http://schemas.openxmlformats.org/officeDocument/2006/relationships/hyperlink" Target="mailto:Josephine.Acevedo@yolocounty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Rice@YoloCounty.org" TargetMode="External"/><Relationship Id="rId13" Type="http://schemas.openxmlformats.org/officeDocument/2006/relationships/hyperlink" Target="mailto:Chris.Rice@YoloCounty.org" TargetMode="External"/><Relationship Id="rId18" Type="http://schemas.openxmlformats.org/officeDocument/2006/relationships/hyperlink" Target="mailto:Angelica.Yepez@YoloCounty.org" TargetMode="External"/><Relationship Id="rId26" Type="http://schemas.openxmlformats.org/officeDocument/2006/relationships/hyperlink" Target="mailto:Angelina.Espinoza@YoloCounty.org" TargetMode="External"/><Relationship Id="rId3" Type="http://schemas.openxmlformats.org/officeDocument/2006/relationships/hyperlink" Target="mailto:Pam.Hedrick@YoloCounty.org" TargetMode="External"/><Relationship Id="rId21" Type="http://schemas.openxmlformats.org/officeDocument/2006/relationships/hyperlink" Target="mailto:Angelica.Yepez@YoloCounty.org" TargetMode="External"/><Relationship Id="rId34" Type="http://schemas.openxmlformats.org/officeDocument/2006/relationships/comments" Target="../comments1.xml"/><Relationship Id="rId7" Type="http://schemas.openxmlformats.org/officeDocument/2006/relationships/hyperlink" Target="mailto:Angelina.Espinoza@YoloCounty.org" TargetMode="External"/><Relationship Id="rId12" Type="http://schemas.openxmlformats.org/officeDocument/2006/relationships/hyperlink" Target="mailto:Chris.Rice@YoloCounty.org" TargetMode="External"/><Relationship Id="rId17" Type="http://schemas.openxmlformats.org/officeDocument/2006/relationships/hyperlink" Target="mailto:Angelina.Espinoza@YoloCounty.org" TargetMode="External"/><Relationship Id="rId25" Type="http://schemas.openxmlformats.org/officeDocument/2006/relationships/hyperlink" Target="mailto:Chris.Rice@YoloCounty.org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mailto:Cassandra.Mendoza@YoloCounty.org" TargetMode="External"/><Relationship Id="rId16" Type="http://schemas.openxmlformats.org/officeDocument/2006/relationships/hyperlink" Target="mailto:Angelina.Espinoza@YoloCounty.org" TargetMode="External"/><Relationship Id="rId20" Type="http://schemas.openxmlformats.org/officeDocument/2006/relationships/hyperlink" Target="mailto:Angelica.Yepez@YoloCounty.org" TargetMode="External"/><Relationship Id="rId29" Type="http://schemas.openxmlformats.org/officeDocument/2006/relationships/hyperlink" Target="mailto:Cassandra.Mendoza@YoloCounty.org" TargetMode="External"/><Relationship Id="rId1" Type="http://schemas.openxmlformats.org/officeDocument/2006/relationships/hyperlink" Target="mailto:Dawne.Koranda@YoloCounty.org" TargetMode="External"/><Relationship Id="rId6" Type="http://schemas.openxmlformats.org/officeDocument/2006/relationships/hyperlink" Target="mailto:Notify@ysaqmd.org" TargetMode="External"/><Relationship Id="rId11" Type="http://schemas.openxmlformats.org/officeDocument/2006/relationships/hyperlink" Target="mailto:Chris.Rice@YoloCounty.org" TargetMode="External"/><Relationship Id="rId24" Type="http://schemas.openxmlformats.org/officeDocument/2006/relationships/hyperlink" Target="mailto:Angelica.Yepez@YoloCounty.org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mailto:Jair.Bautista@YoloCounty.org" TargetMode="External"/><Relationship Id="rId15" Type="http://schemas.openxmlformats.org/officeDocument/2006/relationships/hyperlink" Target="mailto:Angelina.Espinoza@YoloCounty.org" TargetMode="External"/><Relationship Id="rId23" Type="http://schemas.openxmlformats.org/officeDocument/2006/relationships/hyperlink" Target="mailto:Chris.Rice@YoloCounty.org" TargetMode="External"/><Relationship Id="rId28" Type="http://schemas.openxmlformats.org/officeDocument/2006/relationships/hyperlink" Target="mailto:Cassandra.Mendoza@YoloCounty.org" TargetMode="External"/><Relationship Id="rId10" Type="http://schemas.openxmlformats.org/officeDocument/2006/relationships/hyperlink" Target="mailto:Chris.Rice@YoloCounty.org" TargetMode="External"/><Relationship Id="rId19" Type="http://schemas.openxmlformats.org/officeDocument/2006/relationships/hyperlink" Target="mailto:Angelica.Yepez@YoloCounty.org" TargetMode="External"/><Relationship Id="rId31" Type="http://schemas.openxmlformats.org/officeDocument/2006/relationships/hyperlink" Target="mailto:Cassandra.Mendoza@YoloCounty.org" TargetMode="External"/><Relationship Id="rId4" Type="http://schemas.openxmlformats.org/officeDocument/2006/relationships/hyperlink" Target="mailto:Tracy.Gonzalez@YoloCounty.org" TargetMode="External"/><Relationship Id="rId9" Type="http://schemas.openxmlformats.org/officeDocument/2006/relationships/hyperlink" Target="mailto:Chris.Rice@YoloCounty.org" TargetMode="External"/><Relationship Id="rId14" Type="http://schemas.openxmlformats.org/officeDocument/2006/relationships/hyperlink" Target="mailto:Scott.Doolittle@yolocounty.org" TargetMode="External"/><Relationship Id="rId22" Type="http://schemas.openxmlformats.org/officeDocument/2006/relationships/hyperlink" Target="mailto:Angelica.Yepez@YoloCounty.org" TargetMode="External"/><Relationship Id="rId27" Type="http://schemas.openxmlformats.org/officeDocument/2006/relationships/hyperlink" Target="mailto:Cassandra.Mendoza@YoloCounty.org" TargetMode="External"/><Relationship Id="rId30" Type="http://schemas.openxmlformats.org/officeDocument/2006/relationships/hyperlink" Target="mailto:Cassandra.Mendoza@YoloCounty.org" TargetMode="External"/><Relationship Id="rId35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5368-8B18-425D-817A-335BB374FBFB}">
  <dimension ref="A1:B27"/>
  <sheetViews>
    <sheetView showGridLines="0" zoomScaleNormal="150" zoomScaleSheetLayoutView="100" workbookViewId="0">
      <selection activeCell="A8" sqref="A8"/>
    </sheetView>
  </sheetViews>
  <sheetFormatPr defaultRowHeight="15" x14ac:dyDescent="0.25"/>
  <cols>
    <col min="1" max="1" width="43.85546875" customWidth="1"/>
    <col min="2" max="2" width="52" customWidth="1"/>
    <col min="3" max="5" width="19.28515625" customWidth="1"/>
    <col min="6" max="6" width="26.42578125" customWidth="1"/>
  </cols>
  <sheetData>
    <row r="1" spans="1:2" x14ac:dyDescent="0.25">
      <c r="A1" s="1" t="s">
        <v>552</v>
      </c>
    </row>
    <row r="2" spans="1:2" x14ac:dyDescent="0.25">
      <c r="A2" s="279" t="s">
        <v>653</v>
      </c>
      <c r="B2" s="279"/>
    </row>
    <row r="3" spans="1:2" x14ac:dyDescent="0.25">
      <c r="A3" s="427" t="s">
        <v>654</v>
      </c>
      <c r="B3" s="427"/>
    </row>
    <row r="4" spans="1:2" x14ac:dyDescent="0.25">
      <c r="A4" s="427" t="s">
        <v>655</v>
      </c>
      <c r="B4" s="427"/>
    </row>
    <row r="5" spans="1:2" x14ac:dyDescent="0.25">
      <c r="A5" s="68" t="s">
        <v>656</v>
      </c>
      <c r="B5" s="68"/>
    </row>
    <row r="6" spans="1:2" x14ac:dyDescent="0.25">
      <c r="A6" s="68" t="s">
        <v>657</v>
      </c>
      <c r="B6" s="68"/>
    </row>
    <row r="7" spans="1:2" x14ac:dyDescent="0.25">
      <c r="A7" s="68" t="s">
        <v>540</v>
      </c>
      <c r="B7" s="68"/>
    </row>
    <row r="8" spans="1:2" x14ac:dyDescent="0.25">
      <c r="A8" s="68" t="s">
        <v>551</v>
      </c>
      <c r="B8" s="68"/>
    </row>
    <row r="9" spans="1:2" x14ac:dyDescent="0.25">
      <c r="A9" s="72" t="s">
        <v>542</v>
      </c>
      <c r="B9" s="68" t="s">
        <v>246</v>
      </c>
    </row>
    <row r="10" spans="1:2" x14ac:dyDescent="0.25">
      <c r="A10" s="72" t="s">
        <v>543</v>
      </c>
      <c r="B10" s="68"/>
    </row>
    <row r="11" spans="1:2" x14ac:dyDescent="0.25">
      <c r="A11" s="72" t="s">
        <v>544</v>
      </c>
      <c r="B11" s="68" t="s">
        <v>248</v>
      </c>
    </row>
    <row r="12" spans="1:2" x14ac:dyDescent="0.25">
      <c r="A12" s="100" t="s">
        <v>541</v>
      </c>
      <c r="B12" s="68"/>
    </row>
    <row r="13" spans="1:2" x14ac:dyDescent="0.25">
      <c r="A13" s="65" t="s">
        <v>545</v>
      </c>
      <c r="B13" s="68" t="s">
        <v>247</v>
      </c>
    </row>
    <row r="14" spans="1:2" x14ac:dyDescent="0.25">
      <c r="A14" s="65" t="s">
        <v>546</v>
      </c>
      <c r="B14" s="68"/>
    </row>
    <row r="15" spans="1:2" x14ac:dyDescent="0.25">
      <c r="A15" s="65" t="s">
        <v>547</v>
      </c>
      <c r="B15" s="68"/>
    </row>
    <row r="16" spans="1:2" x14ac:dyDescent="0.25">
      <c r="A16" s="65" t="s">
        <v>548</v>
      </c>
      <c r="B16" s="68"/>
    </row>
    <row r="17" spans="1:2" x14ac:dyDescent="0.25">
      <c r="A17" s="65" t="s">
        <v>549</v>
      </c>
      <c r="B17" s="68" t="s">
        <v>249</v>
      </c>
    </row>
    <row r="18" spans="1:2" x14ac:dyDescent="0.25">
      <c r="A18" s="280" t="s">
        <v>550</v>
      </c>
      <c r="B18" s="281"/>
    </row>
    <row r="19" spans="1:2" x14ac:dyDescent="0.25">
      <c r="A19" s="101"/>
    </row>
    <row r="27" spans="1:2" x14ac:dyDescent="0.25">
      <c r="A27" s="27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EE3D-86C7-425D-AE82-05540C2DD1F4}">
  <dimension ref="A1:T41"/>
  <sheetViews>
    <sheetView showGridLines="0" topLeftCell="G1" zoomScale="115" zoomScaleNormal="115" workbookViewId="0">
      <selection activeCell="B40" sqref="B40"/>
    </sheetView>
  </sheetViews>
  <sheetFormatPr defaultColWidth="9.140625" defaultRowHeight="15" x14ac:dyDescent="0.25"/>
  <cols>
    <col min="1" max="1" width="23.42578125" style="7" customWidth="1"/>
    <col min="2" max="2" width="14.28515625" style="7" customWidth="1"/>
    <col min="3" max="3" width="19.5703125" style="7" customWidth="1"/>
    <col min="4" max="4" width="6" style="7" customWidth="1"/>
    <col min="5" max="5" width="19.5703125" style="7" customWidth="1"/>
    <col min="6" max="6" width="10.5703125" style="7" customWidth="1"/>
    <col min="7" max="7" width="37.85546875" style="7" customWidth="1"/>
    <col min="8" max="18" width="12" style="7" customWidth="1"/>
    <col min="19" max="20" width="14.7109375" style="7" customWidth="1"/>
    <col min="21" max="21" width="13.85546875" style="7" customWidth="1"/>
    <col min="22" max="22" width="17.140625" style="7" customWidth="1"/>
    <col min="23" max="23" width="16.140625" style="7" customWidth="1"/>
    <col min="24" max="24" width="17" style="7" customWidth="1"/>
    <col min="25" max="34" width="13.85546875" style="7" customWidth="1"/>
    <col min="35" max="16384" width="9.140625" style="7"/>
  </cols>
  <sheetData>
    <row r="1" spans="1:20" x14ac:dyDescent="0.25">
      <c r="A1" s="173" t="s">
        <v>280</v>
      </c>
      <c r="B1" s="173" t="s">
        <v>658</v>
      </c>
      <c r="C1" s="174" t="s">
        <v>277</v>
      </c>
      <c r="D1" s="174" t="s">
        <v>324</v>
      </c>
      <c r="E1" s="174" t="s">
        <v>278</v>
      </c>
      <c r="F1" s="174" t="s">
        <v>279</v>
      </c>
      <c r="G1" s="153" t="s">
        <v>326</v>
      </c>
      <c r="H1" s="156" t="s">
        <v>327</v>
      </c>
      <c r="I1" s="156" t="s">
        <v>281</v>
      </c>
      <c r="J1" s="156" t="s">
        <v>282</v>
      </c>
      <c r="K1" s="156" t="s">
        <v>86</v>
      </c>
      <c r="L1" s="156" t="s">
        <v>219</v>
      </c>
      <c r="M1" s="175" t="s">
        <v>108</v>
      </c>
      <c r="N1" s="175" t="s">
        <v>104</v>
      </c>
      <c r="O1" s="175" t="s">
        <v>253</v>
      </c>
      <c r="P1" s="175" t="s">
        <v>103</v>
      </c>
      <c r="Q1" s="175" t="s">
        <v>107</v>
      </c>
      <c r="R1" s="175" t="s">
        <v>255</v>
      </c>
      <c r="S1" s="155"/>
      <c r="T1" s="155"/>
    </row>
    <row r="2" spans="1:20" x14ac:dyDescent="0.25">
      <c r="A2" s="50" t="s">
        <v>344</v>
      </c>
      <c r="B2" s="50"/>
      <c r="C2" s="170" t="s">
        <v>315</v>
      </c>
      <c r="D2" s="170"/>
      <c r="E2" s="170" t="s">
        <v>345</v>
      </c>
      <c r="F2" s="170" t="s">
        <v>313</v>
      </c>
      <c r="G2" s="168" t="s">
        <v>269</v>
      </c>
      <c r="H2" s="178"/>
      <c r="I2" s="178"/>
      <c r="J2" s="178"/>
      <c r="K2" s="178"/>
      <c r="L2" s="178">
        <v>1</v>
      </c>
      <c r="M2" s="179"/>
      <c r="N2" s="179"/>
      <c r="O2" s="179"/>
      <c r="P2" s="179"/>
      <c r="Q2" s="179"/>
      <c r="R2" s="179"/>
    </row>
    <row r="3" spans="1:20" x14ac:dyDescent="0.25">
      <c r="A3" s="176" t="s">
        <v>316</v>
      </c>
      <c r="B3" s="176"/>
      <c r="C3" s="177" t="s">
        <v>336</v>
      </c>
      <c r="D3" s="177"/>
      <c r="E3" s="177" t="s">
        <v>337</v>
      </c>
      <c r="F3" s="177" t="str">
        <f t="shared" ref="F3:F27" si="0">CONCATENATE(LEFT(C3,1),D3,LEFT(E3,1))</f>
        <v>JA</v>
      </c>
      <c r="G3" s="6" t="s">
        <v>338</v>
      </c>
      <c r="H3" s="180">
        <v>1</v>
      </c>
      <c r="I3" s="180"/>
      <c r="J3" s="180"/>
      <c r="K3" s="180"/>
      <c r="L3" s="180"/>
      <c r="M3" s="181"/>
      <c r="N3" s="181"/>
      <c r="O3" s="181"/>
      <c r="P3" s="181"/>
      <c r="Q3" s="181"/>
      <c r="R3" s="181"/>
    </row>
    <row r="4" spans="1:20" x14ac:dyDescent="0.25">
      <c r="A4" s="53" t="s">
        <v>108</v>
      </c>
      <c r="B4" s="53"/>
      <c r="C4" s="171" t="s">
        <v>284</v>
      </c>
      <c r="D4" s="171"/>
      <c r="E4" s="171" t="s">
        <v>300</v>
      </c>
      <c r="F4" s="171" t="str">
        <f t="shared" si="0"/>
        <v>AE</v>
      </c>
      <c r="G4" s="158" t="s">
        <v>190</v>
      </c>
      <c r="H4" s="115"/>
      <c r="I4" s="115">
        <v>1</v>
      </c>
      <c r="J4" s="115">
        <v>1</v>
      </c>
      <c r="K4" s="115">
        <v>1</v>
      </c>
      <c r="L4" s="115">
        <v>1</v>
      </c>
      <c r="M4" s="124">
        <v>1</v>
      </c>
      <c r="N4" s="124"/>
      <c r="O4" s="124"/>
      <c r="P4" s="124"/>
      <c r="Q4" s="124"/>
      <c r="R4" s="124"/>
    </row>
    <row r="5" spans="1:20" x14ac:dyDescent="0.25">
      <c r="A5" s="53" t="s">
        <v>108</v>
      </c>
      <c r="B5" s="53"/>
      <c r="C5" s="171" t="s">
        <v>283</v>
      </c>
      <c r="D5" s="171"/>
      <c r="E5" s="171" t="s">
        <v>299</v>
      </c>
      <c r="F5" s="171" t="str">
        <f t="shared" si="0"/>
        <v>AY</v>
      </c>
      <c r="G5" s="158" t="s">
        <v>188</v>
      </c>
      <c r="H5" s="115"/>
      <c r="I5" s="115">
        <v>1</v>
      </c>
      <c r="J5" s="115">
        <v>1</v>
      </c>
      <c r="K5" s="115">
        <v>1</v>
      </c>
      <c r="L5" s="115">
        <v>1</v>
      </c>
      <c r="M5" s="124">
        <v>1</v>
      </c>
      <c r="N5" s="124"/>
      <c r="O5" s="124"/>
      <c r="P5" s="124"/>
      <c r="Q5" s="124"/>
      <c r="R5" s="124"/>
    </row>
    <row r="6" spans="1:20" x14ac:dyDescent="0.25">
      <c r="A6" s="53" t="s">
        <v>108</v>
      </c>
      <c r="B6" s="53"/>
      <c r="C6" s="171" t="s">
        <v>108</v>
      </c>
      <c r="D6" s="171"/>
      <c r="E6" s="171" t="s">
        <v>314</v>
      </c>
      <c r="F6" s="171" t="str">
        <f t="shared" si="0"/>
        <v>BD</v>
      </c>
      <c r="G6" s="159" t="s">
        <v>266</v>
      </c>
      <c r="H6" s="115"/>
      <c r="I6" s="115">
        <v>1</v>
      </c>
      <c r="J6" s="115">
        <v>1</v>
      </c>
      <c r="K6" s="115">
        <v>1</v>
      </c>
      <c r="L6" s="115">
        <v>1</v>
      </c>
      <c r="M6" s="124">
        <v>1</v>
      </c>
      <c r="N6" s="124"/>
      <c r="O6" s="124"/>
      <c r="P6" s="124"/>
      <c r="Q6" s="124"/>
      <c r="R6" s="124"/>
    </row>
    <row r="7" spans="1:20" x14ac:dyDescent="0.25">
      <c r="A7" s="53" t="s">
        <v>108</v>
      </c>
      <c r="B7" s="53"/>
      <c r="C7" s="171" t="s">
        <v>287</v>
      </c>
      <c r="D7" s="171"/>
      <c r="E7" s="171" t="s">
        <v>303</v>
      </c>
      <c r="F7" s="171" t="str">
        <f t="shared" si="0"/>
        <v>CR</v>
      </c>
      <c r="G7" s="158" t="s">
        <v>189</v>
      </c>
      <c r="H7" s="115"/>
      <c r="I7" s="115">
        <v>1</v>
      </c>
      <c r="J7" s="115">
        <v>1</v>
      </c>
      <c r="K7" s="115">
        <v>1</v>
      </c>
      <c r="L7" s="115">
        <v>1</v>
      </c>
      <c r="M7" s="124">
        <v>1</v>
      </c>
      <c r="N7" s="182"/>
      <c r="O7" s="182"/>
      <c r="P7" s="182"/>
      <c r="Q7" s="182"/>
      <c r="R7" s="182"/>
    </row>
    <row r="8" spans="1:20" x14ac:dyDescent="0.25">
      <c r="A8" s="53" t="s">
        <v>108</v>
      </c>
      <c r="B8" s="53"/>
      <c r="C8" s="171" t="s">
        <v>294</v>
      </c>
      <c r="D8" s="171" t="s">
        <v>325</v>
      </c>
      <c r="E8" s="171" t="s">
        <v>308</v>
      </c>
      <c r="F8" s="171" t="str">
        <f t="shared" si="0"/>
        <v>MAN</v>
      </c>
      <c r="G8" s="158" t="s">
        <v>268</v>
      </c>
      <c r="H8" s="115"/>
      <c r="I8" s="115">
        <v>1</v>
      </c>
      <c r="J8" s="115">
        <v>1</v>
      </c>
      <c r="K8" s="115">
        <v>1</v>
      </c>
      <c r="L8" s="115">
        <v>1</v>
      </c>
      <c r="M8" s="124">
        <v>1</v>
      </c>
      <c r="N8" s="124"/>
      <c r="O8" s="124"/>
      <c r="P8" s="124"/>
      <c r="Q8" s="124"/>
      <c r="R8" s="124"/>
    </row>
    <row r="9" spans="1:20" x14ac:dyDescent="0.25">
      <c r="A9" s="53" t="s">
        <v>108</v>
      </c>
      <c r="B9" s="53"/>
      <c r="C9" s="171" t="s">
        <v>296</v>
      </c>
      <c r="D9" s="171" t="s">
        <v>346</v>
      </c>
      <c r="E9" s="171" t="s">
        <v>310</v>
      </c>
      <c r="F9" s="171" t="str">
        <f t="shared" si="0"/>
        <v>SPD</v>
      </c>
      <c r="G9" s="158" t="s">
        <v>267</v>
      </c>
      <c r="H9" s="115"/>
      <c r="I9" s="115">
        <v>1</v>
      </c>
      <c r="J9" s="115">
        <v>1</v>
      </c>
      <c r="K9" s="115">
        <v>1</v>
      </c>
      <c r="L9" s="115">
        <v>1</v>
      </c>
      <c r="M9" s="124">
        <v>1</v>
      </c>
      <c r="N9" s="124"/>
      <c r="O9" s="124"/>
      <c r="P9" s="124"/>
      <c r="Q9" s="124"/>
      <c r="R9" s="124"/>
    </row>
    <row r="10" spans="1:20" x14ac:dyDescent="0.25">
      <c r="A10" s="188" t="s">
        <v>186</v>
      </c>
      <c r="B10" s="188"/>
      <c r="C10" s="171" t="s">
        <v>288</v>
      </c>
      <c r="D10" s="171"/>
      <c r="E10" s="171" t="s">
        <v>304</v>
      </c>
      <c r="F10" s="171" t="str">
        <f>CONCATENATE(LEFT(C10,1),D10,LEFT(E10,1))</f>
        <v>DK</v>
      </c>
      <c r="G10" s="158" t="s">
        <v>187</v>
      </c>
      <c r="H10" s="115"/>
      <c r="I10" s="115">
        <v>1</v>
      </c>
      <c r="J10" s="115">
        <v>1</v>
      </c>
      <c r="K10" s="115">
        <v>1</v>
      </c>
      <c r="L10" s="115">
        <v>1</v>
      </c>
      <c r="M10" s="124">
        <v>1</v>
      </c>
      <c r="N10" s="124"/>
      <c r="O10" s="124"/>
      <c r="P10" s="124"/>
      <c r="Q10" s="124"/>
      <c r="R10" s="124"/>
      <c r="S10" s="154"/>
    </row>
    <row r="11" spans="1:20" x14ac:dyDescent="0.25">
      <c r="A11" s="53" t="s">
        <v>264</v>
      </c>
      <c r="B11" s="53"/>
      <c r="C11" s="171"/>
      <c r="D11" s="171"/>
      <c r="E11" s="171"/>
      <c r="F11" s="171"/>
      <c r="G11" s="158"/>
      <c r="H11" s="115"/>
      <c r="I11" s="115"/>
      <c r="J11" s="115"/>
      <c r="K11" s="115"/>
      <c r="L11" s="115"/>
      <c r="M11" s="124"/>
      <c r="N11" s="124"/>
      <c r="O11" s="124"/>
      <c r="P11" s="124"/>
      <c r="Q11" s="124"/>
      <c r="R11" s="124"/>
      <c r="S11" s="154"/>
    </row>
    <row r="12" spans="1:20" x14ac:dyDescent="0.25">
      <c r="A12" s="53" t="s">
        <v>274</v>
      </c>
      <c r="B12" s="53"/>
      <c r="C12" s="171" t="s">
        <v>285</v>
      </c>
      <c r="D12" s="171"/>
      <c r="E12" s="171" t="s">
        <v>301</v>
      </c>
      <c r="F12" s="171" t="str">
        <f t="shared" si="0"/>
        <v>CM</v>
      </c>
      <c r="G12" s="158" t="s">
        <v>118</v>
      </c>
      <c r="H12" s="115"/>
      <c r="I12" s="115"/>
      <c r="J12" s="115"/>
      <c r="K12" s="115"/>
      <c r="L12" s="115"/>
      <c r="M12" s="124"/>
      <c r="N12" s="124">
        <v>1</v>
      </c>
      <c r="O12" s="124"/>
      <c r="P12" s="124"/>
      <c r="Q12" s="124"/>
      <c r="R12" s="124"/>
    </row>
    <row r="13" spans="1:20" x14ac:dyDescent="0.25">
      <c r="A13" s="53" t="s">
        <v>274</v>
      </c>
      <c r="B13" s="53"/>
      <c r="C13" s="171" t="s">
        <v>289</v>
      </c>
      <c r="D13" s="171"/>
      <c r="E13" s="171" t="s">
        <v>305</v>
      </c>
      <c r="F13" s="171" t="str">
        <f t="shared" si="0"/>
        <v>DA</v>
      </c>
      <c r="G13" s="158" t="s">
        <v>115</v>
      </c>
      <c r="H13" s="115"/>
      <c r="I13" s="115"/>
      <c r="J13" s="115"/>
      <c r="K13" s="115"/>
      <c r="L13" s="115"/>
      <c r="M13" s="124"/>
      <c r="N13" s="124">
        <v>1</v>
      </c>
      <c r="O13" s="124"/>
      <c r="P13" s="124"/>
      <c r="Q13" s="124"/>
      <c r="R13" s="124"/>
    </row>
    <row r="14" spans="1:20" x14ac:dyDescent="0.25">
      <c r="A14" s="53" t="s">
        <v>274</v>
      </c>
      <c r="B14" s="53"/>
      <c r="C14" s="171" t="s">
        <v>293</v>
      </c>
      <c r="D14" s="171"/>
      <c r="E14" s="171" t="s">
        <v>307</v>
      </c>
      <c r="F14" s="171" t="str">
        <f t="shared" si="0"/>
        <v>JH</v>
      </c>
      <c r="G14" s="158" t="s">
        <v>117</v>
      </c>
      <c r="H14" s="115"/>
      <c r="I14" s="115"/>
      <c r="J14" s="115"/>
      <c r="K14" s="115"/>
      <c r="L14" s="115"/>
      <c r="M14" s="124"/>
      <c r="N14" s="124">
        <v>1</v>
      </c>
      <c r="O14" s="124"/>
      <c r="P14" s="124"/>
      <c r="Q14" s="124"/>
      <c r="R14" s="124"/>
    </row>
    <row r="15" spans="1:20" x14ac:dyDescent="0.25">
      <c r="A15" s="53" t="s">
        <v>274</v>
      </c>
      <c r="B15" s="53"/>
      <c r="C15" s="171" t="s">
        <v>292</v>
      </c>
      <c r="D15" s="171"/>
      <c r="E15" s="171" t="s">
        <v>317</v>
      </c>
      <c r="F15" s="171" t="str">
        <f t="shared" si="0"/>
        <v>JV</v>
      </c>
      <c r="G15" s="158" t="s">
        <v>185</v>
      </c>
      <c r="H15" s="115"/>
      <c r="I15" s="115"/>
      <c r="J15" s="115"/>
      <c r="K15" s="115"/>
      <c r="L15" s="115"/>
      <c r="M15" s="124"/>
      <c r="N15" s="124">
        <v>1</v>
      </c>
      <c r="O15" s="124"/>
      <c r="P15" s="124"/>
      <c r="Q15" s="124"/>
      <c r="R15" s="124"/>
    </row>
    <row r="16" spans="1:20" x14ac:dyDescent="0.25">
      <c r="A16" s="53" t="s">
        <v>274</v>
      </c>
      <c r="B16" s="53"/>
      <c r="C16" s="171" t="s">
        <v>318</v>
      </c>
      <c r="D16" s="171"/>
      <c r="E16" s="171" t="s">
        <v>319</v>
      </c>
      <c r="F16" s="171" t="str">
        <f t="shared" si="0"/>
        <v>SD</v>
      </c>
      <c r="G16" s="158" t="s">
        <v>116</v>
      </c>
      <c r="H16" s="115"/>
      <c r="I16" s="115"/>
      <c r="J16" s="115"/>
      <c r="K16" s="115"/>
      <c r="L16" s="115"/>
      <c r="M16" s="124"/>
      <c r="N16" s="124">
        <v>1</v>
      </c>
      <c r="O16" s="124"/>
      <c r="P16" s="124"/>
      <c r="Q16" s="124"/>
      <c r="R16" s="124"/>
    </row>
    <row r="17" spans="1:18" x14ac:dyDescent="0.25">
      <c r="A17" s="188" t="s">
        <v>106</v>
      </c>
      <c r="B17" s="188"/>
      <c r="C17" s="171"/>
      <c r="D17" s="171"/>
      <c r="E17" s="171"/>
      <c r="F17" s="171"/>
      <c r="G17" s="158"/>
      <c r="H17" s="115"/>
      <c r="I17" s="115"/>
      <c r="J17" s="115"/>
      <c r="K17" s="115"/>
      <c r="L17" s="115"/>
      <c r="M17" s="124"/>
      <c r="N17" s="124"/>
      <c r="O17" s="124"/>
      <c r="P17" s="124"/>
      <c r="Q17" s="124"/>
      <c r="R17" s="124"/>
    </row>
    <row r="18" spans="1:18" x14ac:dyDescent="0.25">
      <c r="A18" s="53" t="s">
        <v>282</v>
      </c>
      <c r="B18" s="53"/>
      <c r="C18" s="171" t="s">
        <v>328</v>
      </c>
      <c r="D18" s="171"/>
      <c r="E18" s="171" t="s">
        <v>329</v>
      </c>
      <c r="F18" s="171" t="str">
        <f t="shared" si="0"/>
        <v>SJ</v>
      </c>
      <c r="G18" s="158" t="s">
        <v>339</v>
      </c>
      <c r="H18" s="115"/>
      <c r="I18" s="115"/>
      <c r="J18" s="115"/>
      <c r="K18" s="115"/>
      <c r="L18" s="115"/>
      <c r="M18" s="124"/>
      <c r="N18" s="124"/>
      <c r="O18" s="124">
        <v>1</v>
      </c>
      <c r="P18" s="124"/>
      <c r="Q18" s="124"/>
      <c r="R18" s="124"/>
    </row>
    <row r="19" spans="1:18" x14ac:dyDescent="0.25">
      <c r="A19" s="53" t="s">
        <v>282</v>
      </c>
      <c r="B19" s="53"/>
      <c r="C19" s="171" t="s">
        <v>330</v>
      </c>
      <c r="D19" s="171"/>
      <c r="E19" s="171" t="s">
        <v>331</v>
      </c>
      <c r="F19" s="171" t="str">
        <f t="shared" si="0"/>
        <v>SM</v>
      </c>
      <c r="G19" s="187" t="s">
        <v>340</v>
      </c>
      <c r="H19" s="115"/>
      <c r="I19" s="115"/>
      <c r="J19" s="115"/>
      <c r="K19" s="115"/>
      <c r="L19" s="115"/>
      <c r="M19" s="124"/>
      <c r="N19" s="124"/>
      <c r="O19" s="124">
        <v>1</v>
      </c>
      <c r="P19" s="124"/>
      <c r="Q19" s="124"/>
      <c r="R19" s="124"/>
    </row>
    <row r="20" spans="1:18" x14ac:dyDescent="0.25">
      <c r="A20" s="53" t="s">
        <v>282</v>
      </c>
      <c r="B20" s="53"/>
      <c r="C20" s="171" t="s">
        <v>332</v>
      </c>
      <c r="D20" s="171"/>
      <c r="E20" s="171" t="s">
        <v>333</v>
      </c>
      <c r="F20" s="171" t="str">
        <f t="shared" si="0"/>
        <v>MF</v>
      </c>
      <c r="G20" s="187" t="s">
        <v>341</v>
      </c>
      <c r="H20" s="115"/>
      <c r="I20" s="115"/>
      <c r="J20" s="115"/>
      <c r="K20" s="115"/>
      <c r="L20" s="115"/>
      <c r="M20" s="124"/>
      <c r="N20" s="124"/>
      <c r="O20" s="124">
        <v>1</v>
      </c>
      <c r="P20" s="124"/>
      <c r="Q20" s="124"/>
      <c r="R20" s="124"/>
    </row>
    <row r="21" spans="1:18" x14ac:dyDescent="0.25">
      <c r="A21" s="53" t="s">
        <v>103</v>
      </c>
      <c r="B21" s="53"/>
      <c r="C21" s="171" t="s">
        <v>295</v>
      </c>
      <c r="D21" s="171"/>
      <c r="E21" s="171" t="s">
        <v>309</v>
      </c>
      <c r="F21" s="171" t="str">
        <f t="shared" si="0"/>
        <v>PH</v>
      </c>
      <c r="G21" s="158" t="s">
        <v>109</v>
      </c>
      <c r="H21" s="115"/>
      <c r="I21" s="115"/>
      <c r="J21" s="115"/>
      <c r="K21" s="115"/>
      <c r="L21" s="115"/>
      <c r="M21" s="124"/>
      <c r="N21" s="124"/>
      <c r="O21" s="124"/>
      <c r="P21" s="124">
        <v>1</v>
      </c>
      <c r="Q21" s="124"/>
      <c r="R21" s="124"/>
    </row>
    <row r="22" spans="1:18" x14ac:dyDescent="0.25">
      <c r="A22" s="53" t="s">
        <v>107</v>
      </c>
      <c r="B22" s="53"/>
      <c r="C22" s="171" t="s">
        <v>286</v>
      </c>
      <c r="D22" s="171"/>
      <c r="E22" s="171" t="s">
        <v>302</v>
      </c>
      <c r="F22" s="171" t="str">
        <f t="shared" si="0"/>
        <v>CT</v>
      </c>
      <c r="G22" s="158" t="s">
        <v>112</v>
      </c>
      <c r="H22" s="115"/>
      <c r="I22" s="115"/>
      <c r="J22" s="115"/>
      <c r="K22" s="115"/>
      <c r="L22" s="115"/>
      <c r="M22" s="124"/>
      <c r="N22" s="124"/>
      <c r="O22" s="124"/>
      <c r="P22" s="124"/>
      <c r="Q22" s="124">
        <v>1</v>
      </c>
      <c r="R22" s="124"/>
    </row>
    <row r="23" spans="1:18" x14ac:dyDescent="0.25">
      <c r="A23" s="53" t="s">
        <v>107</v>
      </c>
      <c r="B23" s="53"/>
      <c r="C23" s="171" t="s">
        <v>291</v>
      </c>
      <c r="D23" s="171"/>
      <c r="E23" s="171" t="s">
        <v>305</v>
      </c>
      <c r="F23" s="171" t="str">
        <f t="shared" si="0"/>
        <v>JA</v>
      </c>
      <c r="G23" s="158" t="s">
        <v>113</v>
      </c>
      <c r="H23" s="115"/>
      <c r="I23" s="115"/>
      <c r="J23" s="115"/>
      <c r="K23" s="115"/>
      <c r="L23" s="115"/>
      <c r="M23" s="124"/>
      <c r="N23" s="124"/>
      <c r="O23" s="124"/>
      <c r="P23" s="124"/>
      <c r="Q23" s="124">
        <v>1</v>
      </c>
      <c r="R23" s="124"/>
    </row>
    <row r="24" spans="1:18" x14ac:dyDescent="0.25">
      <c r="A24" s="53" t="s">
        <v>107</v>
      </c>
      <c r="B24" s="53"/>
      <c r="C24" s="171" t="s">
        <v>290</v>
      </c>
      <c r="D24" s="171"/>
      <c r="E24" s="171" t="s">
        <v>306</v>
      </c>
      <c r="F24" s="171" t="str">
        <f t="shared" si="0"/>
        <v>JT</v>
      </c>
      <c r="G24" s="158" t="s">
        <v>111</v>
      </c>
      <c r="H24" s="115"/>
      <c r="I24" s="115"/>
      <c r="J24" s="115"/>
      <c r="K24" s="115"/>
      <c r="L24" s="115"/>
      <c r="M24" s="124"/>
      <c r="N24" s="124"/>
      <c r="O24" s="124"/>
      <c r="P24" s="124"/>
      <c r="Q24" s="124">
        <v>1</v>
      </c>
      <c r="R24" s="124"/>
    </row>
    <row r="25" spans="1:18" x14ac:dyDescent="0.25">
      <c r="A25" s="53" t="s">
        <v>107</v>
      </c>
      <c r="B25" s="53"/>
      <c r="C25" s="171" t="s">
        <v>297</v>
      </c>
      <c r="D25" s="171"/>
      <c r="E25" s="171" t="s">
        <v>311</v>
      </c>
      <c r="F25" s="171" t="str">
        <f t="shared" si="0"/>
        <v>SC</v>
      </c>
      <c r="G25" s="158" t="s">
        <v>114</v>
      </c>
      <c r="H25" s="115"/>
      <c r="I25" s="115"/>
      <c r="J25" s="115"/>
      <c r="K25" s="115"/>
      <c r="L25" s="115"/>
      <c r="M25" s="124"/>
      <c r="N25" s="124"/>
      <c r="O25" s="124"/>
      <c r="P25" s="124"/>
      <c r="Q25" s="124">
        <v>1</v>
      </c>
      <c r="R25" s="124"/>
    </row>
    <row r="26" spans="1:18" x14ac:dyDescent="0.25">
      <c r="A26" s="53" t="s">
        <v>107</v>
      </c>
      <c r="B26" s="53"/>
      <c r="C26" s="171" t="s">
        <v>298</v>
      </c>
      <c r="D26" s="171"/>
      <c r="E26" s="171" t="s">
        <v>312</v>
      </c>
      <c r="F26" s="171" t="str">
        <f t="shared" si="0"/>
        <v>TG</v>
      </c>
      <c r="G26" s="158" t="s">
        <v>110</v>
      </c>
      <c r="H26" s="115"/>
      <c r="I26" s="115"/>
      <c r="J26" s="115"/>
      <c r="K26" s="115"/>
      <c r="L26" s="115"/>
      <c r="M26" s="124"/>
      <c r="N26" s="124"/>
      <c r="O26" s="124"/>
      <c r="P26" s="124"/>
      <c r="Q26" s="124">
        <v>1</v>
      </c>
      <c r="R26" s="124"/>
    </row>
    <row r="27" spans="1:18" x14ac:dyDescent="0.25">
      <c r="A27" s="53" t="s">
        <v>255</v>
      </c>
      <c r="B27" s="53"/>
      <c r="C27" s="171" t="s">
        <v>275</v>
      </c>
      <c r="D27" s="171"/>
      <c r="E27" s="171" t="s">
        <v>320</v>
      </c>
      <c r="F27" s="171" t="str">
        <f t="shared" si="0"/>
        <v>JB</v>
      </c>
      <c r="G27" s="158" t="s">
        <v>342</v>
      </c>
      <c r="H27" s="115"/>
      <c r="I27" s="115"/>
      <c r="J27" s="115"/>
      <c r="K27" s="115"/>
      <c r="L27" s="115"/>
      <c r="M27" s="124"/>
      <c r="N27" s="124"/>
      <c r="O27" s="124"/>
      <c r="P27" s="124"/>
      <c r="Q27" s="124"/>
      <c r="R27" s="124">
        <v>1</v>
      </c>
    </row>
    <row r="28" spans="1:18" x14ac:dyDescent="0.25">
      <c r="A28" s="169" t="s">
        <v>255</v>
      </c>
      <c r="B28" s="169"/>
      <c r="C28" s="172" t="s">
        <v>321</v>
      </c>
      <c r="D28" s="172"/>
      <c r="E28" s="172" t="s">
        <v>322</v>
      </c>
      <c r="F28" s="172" t="str">
        <f>CONCATENATE(LEFT(C28,1),D28,LEFT(E28,1))</f>
        <v>JP</v>
      </c>
      <c r="G28" s="163" t="s">
        <v>323</v>
      </c>
      <c r="H28" s="183"/>
      <c r="I28" s="183"/>
      <c r="J28" s="183"/>
      <c r="K28" s="183"/>
      <c r="L28" s="183"/>
      <c r="M28" s="184"/>
      <c r="N28" s="184"/>
      <c r="O28" s="184"/>
      <c r="P28" s="184"/>
      <c r="Q28" s="184"/>
      <c r="R28" s="184">
        <v>1</v>
      </c>
    </row>
    <row r="29" spans="1:18" x14ac:dyDescent="0.25">
      <c r="C29" s="155"/>
      <c r="D29" s="155"/>
      <c r="E29" s="155"/>
      <c r="H29" s="185">
        <f>SUM(H2:H28)</f>
        <v>1</v>
      </c>
      <c r="I29" s="185">
        <f t="shared" ref="I29:R29" si="1">SUM(I2:I28)</f>
        <v>7</v>
      </c>
      <c r="J29" s="185">
        <f t="shared" si="1"/>
        <v>7</v>
      </c>
      <c r="K29" s="185">
        <f t="shared" si="1"/>
        <v>7</v>
      </c>
      <c r="L29" s="185">
        <f t="shared" si="1"/>
        <v>8</v>
      </c>
      <c r="M29" s="185">
        <f t="shared" si="1"/>
        <v>7</v>
      </c>
      <c r="N29" s="185">
        <f t="shared" si="1"/>
        <v>5</v>
      </c>
      <c r="O29" s="185">
        <f t="shared" si="1"/>
        <v>3</v>
      </c>
      <c r="P29" s="185">
        <f t="shared" si="1"/>
        <v>1</v>
      </c>
      <c r="Q29" s="185">
        <f t="shared" si="1"/>
        <v>5</v>
      </c>
      <c r="R29" s="185">
        <f t="shared" si="1"/>
        <v>2</v>
      </c>
    </row>
    <row r="30" spans="1:18" x14ac:dyDescent="0.25">
      <c r="A30" s="189" t="s">
        <v>343</v>
      </c>
      <c r="B30" s="189"/>
    </row>
    <row r="31" spans="1:18" x14ac:dyDescent="0.25">
      <c r="A31" s="188" t="s">
        <v>344</v>
      </c>
      <c r="B31" s="188"/>
    </row>
    <row r="32" spans="1:18" x14ac:dyDescent="0.25">
      <c r="A32" s="188" t="s">
        <v>316</v>
      </c>
      <c r="B32" s="188"/>
    </row>
    <row r="33" spans="1:2" x14ac:dyDescent="0.25">
      <c r="A33" s="188" t="s">
        <v>108</v>
      </c>
      <c r="B33" s="188" t="s">
        <v>659</v>
      </c>
    </row>
    <row r="34" spans="1:2" x14ac:dyDescent="0.25">
      <c r="A34" s="188" t="s">
        <v>186</v>
      </c>
      <c r="B34" s="188" t="s">
        <v>660</v>
      </c>
    </row>
    <row r="35" spans="1:2" x14ac:dyDescent="0.25">
      <c r="A35" s="188" t="s">
        <v>264</v>
      </c>
      <c r="B35" s="188" t="s">
        <v>661</v>
      </c>
    </row>
    <row r="36" spans="1:2" x14ac:dyDescent="0.25">
      <c r="A36" s="188" t="s">
        <v>274</v>
      </c>
      <c r="B36" s="188" t="s">
        <v>662</v>
      </c>
    </row>
    <row r="37" spans="1:2" x14ac:dyDescent="0.25">
      <c r="A37" s="188" t="s">
        <v>106</v>
      </c>
      <c r="B37" s="188" t="s">
        <v>663</v>
      </c>
    </row>
    <row r="38" spans="1:2" x14ac:dyDescent="0.25">
      <c r="A38" s="188" t="s">
        <v>282</v>
      </c>
      <c r="B38" s="188" t="s">
        <v>664</v>
      </c>
    </row>
    <row r="39" spans="1:2" x14ac:dyDescent="0.25">
      <c r="A39" s="188" t="s">
        <v>103</v>
      </c>
      <c r="B39" s="188" t="s">
        <v>665</v>
      </c>
    </row>
    <row r="40" spans="1:2" x14ac:dyDescent="0.25">
      <c r="A40" s="188" t="s">
        <v>107</v>
      </c>
      <c r="B40" s="188"/>
    </row>
    <row r="41" spans="1:2" x14ac:dyDescent="0.25">
      <c r="A41" s="188" t="s">
        <v>255</v>
      </c>
      <c r="B41" s="188"/>
    </row>
  </sheetData>
  <autoFilter ref="A1:R28" xr:uid="{61BCEE3D-86C7-425D-AE82-05540C2DD1F4}">
    <sortState xmlns:xlrd2="http://schemas.microsoft.com/office/spreadsheetml/2017/richdata2" ref="A2:R28">
      <sortCondition ref="A1:A28"/>
    </sortState>
  </autoFilter>
  <sortState xmlns:xlrd2="http://schemas.microsoft.com/office/spreadsheetml/2017/richdata2" ref="A31:A41">
    <sortCondition ref="A31:A41"/>
  </sortState>
  <dataValidations count="2">
    <dataValidation type="list" allowBlank="1" showInputMessage="1" showErrorMessage="1" sqref="A18:B28 A2:B16" xr:uid="{A4F14907-9907-485B-8995-1E33E63B7BE9}">
      <formula1>$A$31:$A$41</formula1>
    </dataValidation>
    <dataValidation type="list" allowBlank="1" showInputMessage="1" showErrorMessage="1" sqref="H2:R28" xr:uid="{A193737A-283F-4F36-B371-348E81C46F9F}">
      <formula1>"0,1"</formula1>
    </dataValidation>
  </dataValidations>
  <hyperlinks>
    <hyperlink ref="G21" r:id="rId1" xr:uid="{5928AF6C-87BD-4B91-8284-04660244A4AA}"/>
    <hyperlink ref="G26" r:id="rId2" xr:uid="{5A452A98-4AFF-457E-AB6D-84336D0567CD}"/>
    <hyperlink ref="G24" r:id="rId3" xr:uid="{FAE1118D-4C8E-41FE-A271-71AF435E8450}"/>
    <hyperlink ref="G22" r:id="rId4" xr:uid="{B90751B4-B158-4321-8F8B-5121F00740C3}"/>
    <hyperlink ref="G23" r:id="rId5" xr:uid="{03834657-FFE3-4901-96FD-3E21854657B9}"/>
    <hyperlink ref="G25" r:id="rId6" xr:uid="{994D56C9-7508-4D1E-A148-3342CEC2200D}"/>
    <hyperlink ref="G13" r:id="rId7" xr:uid="{0D7A6935-A0B8-4273-A87F-B07973E0C1A3}"/>
    <hyperlink ref="G16" r:id="rId8" xr:uid="{7063D062-ACF1-4EEA-B901-55133FA5959F}"/>
    <hyperlink ref="G15" r:id="rId9" xr:uid="{07DC3E47-F015-4824-ADF5-2AD1AD687B1F}"/>
    <hyperlink ref="G5" r:id="rId10" xr:uid="{953B6AB8-930C-441C-B904-476C03DF1338}"/>
    <hyperlink ref="G27" r:id="rId11" xr:uid="{B7151CA6-C442-4C97-A39C-D38D011582D3}"/>
    <hyperlink ref="G28" r:id="rId12" xr:uid="{8734B130-8951-48F8-957D-DFC1B437320F}"/>
    <hyperlink ref="G2" r:id="rId13" xr:uid="{522D5452-0032-4BE3-AF56-B0D60D6289DF}"/>
    <hyperlink ref="G10" r:id="rId14" xr:uid="{B9E0CBCB-F9CF-4C94-B794-1F443544D1EF}"/>
    <hyperlink ref="G12" r:id="rId15" xr:uid="{7EB4D823-B480-43E7-B658-5AC7A8860F9E}"/>
    <hyperlink ref="G14" r:id="rId16" xr:uid="{94E9DA41-BF18-4D5E-901C-B0AE89D05724}"/>
    <hyperlink ref="G6" r:id="rId17" xr:uid="{F16AB7B2-2030-434D-9F04-134FE41107E1}"/>
    <hyperlink ref="G4" r:id="rId18" xr:uid="{84CFE06A-A772-4EF6-82EF-DCF7A155C1DB}"/>
    <hyperlink ref="G9" r:id="rId19" xr:uid="{D54649E1-1648-4E37-9FEB-8B3BB935D0E7}"/>
    <hyperlink ref="G7" r:id="rId20" xr:uid="{58206E4D-DF67-4DB9-9EB4-E383D662AE3A}"/>
    <hyperlink ref="G8" r:id="rId21" xr:uid="{89852C55-1F5C-4145-8773-38C716FE389E}"/>
    <hyperlink ref="G3" r:id="rId22" display="mailto:Josephine.Acevedo@yolocounty.org" xr:uid="{ED0CFA28-570A-42BA-A2FC-164ED0293764}"/>
    <hyperlink ref="G20" r:id="rId23" xr:uid="{A601538E-798E-44A8-8278-B0F4B7C49ADA}"/>
    <hyperlink ref="G19" r:id="rId24" xr:uid="{ACF9C9D4-18AF-481E-B389-404E90F068FA}"/>
    <hyperlink ref="G18" r:id="rId25" xr:uid="{E3B6AF74-C36E-4683-98A0-691EF1064183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2190-CA4F-2C4B-A366-95FF5C8BC5DB}">
  <dimension ref="A1:F227"/>
  <sheetViews>
    <sheetView showGridLines="0" zoomScale="115" zoomScaleNormal="115" zoomScaleSheetLayoutView="100" workbookViewId="0">
      <pane ySplit="1" topLeftCell="A12" activePane="bottomLeft" state="frozen"/>
      <selection pane="bottomLeft" activeCell="B12" sqref="B12"/>
    </sheetView>
  </sheetViews>
  <sheetFormatPr defaultColWidth="9.140625" defaultRowHeight="24.95" customHeight="1" x14ac:dyDescent="0.25"/>
  <cols>
    <col min="1" max="1" width="31" style="265" customWidth="1"/>
    <col min="2" max="2" width="53.28515625" style="186" customWidth="1"/>
    <col min="3" max="3" width="28.140625" style="186" customWidth="1"/>
    <col min="4" max="4" width="30.42578125" style="186" customWidth="1"/>
    <col min="5" max="7" width="32.140625" style="186" customWidth="1"/>
    <col min="8" max="16384" width="9.140625" style="186"/>
  </cols>
  <sheetData>
    <row r="1" spans="1:4" s="191" customFormat="1" ht="24.95" customHeight="1" x14ac:dyDescent="0.25">
      <c r="A1" s="264" t="s">
        <v>430</v>
      </c>
      <c r="B1" s="192" t="s">
        <v>367</v>
      </c>
      <c r="C1" s="192" t="s">
        <v>366</v>
      </c>
      <c r="D1" s="191" t="s">
        <v>424</v>
      </c>
    </row>
    <row r="2" spans="1:4" ht="24.95" customHeight="1" x14ac:dyDescent="0.25">
      <c r="A2" s="265" t="s">
        <v>374</v>
      </c>
      <c r="B2" s="194" t="s">
        <v>368</v>
      </c>
      <c r="C2" s="258"/>
    </row>
    <row r="3" spans="1:4" ht="24.95" customHeight="1" x14ac:dyDescent="0.25">
      <c r="A3" s="265" t="s">
        <v>374</v>
      </c>
      <c r="B3" s="204" t="s">
        <v>525</v>
      </c>
      <c r="C3" s="250"/>
      <c r="D3" s="186" t="s">
        <v>426</v>
      </c>
    </row>
    <row r="4" spans="1:4" ht="24.95" customHeight="1" x14ac:dyDescent="0.25">
      <c r="A4" s="265" t="s">
        <v>374</v>
      </c>
      <c r="B4" s="204" t="s">
        <v>23</v>
      </c>
      <c r="C4" s="250"/>
      <c r="D4" s="186" t="s">
        <v>426</v>
      </c>
    </row>
    <row r="5" spans="1:4" ht="24.95" customHeight="1" x14ac:dyDescent="0.25">
      <c r="A5" s="265" t="s">
        <v>374</v>
      </c>
      <c r="B5" s="204" t="s">
        <v>24</v>
      </c>
      <c r="C5" s="250"/>
      <c r="D5" s="186" t="s">
        <v>426</v>
      </c>
    </row>
    <row r="6" spans="1:4" ht="24.95" customHeight="1" x14ac:dyDescent="0.25">
      <c r="A6" s="265" t="s">
        <v>374</v>
      </c>
      <c r="B6" s="204" t="s">
        <v>28</v>
      </c>
      <c r="C6" s="250"/>
      <c r="D6" s="186" t="s">
        <v>426</v>
      </c>
    </row>
    <row r="7" spans="1:4" ht="24.95" customHeight="1" x14ac:dyDescent="0.25">
      <c r="A7" s="265" t="s">
        <v>374</v>
      </c>
      <c r="B7" s="204" t="s">
        <v>31</v>
      </c>
      <c r="C7" s="250"/>
      <c r="D7" s="186" t="s">
        <v>426</v>
      </c>
    </row>
    <row r="8" spans="1:4" ht="24.95" customHeight="1" x14ac:dyDescent="0.25">
      <c r="A8" s="265" t="s">
        <v>374</v>
      </c>
      <c r="B8" s="204" t="s">
        <v>25</v>
      </c>
      <c r="C8" s="250"/>
      <c r="D8" s="186" t="s">
        <v>426</v>
      </c>
    </row>
    <row r="9" spans="1:4" ht="24.95" customHeight="1" x14ac:dyDescent="0.25">
      <c r="A9" s="265" t="s">
        <v>374</v>
      </c>
      <c r="B9" s="204" t="s">
        <v>26</v>
      </c>
      <c r="C9" s="250"/>
      <c r="D9" s="186" t="s">
        <v>426</v>
      </c>
    </row>
    <row r="10" spans="1:4" ht="24.95" customHeight="1" x14ac:dyDescent="0.25">
      <c r="A10" s="265" t="s">
        <v>374</v>
      </c>
      <c r="B10" s="205" t="s">
        <v>43</v>
      </c>
      <c r="C10" s="250"/>
      <c r="D10" s="186" t="s">
        <v>426</v>
      </c>
    </row>
    <row r="11" spans="1:4" ht="24.95" customHeight="1" x14ac:dyDescent="0.25">
      <c r="A11" s="265">
        <f>BLD</f>
        <v>0</v>
      </c>
      <c r="B11" s="194" t="s">
        <v>373</v>
      </c>
      <c r="C11" s="258"/>
    </row>
    <row r="12" spans="1:4" ht="24.95" customHeight="1" x14ac:dyDescent="0.25">
      <c r="A12" s="265">
        <f>BLD</f>
        <v>0</v>
      </c>
      <c r="B12" s="196" t="s">
        <v>380</v>
      </c>
      <c r="C12" s="251"/>
      <c r="D12" s="186" t="s">
        <v>433</v>
      </c>
    </row>
    <row r="13" spans="1:4" ht="24.95" customHeight="1" x14ac:dyDescent="0.25">
      <c r="A13" s="265">
        <f>BLD</f>
        <v>0</v>
      </c>
      <c r="B13" s="196" t="s">
        <v>432</v>
      </c>
      <c r="C13" s="252"/>
      <c r="D13" s="186" t="s">
        <v>467</v>
      </c>
    </row>
    <row r="14" spans="1:4" ht="24.95" customHeight="1" x14ac:dyDescent="0.25">
      <c r="A14" s="265" t="s">
        <v>374</v>
      </c>
      <c r="B14" s="195" t="s">
        <v>372</v>
      </c>
      <c r="C14" s="249"/>
    </row>
    <row r="15" spans="1:4" ht="35.25" customHeight="1" x14ac:dyDescent="0.25">
      <c r="A15" s="265" t="s">
        <v>374</v>
      </c>
      <c r="B15" s="246" t="s">
        <v>423</v>
      </c>
      <c r="C15" s="247"/>
      <c r="D15" s="186" t="s">
        <v>425</v>
      </c>
    </row>
    <row r="16" spans="1:4" ht="24.95" customHeight="1" x14ac:dyDescent="0.25">
      <c r="A16" s="265" t="s">
        <v>374</v>
      </c>
      <c r="B16" s="196" t="s">
        <v>0</v>
      </c>
      <c r="C16" s="251"/>
      <c r="D16" s="186" t="s">
        <v>427</v>
      </c>
    </row>
    <row r="17" spans="1:4" ht="24.95" customHeight="1" x14ac:dyDescent="0.25">
      <c r="A17" s="265" t="s">
        <v>374</v>
      </c>
      <c r="B17" s="196" t="s">
        <v>1</v>
      </c>
      <c r="C17" s="251"/>
      <c r="D17" s="186" t="s">
        <v>427</v>
      </c>
    </row>
    <row r="18" spans="1:4" ht="24.95" customHeight="1" x14ac:dyDescent="0.25">
      <c r="A18" s="265" t="s">
        <v>374</v>
      </c>
      <c r="B18" s="194" t="s">
        <v>363</v>
      </c>
      <c r="C18" s="258"/>
    </row>
    <row r="19" spans="1:4" ht="24.95" customHeight="1" x14ac:dyDescent="0.25">
      <c r="A19" s="265" t="s">
        <v>374</v>
      </c>
      <c r="B19" s="204" t="s">
        <v>359</v>
      </c>
      <c r="C19" s="250"/>
      <c r="D19" s="186" t="s">
        <v>426</v>
      </c>
    </row>
    <row r="20" spans="1:4" ht="24.95" customHeight="1" x14ac:dyDescent="0.25">
      <c r="A20" s="265" t="s">
        <v>374</v>
      </c>
      <c r="B20" s="204" t="s">
        <v>360</v>
      </c>
      <c r="C20" s="250"/>
      <c r="D20" s="186" t="s">
        <v>426</v>
      </c>
    </row>
    <row r="21" spans="1:4" ht="24.95" customHeight="1" x14ac:dyDescent="0.25">
      <c r="A21" s="265" t="s">
        <v>374</v>
      </c>
      <c r="B21" s="204" t="s">
        <v>361</v>
      </c>
      <c r="C21" s="250"/>
      <c r="D21" s="186" t="s">
        <v>426</v>
      </c>
    </row>
    <row r="22" spans="1:4" ht="24.95" customHeight="1" x14ac:dyDescent="0.25">
      <c r="A22" s="265" t="s">
        <v>374</v>
      </c>
      <c r="B22" s="204" t="s">
        <v>362</v>
      </c>
      <c r="C22" s="250"/>
      <c r="D22" s="186" t="s">
        <v>426</v>
      </c>
    </row>
    <row r="23" spans="1:4" ht="24.95" customHeight="1" x14ac:dyDescent="0.25">
      <c r="A23" s="265" t="s">
        <v>374</v>
      </c>
      <c r="B23" s="196" t="s">
        <v>2</v>
      </c>
      <c r="C23" s="251"/>
    </row>
    <row r="24" spans="1:4" ht="24.95" customHeight="1" x14ac:dyDescent="0.25">
      <c r="A24" s="265" t="s">
        <v>374</v>
      </c>
      <c r="B24" s="196" t="s">
        <v>3</v>
      </c>
      <c r="C24" s="251"/>
    </row>
    <row r="25" spans="1:4" ht="24.95" customHeight="1" x14ac:dyDescent="0.25">
      <c r="A25" s="265" t="s">
        <v>374</v>
      </c>
      <c r="B25" s="196" t="s">
        <v>11</v>
      </c>
      <c r="C25" s="251"/>
    </row>
    <row r="26" spans="1:4" ht="24.95" customHeight="1" x14ac:dyDescent="0.25">
      <c r="A26" s="265" t="s">
        <v>374</v>
      </c>
      <c r="B26" s="196" t="s">
        <v>4</v>
      </c>
      <c r="C26" s="251"/>
    </row>
    <row r="27" spans="1:4" ht="24.95" customHeight="1" x14ac:dyDescent="0.25">
      <c r="A27" s="265" t="s">
        <v>374</v>
      </c>
      <c r="B27" s="197" t="s">
        <v>5</v>
      </c>
      <c r="C27" s="252"/>
    </row>
    <row r="28" spans="1:4" ht="24.95" customHeight="1" x14ac:dyDescent="0.25">
      <c r="A28" s="265" t="s">
        <v>374</v>
      </c>
      <c r="B28" s="194" t="s">
        <v>369</v>
      </c>
      <c r="C28" s="258"/>
    </row>
    <row r="29" spans="1:4" ht="24.95" customHeight="1" x14ac:dyDescent="0.25">
      <c r="A29" s="265" t="s">
        <v>374</v>
      </c>
      <c r="B29" s="204" t="s">
        <v>27</v>
      </c>
      <c r="C29" s="250"/>
      <c r="D29" s="186" t="s">
        <v>426</v>
      </c>
    </row>
    <row r="30" spans="1:4" ht="24.95" customHeight="1" x14ac:dyDescent="0.25">
      <c r="A30" s="265" t="s">
        <v>374</v>
      </c>
      <c r="B30" s="204" t="s">
        <v>30</v>
      </c>
      <c r="C30" s="250"/>
      <c r="D30" s="186" t="s">
        <v>426</v>
      </c>
    </row>
    <row r="31" spans="1:4" ht="24.95" customHeight="1" x14ac:dyDescent="0.25">
      <c r="A31" s="265" t="s">
        <v>374</v>
      </c>
      <c r="B31" s="206" t="s">
        <v>371</v>
      </c>
      <c r="C31" s="250"/>
      <c r="D31" s="186" t="s">
        <v>426</v>
      </c>
    </row>
    <row r="32" spans="1:4" ht="24.95" customHeight="1" x14ac:dyDescent="0.25">
      <c r="A32" s="265" t="s">
        <v>374</v>
      </c>
      <c r="B32" s="204" t="s">
        <v>13</v>
      </c>
      <c r="C32" s="250"/>
      <c r="D32" s="186" t="s">
        <v>426</v>
      </c>
    </row>
    <row r="33" spans="1:4" ht="24.95" customHeight="1" x14ac:dyDescent="0.25">
      <c r="A33" s="265" t="str">
        <f>IF($C$19="No","Yes","No")</f>
        <v>No</v>
      </c>
      <c r="B33" s="196" t="s">
        <v>6</v>
      </c>
      <c r="C33" s="263"/>
    </row>
    <row r="34" spans="1:4" ht="24.95" customHeight="1" x14ac:dyDescent="0.25">
      <c r="A34" s="265" t="str">
        <f>IF($C$19="No","Yes","No")</f>
        <v>No</v>
      </c>
      <c r="B34" s="196" t="s">
        <v>7</v>
      </c>
      <c r="C34" s="251"/>
    </row>
    <row r="35" spans="1:4" ht="24.95" customHeight="1" x14ac:dyDescent="0.25">
      <c r="A35" s="265" t="str">
        <f>IF($C$19="No","Yes","No")</f>
        <v>No</v>
      </c>
      <c r="B35" s="196" t="s">
        <v>12</v>
      </c>
      <c r="C35" s="251"/>
    </row>
    <row r="36" spans="1:4" ht="24.95" customHeight="1" x14ac:dyDescent="0.25">
      <c r="A36" s="265" t="str">
        <f>IF($C$19="No","Yes","No")</f>
        <v>No</v>
      </c>
      <c r="B36" s="196" t="s">
        <v>8</v>
      </c>
      <c r="C36" s="251"/>
    </row>
    <row r="37" spans="1:4" ht="24.95" customHeight="1" x14ac:dyDescent="0.25">
      <c r="A37" s="265" t="str">
        <f>IF($C$19="No","Yes","No")</f>
        <v>No</v>
      </c>
      <c r="B37" s="197" t="s">
        <v>9</v>
      </c>
      <c r="C37" s="252"/>
    </row>
    <row r="38" spans="1:4" ht="24.95" customHeight="1" x14ac:dyDescent="0.25">
      <c r="A38" s="265">
        <f>$C$29</f>
        <v>0</v>
      </c>
      <c r="B38" s="195" t="s">
        <v>14</v>
      </c>
      <c r="C38" s="248"/>
    </row>
    <row r="39" spans="1:4" ht="24.95" customHeight="1" x14ac:dyDescent="0.25">
      <c r="A39" s="265">
        <f t="shared" ref="A39:A46" si="0">$C$29</f>
        <v>0</v>
      </c>
      <c r="B39" s="196" t="s">
        <v>16</v>
      </c>
      <c r="C39" s="251"/>
    </row>
    <row r="40" spans="1:4" ht="24.95" customHeight="1" x14ac:dyDescent="0.25">
      <c r="A40" s="265">
        <f t="shared" si="0"/>
        <v>0</v>
      </c>
      <c r="B40" s="196" t="s">
        <v>15</v>
      </c>
      <c r="C40" s="251"/>
    </row>
    <row r="41" spans="1:4" ht="24.95" customHeight="1" x14ac:dyDescent="0.25">
      <c r="A41" s="265">
        <f t="shared" si="0"/>
        <v>0</v>
      </c>
      <c r="B41" s="196" t="s">
        <v>18</v>
      </c>
      <c r="C41" s="251"/>
    </row>
    <row r="42" spans="1:4" ht="24.95" customHeight="1" x14ac:dyDescent="0.25">
      <c r="A42" s="265">
        <f t="shared" si="0"/>
        <v>0</v>
      </c>
      <c r="B42" s="196" t="s">
        <v>17</v>
      </c>
      <c r="C42" s="251"/>
    </row>
    <row r="43" spans="1:4" ht="24.95" customHeight="1" x14ac:dyDescent="0.25">
      <c r="A43" s="265">
        <f t="shared" si="0"/>
        <v>0</v>
      </c>
      <c r="B43" s="196" t="s">
        <v>19</v>
      </c>
      <c r="C43" s="251"/>
    </row>
    <row r="44" spans="1:4" ht="24.95" customHeight="1" x14ac:dyDescent="0.25">
      <c r="A44" s="265">
        <f t="shared" si="0"/>
        <v>0</v>
      </c>
      <c r="B44" s="196" t="s">
        <v>20</v>
      </c>
      <c r="C44" s="251"/>
    </row>
    <row r="45" spans="1:4" ht="24.95" customHeight="1" x14ac:dyDescent="0.25">
      <c r="A45" s="265">
        <f t="shared" si="0"/>
        <v>0</v>
      </c>
      <c r="B45" s="196" t="s">
        <v>21</v>
      </c>
      <c r="C45" s="251"/>
    </row>
    <row r="46" spans="1:4" ht="24.95" customHeight="1" x14ac:dyDescent="0.25">
      <c r="A46" s="265">
        <f t="shared" si="0"/>
        <v>0</v>
      </c>
      <c r="B46" s="197" t="s">
        <v>22</v>
      </c>
      <c r="C46" s="252"/>
    </row>
    <row r="47" spans="1:4" ht="24.95" customHeight="1" x14ac:dyDescent="0.25">
      <c r="A47" s="265" t="s">
        <v>374</v>
      </c>
      <c r="B47" s="194" t="s">
        <v>370</v>
      </c>
      <c r="C47" s="258"/>
    </row>
    <row r="48" spans="1:4" ht="24.95" customHeight="1" x14ac:dyDescent="0.25">
      <c r="A48" s="265" t="s">
        <v>374</v>
      </c>
      <c r="B48" s="198" t="s">
        <v>39</v>
      </c>
      <c r="C48" s="250"/>
      <c r="D48" s="186" t="s">
        <v>426</v>
      </c>
    </row>
    <row r="49" spans="1:4" ht="24.95" customHeight="1" x14ac:dyDescent="0.25">
      <c r="A49" s="265" t="s">
        <v>374</v>
      </c>
      <c r="B49" s="198" t="s">
        <v>40</v>
      </c>
      <c r="C49" s="250"/>
      <c r="D49" s="186" t="s">
        <v>426</v>
      </c>
    </row>
    <row r="50" spans="1:4" ht="24.95" customHeight="1" x14ac:dyDescent="0.25">
      <c r="A50" s="265" t="s">
        <v>374</v>
      </c>
      <c r="B50" s="198" t="s">
        <v>41</v>
      </c>
      <c r="C50" s="250"/>
      <c r="D50" s="186" t="s">
        <v>426</v>
      </c>
    </row>
    <row r="51" spans="1:4" ht="24.95" customHeight="1" x14ac:dyDescent="0.25">
      <c r="A51" s="265" t="s">
        <v>374</v>
      </c>
      <c r="B51" s="198" t="s">
        <v>10</v>
      </c>
      <c r="C51" s="250"/>
      <c r="D51" s="186" t="s">
        <v>426</v>
      </c>
    </row>
    <row r="52" spans="1:4" ht="24.95" customHeight="1" x14ac:dyDescent="0.25">
      <c r="A52" s="265" t="s">
        <v>374</v>
      </c>
      <c r="B52" s="198" t="s">
        <v>42</v>
      </c>
      <c r="C52" s="250"/>
      <c r="D52" s="186" t="s">
        <v>426</v>
      </c>
    </row>
    <row r="53" spans="1:4" ht="24.95" customHeight="1" x14ac:dyDescent="0.25">
      <c r="A53" s="265" t="str" cm="1">
        <f t="array" ref="A53">IF(OR($C$48:$C$50="Yes"),"Yes","No")</f>
        <v>No</v>
      </c>
      <c r="B53" s="196" t="s">
        <v>38</v>
      </c>
      <c r="C53" s="251"/>
    </row>
    <row r="54" spans="1:4" ht="24.95" customHeight="1" x14ac:dyDescent="0.25">
      <c r="A54" s="265" t="str" cm="1">
        <f t="array" ref="A54">IF(OR($C$48:$C$50="Yes"),"Yes","No")</f>
        <v>No</v>
      </c>
      <c r="B54" s="196" t="s">
        <v>37</v>
      </c>
      <c r="C54" s="251"/>
    </row>
    <row r="55" spans="1:4" ht="24.95" customHeight="1" x14ac:dyDescent="0.25">
      <c r="A55" s="265" t="s">
        <v>374</v>
      </c>
      <c r="B55" s="196" t="s">
        <v>36</v>
      </c>
      <c r="C55" s="251"/>
    </row>
    <row r="56" spans="1:4" ht="24.95" customHeight="1" x14ac:dyDescent="0.25">
      <c r="A56" s="265" t="str" cm="1">
        <f t="array" ref="A56">IF(OR($C$48:$C$50="Yes"),"Yes","No")</f>
        <v>No</v>
      </c>
      <c r="B56" s="196" t="s">
        <v>35</v>
      </c>
      <c r="C56" s="251"/>
    </row>
    <row r="57" spans="1:4" ht="24.95" customHeight="1" x14ac:dyDescent="0.25">
      <c r="A57" s="265" t="str" cm="1">
        <f t="array" ref="A57">IF(OR($C$48:$C$50="Yes"),"Yes","No")</f>
        <v>No</v>
      </c>
      <c r="B57" s="196" t="s">
        <v>34</v>
      </c>
      <c r="C57" s="251"/>
    </row>
    <row r="58" spans="1:4" ht="24.95" customHeight="1" x14ac:dyDescent="0.25">
      <c r="A58" s="265" t="s">
        <v>374</v>
      </c>
      <c r="B58" s="196" t="s">
        <v>33</v>
      </c>
      <c r="C58" s="251"/>
    </row>
    <row r="59" spans="1:4" ht="24.95" customHeight="1" x14ac:dyDescent="0.25">
      <c r="A59" s="265" t="str" cm="1">
        <f t="array" ref="A59">IF(OR($C$48:$C$50="Yes"),"Yes","No")</f>
        <v>No</v>
      </c>
      <c r="B59" s="197" t="s">
        <v>32</v>
      </c>
      <c r="C59" s="252"/>
    </row>
    <row r="60" spans="1:4" ht="24.95" customHeight="1" x14ac:dyDescent="0.25">
      <c r="A60" s="265" t="str">
        <f>IF($C$30="Yes","No","Yes")</f>
        <v>Yes</v>
      </c>
      <c r="B60" s="194" t="s">
        <v>379</v>
      </c>
      <c r="C60" s="258"/>
    </row>
    <row r="61" spans="1:4" ht="24.95" customHeight="1" x14ac:dyDescent="0.25">
      <c r="A61" s="265" t="str">
        <f>IF($C$30="Yes","No","Yes")</f>
        <v>Yes</v>
      </c>
      <c r="B61" s="196" t="s">
        <v>479</v>
      </c>
      <c r="C61" s="250"/>
      <c r="D61" s="186" t="s">
        <v>426</v>
      </c>
    </row>
    <row r="62" spans="1:4" ht="36" customHeight="1" x14ac:dyDescent="0.25">
      <c r="A62" s="265" t="str">
        <f>IF(C61="Yes","No","Yes")</f>
        <v>Yes</v>
      </c>
      <c r="B62" s="261" t="s">
        <v>485</v>
      </c>
      <c r="C62" s="251"/>
      <c r="D62" s="186" t="s">
        <v>427</v>
      </c>
    </row>
    <row r="63" spans="1:4" ht="24.95" customHeight="1" x14ac:dyDescent="0.25">
      <c r="A63" s="265">
        <f>$C$61</f>
        <v>0</v>
      </c>
      <c r="B63" s="196" t="s">
        <v>480</v>
      </c>
      <c r="C63" s="251"/>
      <c r="D63" s="186" t="s">
        <v>427</v>
      </c>
    </row>
    <row r="64" spans="1:4" ht="24.95" customHeight="1" x14ac:dyDescent="0.25">
      <c r="A64" s="265">
        <f t="shared" ref="A64:A67" si="1">$C$61</f>
        <v>0</v>
      </c>
      <c r="B64" s="196" t="s">
        <v>484</v>
      </c>
      <c r="C64" s="251"/>
      <c r="D64" s="186" t="s">
        <v>427</v>
      </c>
    </row>
    <row r="65" spans="1:6" ht="24.95" customHeight="1" x14ac:dyDescent="0.25">
      <c r="A65" s="265">
        <f t="shared" si="1"/>
        <v>0</v>
      </c>
      <c r="B65" s="196" t="s">
        <v>481</v>
      </c>
      <c r="C65" s="251"/>
      <c r="D65" s="186" t="s">
        <v>427</v>
      </c>
    </row>
    <row r="66" spans="1:6" ht="24.95" customHeight="1" x14ac:dyDescent="0.25">
      <c r="A66" s="265">
        <f t="shared" si="1"/>
        <v>0</v>
      </c>
      <c r="B66" s="196" t="s">
        <v>482</v>
      </c>
      <c r="C66" s="251"/>
      <c r="D66" s="186" t="s">
        <v>427</v>
      </c>
    </row>
    <row r="67" spans="1:6" ht="24.95" customHeight="1" x14ac:dyDescent="0.25">
      <c r="A67" s="265">
        <f t="shared" si="1"/>
        <v>0</v>
      </c>
      <c r="B67" s="196" t="s">
        <v>483</v>
      </c>
      <c r="C67" s="251"/>
      <c r="D67" s="186" t="s">
        <v>427</v>
      </c>
    </row>
    <row r="68" spans="1:6" ht="24.95" customHeight="1" x14ac:dyDescent="0.25">
      <c r="A68" s="265">
        <f t="shared" ref="A68:A73" si="2">AG</f>
        <v>0</v>
      </c>
      <c r="B68" s="194" t="s">
        <v>525</v>
      </c>
      <c r="C68" s="258"/>
      <c r="E68" s="30"/>
      <c r="F68" s="199"/>
    </row>
    <row r="69" spans="1:6" ht="24.95" customHeight="1" x14ac:dyDescent="0.25">
      <c r="A69" s="265">
        <f t="shared" si="2"/>
        <v>0</v>
      </c>
      <c r="B69" s="196"/>
      <c r="C69" s="251"/>
    </row>
    <row r="70" spans="1:6" ht="24.95" customHeight="1" x14ac:dyDescent="0.25">
      <c r="A70" s="265">
        <f t="shared" si="2"/>
        <v>0</v>
      </c>
      <c r="B70" s="196"/>
      <c r="C70" s="253"/>
    </row>
    <row r="71" spans="1:6" ht="24.95" customHeight="1" x14ac:dyDescent="0.25">
      <c r="A71" s="265">
        <f t="shared" si="2"/>
        <v>0</v>
      </c>
      <c r="B71" s="196"/>
      <c r="C71" s="257"/>
    </row>
    <row r="72" spans="1:6" ht="24.95" customHeight="1" x14ac:dyDescent="0.25">
      <c r="A72" s="265">
        <f t="shared" si="2"/>
        <v>0</v>
      </c>
      <c r="B72" s="196"/>
      <c r="C72" s="257"/>
    </row>
    <row r="73" spans="1:6" ht="24.95" customHeight="1" x14ac:dyDescent="0.25">
      <c r="A73" s="265">
        <f t="shared" si="2"/>
        <v>0</v>
      </c>
      <c r="B73" s="196"/>
      <c r="C73" s="257"/>
    </row>
    <row r="74" spans="1:6" ht="24.95" customHeight="1" x14ac:dyDescent="0.25">
      <c r="A74" s="265">
        <f t="shared" ref="A74:A79" si="3">DEM</f>
        <v>0</v>
      </c>
      <c r="B74" s="194" t="s">
        <v>23</v>
      </c>
      <c r="C74" s="258"/>
      <c r="E74" s="30"/>
      <c r="F74" s="199"/>
    </row>
    <row r="75" spans="1:6" ht="24.95" customHeight="1" x14ac:dyDescent="0.25">
      <c r="A75" s="265">
        <f t="shared" si="3"/>
        <v>0</v>
      </c>
      <c r="B75" s="196" t="s">
        <v>250</v>
      </c>
      <c r="C75" s="251"/>
      <c r="D75" s="186" t="s">
        <v>428</v>
      </c>
    </row>
    <row r="76" spans="1:6" ht="24.95" customHeight="1" x14ac:dyDescent="0.25">
      <c r="A76" s="265">
        <f t="shared" si="3"/>
        <v>0</v>
      </c>
      <c r="B76" s="196" t="s">
        <v>378</v>
      </c>
      <c r="C76" s="253"/>
      <c r="D76" s="186" t="s">
        <v>429</v>
      </c>
    </row>
    <row r="77" spans="1:6" ht="24.95" customHeight="1" x14ac:dyDescent="0.25">
      <c r="A77" s="265">
        <f t="shared" si="3"/>
        <v>0</v>
      </c>
      <c r="B77" s="196" t="s">
        <v>375</v>
      </c>
      <c r="C77" s="257"/>
      <c r="D77" s="186" t="s">
        <v>425</v>
      </c>
    </row>
    <row r="78" spans="1:6" ht="24.95" customHeight="1" x14ac:dyDescent="0.25">
      <c r="A78" s="265">
        <f t="shared" si="3"/>
        <v>0</v>
      </c>
      <c r="B78" s="196" t="s">
        <v>376</v>
      </c>
      <c r="C78" s="257"/>
      <c r="D78" s="186" t="s">
        <v>425</v>
      </c>
    </row>
    <row r="79" spans="1:6" ht="24.95" customHeight="1" x14ac:dyDescent="0.25">
      <c r="A79" s="265">
        <f t="shared" si="3"/>
        <v>0</v>
      </c>
      <c r="B79" s="196" t="s">
        <v>377</v>
      </c>
      <c r="C79" s="257"/>
      <c r="D79" s="186" t="s">
        <v>425</v>
      </c>
    </row>
    <row r="80" spans="1:6" ht="24.95" customHeight="1" x14ac:dyDescent="0.25">
      <c r="A80" s="265">
        <f t="shared" ref="A80:A90" si="4">GRADE</f>
        <v>0</v>
      </c>
      <c r="B80" s="194" t="s">
        <v>24</v>
      </c>
      <c r="C80" s="258"/>
    </row>
    <row r="81" spans="1:5" ht="24.95" customHeight="1" x14ac:dyDescent="0.25">
      <c r="A81" s="265">
        <f t="shared" si="4"/>
        <v>0</v>
      </c>
      <c r="B81" s="196" t="s">
        <v>469</v>
      </c>
      <c r="C81" s="250"/>
      <c r="D81" s="186" t="s">
        <v>425</v>
      </c>
    </row>
    <row r="82" spans="1:5" ht="24.95" customHeight="1" x14ac:dyDescent="0.25">
      <c r="A82" s="265">
        <f t="shared" si="4"/>
        <v>0</v>
      </c>
      <c r="B82" s="196" t="s">
        <v>470</v>
      </c>
      <c r="C82" s="250"/>
      <c r="D82" s="186" t="s">
        <v>425</v>
      </c>
    </row>
    <row r="83" spans="1:5" ht="24.95" customHeight="1" x14ac:dyDescent="0.25">
      <c r="A83" s="265">
        <f t="shared" si="4"/>
        <v>0</v>
      </c>
      <c r="B83" s="196" t="s">
        <v>471</v>
      </c>
      <c r="C83" s="250"/>
      <c r="D83" s="186" t="s">
        <v>425</v>
      </c>
    </row>
    <row r="84" spans="1:5" ht="24.95" customHeight="1" x14ac:dyDescent="0.25">
      <c r="A84" s="265">
        <f t="shared" si="4"/>
        <v>0</v>
      </c>
      <c r="B84" s="200" t="s">
        <v>472</v>
      </c>
      <c r="C84" s="250"/>
      <c r="D84" s="186" t="s">
        <v>425</v>
      </c>
    </row>
    <row r="85" spans="1:5" ht="24.95" customHeight="1" x14ac:dyDescent="0.25">
      <c r="A85" s="265">
        <f t="shared" si="4"/>
        <v>0</v>
      </c>
      <c r="B85" s="196" t="s">
        <v>473</v>
      </c>
      <c r="C85" s="250"/>
      <c r="D85" s="186" t="s">
        <v>425</v>
      </c>
    </row>
    <row r="86" spans="1:5" ht="24.95" customHeight="1" x14ac:dyDescent="0.25">
      <c r="A86" s="265">
        <f t="shared" si="4"/>
        <v>0</v>
      </c>
      <c r="B86" s="196" t="s">
        <v>474</v>
      </c>
      <c r="C86" s="250"/>
      <c r="D86" s="186" t="s">
        <v>425</v>
      </c>
    </row>
    <row r="87" spans="1:5" ht="24.95" customHeight="1" x14ac:dyDescent="0.25">
      <c r="A87" s="265">
        <f t="shared" si="4"/>
        <v>0</v>
      </c>
      <c r="B87" s="200" t="s">
        <v>475</v>
      </c>
      <c r="C87" s="250"/>
      <c r="D87" s="186" t="s">
        <v>425</v>
      </c>
    </row>
    <row r="88" spans="1:5" ht="24.95" customHeight="1" x14ac:dyDescent="0.25">
      <c r="A88" s="265">
        <f t="shared" si="4"/>
        <v>0</v>
      </c>
      <c r="B88" s="200" t="s">
        <v>476</v>
      </c>
      <c r="C88" s="250"/>
      <c r="D88" s="186" t="s">
        <v>425</v>
      </c>
    </row>
    <row r="89" spans="1:5" ht="24.95" customHeight="1" x14ac:dyDescent="0.25">
      <c r="A89" s="265">
        <f t="shared" si="4"/>
        <v>0</v>
      </c>
      <c r="B89" s="200" t="s">
        <v>477</v>
      </c>
      <c r="C89" s="250"/>
      <c r="D89" s="186" t="s">
        <v>425</v>
      </c>
    </row>
    <row r="90" spans="1:5" ht="24.95" customHeight="1" x14ac:dyDescent="0.25">
      <c r="A90" s="265">
        <f t="shared" si="4"/>
        <v>0</v>
      </c>
      <c r="B90" s="200" t="s">
        <v>478</v>
      </c>
      <c r="C90" s="250"/>
      <c r="D90" s="186" t="s">
        <v>425</v>
      </c>
    </row>
    <row r="91" spans="1:5" ht="24.95" customHeight="1" x14ac:dyDescent="0.25">
      <c r="A91" s="265">
        <f>POOL</f>
        <v>0</v>
      </c>
      <c r="B91" s="194" t="s">
        <v>28</v>
      </c>
      <c r="C91" s="258"/>
      <c r="E91" s="201"/>
    </row>
    <row r="92" spans="1:5" ht="24.95" customHeight="1" x14ac:dyDescent="0.25">
      <c r="A92" s="265">
        <f>POOL</f>
        <v>0</v>
      </c>
      <c r="B92" s="196" t="s">
        <v>494</v>
      </c>
      <c r="C92" s="256"/>
      <c r="D92" s="186" t="s">
        <v>426</v>
      </c>
      <c r="E92" s="201"/>
    </row>
    <row r="93" spans="1:5" ht="24.95" customHeight="1" x14ac:dyDescent="0.25">
      <c r="A93" s="265">
        <f>POOL</f>
        <v>0</v>
      </c>
      <c r="B93" s="197" t="s">
        <v>495</v>
      </c>
      <c r="C93" s="252"/>
      <c r="D93" s="186" t="s">
        <v>427</v>
      </c>
      <c r="E93" s="202"/>
    </row>
    <row r="94" spans="1:5" ht="24.95" customHeight="1" x14ac:dyDescent="0.25">
      <c r="A94" s="265">
        <f>ELC</f>
        <v>0</v>
      </c>
      <c r="B94" s="194" t="s">
        <v>254</v>
      </c>
      <c r="C94" s="259"/>
    </row>
    <row r="95" spans="1:5" ht="24.95" customHeight="1" x14ac:dyDescent="0.25">
      <c r="A95" s="265">
        <f>ELC</f>
        <v>0</v>
      </c>
      <c r="B95" s="196" t="s">
        <v>496</v>
      </c>
      <c r="C95" s="256"/>
      <c r="D95" s="186" t="s">
        <v>426</v>
      </c>
    </row>
    <row r="96" spans="1:5" ht="24.95" customHeight="1" x14ac:dyDescent="0.25">
      <c r="A96" s="265">
        <f>C95</f>
        <v>0</v>
      </c>
      <c r="B96" s="196" t="s">
        <v>497</v>
      </c>
      <c r="C96" s="250"/>
      <c r="D96" s="186" t="s">
        <v>425</v>
      </c>
    </row>
    <row r="97" spans="1:4" ht="24.95" customHeight="1" x14ac:dyDescent="0.25">
      <c r="A97" s="265">
        <f>C95</f>
        <v>0</v>
      </c>
      <c r="B97" s="196" t="s">
        <v>498</v>
      </c>
      <c r="C97" s="250"/>
      <c r="D97" s="186" t="s">
        <v>425</v>
      </c>
    </row>
    <row r="98" spans="1:4" ht="24.95" customHeight="1" x14ac:dyDescent="0.25">
      <c r="A98" s="265">
        <f>ELC</f>
        <v>0</v>
      </c>
      <c r="B98" s="261" t="s">
        <v>514</v>
      </c>
      <c r="C98" s="256"/>
      <c r="D98" s="186" t="s">
        <v>426</v>
      </c>
    </row>
    <row r="99" spans="1:4" ht="24.95" customHeight="1" x14ac:dyDescent="0.25">
      <c r="A99" s="265">
        <f>C98</f>
        <v>0</v>
      </c>
      <c r="B99" s="196" t="s">
        <v>504</v>
      </c>
      <c r="C99" s="250"/>
      <c r="D99" s="186" t="s">
        <v>425</v>
      </c>
    </row>
    <row r="100" spans="1:4" ht="24.95" customHeight="1" x14ac:dyDescent="0.25">
      <c r="A100" s="265">
        <f>ELC</f>
        <v>0</v>
      </c>
      <c r="B100" s="196" t="s">
        <v>500</v>
      </c>
      <c r="C100" s="256"/>
      <c r="D100" s="186" t="s">
        <v>426</v>
      </c>
    </row>
    <row r="101" spans="1:4" ht="24.95" customHeight="1" x14ac:dyDescent="0.25">
      <c r="A101" s="265">
        <f>ELC</f>
        <v>0</v>
      </c>
      <c r="B101" s="196" t="s">
        <v>501</v>
      </c>
      <c r="C101" s="256"/>
      <c r="D101" s="186" t="s">
        <v>426</v>
      </c>
    </row>
    <row r="102" spans="1:4" ht="24.95" customHeight="1" x14ac:dyDescent="0.25">
      <c r="A102" s="265">
        <f>ELC</f>
        <v>0</v>
      </c>
      <c r="B102" s="196" t="s">
        <v>508</v>
      </c>
      <c r="C102" s="256"/>
      <c r="D102" s="186" t="s">
        <v>426</v>
      </c>
    </row>
    <row r="103" spans="1:4" ht="24.95" customHeight="1" x14ac:dyDescent="0.25">
      <c r="A103" s="265">
        <f>ELC</f>
        <v>0</v>
      </c>
      <c r="B103" s="196" t="s">
        <v>502</v>
      </c>
      <c r="C103" s="256"/>
      <c r="D103" s="186" t="s">
        <v>426</v>
      </c>
    </row>
    <row r="104" spans="1:4" ht="24.95" customHeight="1" x14ac:dyDescent="0.25">
      <c r="A104" s="265" t="str">
        <f>IF(AND(ELC="Yes",C103="Yes"),"Yes","No")</f>
        <v>No</v>
      </c>
      <c r="B104" s="196" t="s">
        <v>503</v>
      </c>
      <c r="C104" s="250"/>
      <c r="D104" s="186" t="s">
        <v>425</v>
      </c>
    </row>
    <row r="105" spans="1:4" ht="24.95" customHeight="1" x14ac:dyDescent="0.25">
      <c r="A105" s="265">
        <f>ELC</f>
        <v>0</v>
      </c>
      <c r="B105" s="196" t="s">
        <v>499</v>
      </c>
      <c r="C105" s="256"/>
      <c r="D105" s="186" t="s">
        <v>426</v>
      </c>
    </row>
    <row r="106" spans="1:4" ht="24.95" customHeight="1" x14ac:dyDescent="0.25">
      <c r="A106" s="265">
        <f>MCH</f>
        <v>0</v>
      </c>
      <c r="B106" s="194" t="s">
        <v>25</v>
      </c>
      <c r="C106" s="258"/>
    </row>
    <row r="107" spans="1:4" ht="24.95" customHeight="1" x14ac:dyDescent="0.25">
      <c r="A107" s="265">
        <f>MCH</f>
        <v>0</v>
      </c>
      <c r="B107" s="196" t="s">
        <v>507</v>
      </c>
      <c r="C107" s="256"/>
      <c r="D107" s="186" t="s">
        <v>426</v>
      </c>
    </row>
    <row r="108" spans="1:4" ht="24.95" customHeight="1" x14ac:dyDescent="0.25">
      <c r="A108" s="265" t="str">
        <f>IF(AND(MCH="Yes",C107="Yes"),"Yes","No")</f>
        <v>No</v>
      </c>
      <c r="B108" s="196" t="s">
        <v>512</v>
      </c>
      <c r="C108" s="250"/>
      <c r="D108" s="186" t="s">
        <v>425</v>
      </c>
    </row>
    <row r="109" spans="1:4" ht="24.95" customHeight="1" x14ac:dyDescent="0.25">
      <c r="A109" s="265">
        <f>MCH</f>
        <v>0</v>
      </c>
      <c r="B109" s="196" t="s">
        <v>505</v>
      </c>
      <c r="C109" s="256"/>
      <c r="D109" s="186" t="s">
        <v>426</v>
      </c>
    </row>
    <row r="110" spans="1:4" ht="24.95" customHeight="1" x14ac:dyDescent="0.25">
      <c r="A110" s="265" t="str">
        <f>IF(AND(MCH="Yes",C109="Yes"),"Yes","No")</f>
        <v>No</v>
      </c>
      <c r="B110" s="196" t="s">
        <v>506</v>
      </c>
      <c r="C110" s="256"/>
    </row>
    <row r="111" spans="1:4" ht="24.95" customHeight="1" x14ac:dyDescent="0.25">
      <c r="A111" s="265" t="str">
        <f>IF(AND(MCH="Yes",C109="Yes"),"Yes","No")</f>
        <v>No</v>
      </c>
      <c r="B111" s="196" t="s">
        <v>513</v>
      </c>
      <c r="C111" s="250"/>
      <c r="D111" s="186" t="s">
        <v>425</v>
      </c>
    </row>
    <row r="112" spans="1:4" ht="24.95" customHeight="1" x14ac:dyDescent="0.25">
      <c r="A112" s="265">
        <f>PLB</f>
        <v>0</v>
      </c>
      <c r="B112" s="194" t="s">
        <v>26</v>
      </c>
      <c r="C112" s="258"/>
    </row>
    <row r="113" spans="1:4" ht="24.95" customHeight="1" x14ac:dyDescent="0.25">
      <c r="A113" s="265">
        <f>PLB</f>
        <v>0</v>
      </c>
      <c r="B113" s="196" t="s">
        <v>517</v>
      </c>
      <c r="C113" s="256"/>
      <c r="D113" s="186" t="s">
        <v>426</v>
      </c>
    </row>
    <row r="114" spans="1:4" ht="24.95" customHeight="1" x14ac:dyDescent="0.25">
      <c r="A114" s="265">
        <f>C113</f>
        <v>0</v>
      </c>
      <c r="B114" s="196" t="s">
        <v>520</v>
      </c>
      <c r="C114" s="256"/>
      <c r="D114" s="186" t="s">
        <v>426</v>
      </c>
    </row>
    <row r="115" spans="1:4" ht="24.95" customHeight="1" x14ac:dyDescent="0.25">
      <c r="A115" s="265">
        <f>C113</f>
        <v>0</v>
      </c>
      <c r="B115" s="196" t="s">
        <v>518</v>
      </c>
      <c r="C115" s="256"/>
      <c r="D115" s="186" t="s">
        <v>426</v>
      </c>
    </row>
    <row r="116" spans="1:4" ht="24.95" customHeight="1" x14ac:dyDescent="0.25">
      <c r="A116" s="265">
        <f>C113</f>
        <v>0</v>
      </c>
      <c r="B116" s="196" t="s">
        <v>519</v>
      </c>
      <c r="C116" s="256"/>
      <c r="D116" s="186" t="s">
        <v>426</v>
      </c>
    </row>
    <row r="117" spans="1:4" ht="24.95" customHeight="1" x14ac:dyDescent="0.25">
      <c r="A117" s="265">
        <f>PLB</f>
        <v>0</v>
      </c>
      <c r="B117" s="196" t="s">
        <v>509</v>
      </c>
      <c r="C117" s="256"/>
      <c r="D117" s="186" t="s">
        <v>426</v>
      </c>
    </row>
    <row r="118" spans="1:4" ht="24.95" customHeight="1" x14ac:dyDescent="0.25">
      <c r="A118" s="265">
        <f>C117</f>
        <v>0</v>
      </c>
      <c r="B118" s="196" t="s">
        <v>510</v>
      </c>
      <c r="C118" s="256"/>
      <c r="D118" s="186" t="s">
        <v>426</v>
      </c>
    </row>
    <row r="119" spans="1:4" ht="24.95" customHeight="1" x14ac:dyDescent="0.25">
      <c r="A119" s="265" t="str">
        <f>IF(C118="No","Yes","No")</f>
        <v>No</v>
      </c>
      <c r="B119" s="196" t="s">
        <v>511</v>
      </c>
      <c r="C119" s="251"/>
      <c r="D119" s="186" t="s">
        <v>427</v>
      </c>
    </row>
    <row r="120" spans="1:4" ht="24.95" customHeight="1" x14ac:dyDescent="0.25">
      <c r="A120" s="265">
        <f>PLB</f>
        <v>0</v>
      </c>
      <c r="B120" s="196" t="s">
        <v>515</v>
      </c>
      <c r="C120" s="256"/>
      <c r="D120" s="186" t="s">
        <v>426</v>
      </c>
    </row>
    <row r="121" spans="1:4" ht="24.95" customHeight="1" x14ac:dyDescent="0.25">
      <c r="A121" s="265">
        <f>C120</f>
        <v>0</v>
      </c>
      <c r="B121" s="196" t="s">
        <v>516</v>
      </c>
      <c r="C121" s="250"/>
      <c r="D121" s="186" t="s">
        <v>425</v>
      </c>
    </row>
    <row r="122" spans="1:4" ht="24.95" customHeight="1" x14ac:dyDescent="0.25">
      <c r="A122" s="265">
        <f>PLB</f>
        <v>0</v>
      </c>
      <c r="B122" s="196" t="s">
        <v>521</v>
      </c>
      <c r="C122" s="256"/>
      <c r="D122" s="186" t="s">
        <v>426</v>
      </c>
    </row>
    <row r="123" spans="1:4" ht="24.95" customHeight="1" x14ac:dyDescent="0.25">
      <c r="A123" s="265">
        <f>PLB</f>
        <v>0</v>
      </c>
      <c r="B123" s="196" t="s">
        <v>522</v>
      </c>
      <c r="C123" s="256"/>
      <c r="D123" s="186" t="s">
        <v>426</v>
      </c>
    </row>
    <row r="124" spans="1:4" ht="24.95" customHeight="1" x14ac:dyDescent="0.25">
      <c r="A124" s="265">
        <f>PLB</f>
        <v>0</v>
      </c>
      <c r="B124" s="196" t="s">
        <v>523</v>
      </c>
      <c r="C124" s="256"/>
      <c r="D124" s="186" t="s">
        <v>426</v>
      </c>
    </row>
    <row r="125" spans="1:4" ht="24.95" customHeight="1" x14ac:dyDescent="0.25">
      <c r="A125" s="265">
        <f>PLB</f>
        <v>0</v>
      </c>
      <c r="B125" s="196" t="s">
        <v>524</v>
      </c>
      <c r="C125" s="256"/>
      <c r="D125" s="186" t="s">
        <v>426</v>
      </c>
    </row>
    <row r="126" spans="1:4" ht="24.95" customHeight="1" x14ac:dyDescent="0.25">
      <c r="A126" s="265" t="str">
        <f>IF($C$13="Addition","Yes","No")</f>
        <v>No</v>
      </c>
      <c r="B126" s="194" t="s">
        <v>391</v>
      </c>
      <c r="C126" s="259"/>
    </row>
    <row r="127" spans="1:4" ht="24.95" customHeight="1" x14ac:dyDescent="0.25">
      <c r="A127" s="265" t="str">
        <f>$A$126</f>
        <v>No</v>
      </c>
      <c r="B127" s="196" t="s">
        <v>465</v>
      </c>
      <c r="C127" s="259"/>
    </row>
    <row r="128" spans="1:4" ht="24.95" customHeight="1" x14ac:dyDescent="0.25">
      <c r="A128" s="265" t="str">
        <f>$A$126</f>
        <v>No</v>
      </c>
      <c r="B128" s="196" t="s">
        <v>389</v>
      </c>
      <c r="C128" s="250"/>
      <c r="D128" s="186" t="s">
        <v>426</v>
      </c>
    </row>
    <row r="129" spans="1:4" ht="24.95" customHeight="1" x14ac:dyDescent="0.25">
      <c r="A129" s="265" t="str">
        <f>$A$126</f>
        <v>No</v>
      </c>
      <c r="B129" s="196" t="s">
        <v>390</v>
      </c>
      <c r="C129" s="250"/>
      <c r="D129" s="186" t="s">
        <v>426</v>
      </c>
    </row>
    <row r="130" spans="1:4" ht="24.95" customHeight="1" x14ac:dyDescent="0.25">
      <c r="A130" s="265" t="str">
        <f>$A$126</f>
        <v>No</v>
      </c>
      <c r="B130" s="196" t="s">
        <v>392</v>
      </c>
      <c r="C130" s="250"/>
      <c r="D130" s="186" t="s">
        <v>426</v>
      </c>
    </row>
    <row r="131" spans="1:4" ht="24.95" customHeight="1" x14ac:dyDescent="0.25">
      <c r="A131" s="265" t="str">
        <f>$A$126</f>
        <v>No</v>
      </c>
      <c r="B131" s="197" t="s">
        <v>466</v>
      </c>
      <c r="C131" s="250"/>
      <c r="D131" s="186" t="s">
        <v>426</v>
      </c>
    </row>
    <row r="132" spans="1:4" ht="24.95" customHeight="1" x14ac:dyDescent="0.25">
      <c r="A132" s="265" t="str">
        <f>IF($C$13="Alteration/Repair/Replacement","Yes","No")</f>
        <v>No</v>
      </c>
      <c r="B132" s="194" t="s">
        <v>381</v>
      </c>
      <c r="C132" s="258"/>
    </row>
    <row r="133" spans="1:4" ht="24.95" customHeight="1" x14ac:dyDescent="0.25">
      <c r="A133" s="265" t="str">
        <f>$A$132</f>
        <v>No</v>
      </c>
      <c r="B133" s="196" t="s">
        <v>468</v>
      </c>
      <c r="C133" s="251"/>
    </row>
    <row r="134" spans="1:4" ht="24.95" customHeight="1" x14ac:dyDescent="0.25">
      <c r="A134" s="265" t="str">
        <f>$A$132</f>
        <v>No</v>
      </c>
      <c r="B134" s="203" t="s">
        <v>382</v>
      </c>
      <c r="C134" s="256"/>
      <c r="D134" s="186" t="s">
        <v>426</v>
      </c>
    </row>
    <row r="135" spans="1:4" ht="24.95" customHeight="1" x14ac:dyDescent="0.25">
      <c r="A135" s="265">
        <f>C134</f>
        <v>0</v>
      </c>
      <c r="B135" s="196" t="s">
        <v>399</v>
      </c>
      <c r="C135" s="260"/>
      <c r="D135" s="186" t="s">
        <v>431</v>
      </c>
    </row>
    <row r="136" spans="1:4" ht="24.95" customHeight="1" x14ac:dyDescent="0.25">
      <c r="A136" s="265">
        <f>C134</f>
        <v>0</v>
      </c>
      <c r="B136" s="196" t="s">
        <v>398</v>
      </c>
      <c r="C136" s="250"/>
    </row>
    <row r="137" spans="1:4" ht="24.95" customHeight="1" x14ac:dyDescent="0.25">
      <c r="A137" s="265" t="str">
        <f>IF($C$136="No","Yes","No")</f>
        <v>No</v>
      </c>
      <c r="B137" s="196" t="s">
        <v>397</v>
      </c>
      <c r="C137" s="250"/>
    </row>
    <row r="138" spans="1:4" ht="24.95" customHeight="1" x14ac:dyDescent="0.25">
      <c r="A138" s="265" t="str">
        <f>IF($C$137="Other","Yes","No")</f>
        <v>No</v>
      </c>
      <c r="B138" s="200" t="s">
        <v>530</v>
      </c>
      <c r="C138" s="251"/>
      <c r="D138" s="186" t="s">
        <v>427</v>
      </c>
    </row>
    <row r="139" spans="1:4" ht="24.95" customHeight="1" x14ac:dyDescent="0.25">
      <c r="A139" s="265">
        <f>C134</f>
        <v>0</v>
      </c>
      <c r="B139" s="196" t="s">
        <v>400</v>
      </c>
      <c r="C139" s="250"/>
    </row>
    <row r="140" spans="1:4" ht="24.95" customHeight="1" x14ac:dyDescent="0.25">
      <c r="A140" s="265" t="str">
        <f>IF($C$139="Other","Yes","No")</f>
        <v>No</v>
      </c>
      <c r="B140" s="197" t="s">
        <v>531</v>
      </c>
      <c r="C140" s="252"/>
      <c r="D140" s="186" t="s">
        <v>427</v>
      </c>
    </row>
    <row r="141" spans="1:4" ht="24.95" customHeight="1" x14ac:dyDescent="0.25">
      <c r="A141" s="265" t="str">
        <f t="shared" ref="A141:A147" si="5">$A$132</f>
        <v>No</v>
      </c>
      <c r="B141" s="203" t="s">
        <v>383</v>
      </c>
      <c r="C141" s="254"/>
      <c r="D141" s="186" t="s">
        <v>426</v>
      </c>
    </row>
    <row r="142" spans="1:4" ht="24.95" customHeight="1" x14ac:dyDescent="0.25">
      <c r="A142" s="265" t="str">
        <f t="shared" si="5"/>
        <v>No</v>
      </c>
      <c r="B142" s="196" t="s">
        <v>384</v>
      </c>
      <c r="C142" s="250"/>
      <c r="D142" s="186" t="s">
        <v>426</v>
      </c>
    </row>
    <row r="143" spans="1:4" ht="24.95" customHeight="1" x14ac:dyDescent="0.25">
      <c r="A143" s="265" t="str">
        <f t="shared" si="5"/>
        <v>No</v>
      </c>
      <c r="B143" s="196" t="s">
        <v>385</v>
      </c>
      <c r="C143" s="250"/>
      <c r="D143" s="186" t="s">
        <v>426</v>
      </c>
    </row>
    <row r="144" spans="1:4" ht="24.95" customHeight="1" x14ac:dyDescent="0.25">
      <c r="A144" s="265" t="str">
        <f t="shared" si="5"/>
        <v>No</v>
      </c>
      <c r="B144" s="196" t="s">
        <v>386</v>
      </c>
      <c r="C144" s="250"/>
      <c r="D144" s="186" t="s">
        <v>426</v>
      </c>
    </row>
    <row r="145" spans="1:4" ht="24.95" customHeight="1" x14ac:dyDescent="0.25">
      <c r="A145" s="265" t="str">
        <f t="shared" si="5"/>
        <v>No</v>
      </c>
      <c r="B145" s="196" t="s">
        <v>387</v>
      </c>
      <c r="C145" s="250"/>
      <c r="D145" s="186" t="s">
        <v>426</v>
      </c>
    </row>
    <row r="146" spans="1:4" ht="24.95" customHeight="1" x14ac:dyDescent="0.25">
      <c r="A146" s="265" t="str">
        <f t="shared" si="5"/>
        <v>No</v>
      </c>
      <c r="B146" s="196" t="s">
        <v>388</v>
      </c>
      <c r="C146" s="250"/>
      <c r="D146" s="186" t="s">
        <v>426</v>
      </c>
    </row>
    <row r="147" spans="1:4" ht="24.95" customHeight="1" x14ac:dyDescent="0.25">
      <c r="A147" s="265" t="str">
        <f t="shared" si="5"/>
        <v>No</v>
      </c>
      <c r="B147" s="197" t="s">
        <v>441</v>
      </c>
      <c r="C147" s="252"/>
      <c r="D147" s="186" t="s">
        <v>427</v>
      </c>
    </row>
    <row r="148" spans="1:4" ht="24.95" customHeight="1" x14ac:dyDescent="0.25">
      <c r="A148" s="265" t="str">
        <f>IF($C$13="New","Yes","No")</f>
        <v>No</v>
      </c>
      <c r="B148" s="194" t="s">
        <v>435</v>
      </c>
      <c r="C148" s="258"/>
    </row>
    <row r="149" spans="1:4" ht="24.95" customHeight="1" x14ac:dyDescent="0.25">
      <c r="A149" s="265" t="str">
        <f t="shared" ref="A149:A155" si="6">$A$148</f>
        <v>No</v>
      </c>
      <c r="B149" s="196" t="s">
        <v>380</v>
      </c>
      <c r="C149" s="259"/>
    </row>
    <row r="150" spans="1:4" ht="24.95" customHeight="1" x14ac:dyDescent="0.25">
      <c r="A150" s="265" t="str">
        <f t="shared" si="6"/>
        <v>No</v>
      </c>
      <c r="B150" s="196" t="s">
        <v>460</v>
      </c>
      <c r="C150" s="250"/>
      <c r="D150" s="186" t="s">
        <v>426</v>
      </c>
    </row>
    <row r="151" spans="1:4" ht="24.95" customHeight="1" x14ac:dyDescent="0.25">
      <c r="A151" s="265" t="str">
        <f t="shared" si="6"/>
        <v>No</v>
      </c>
      <c r="B151" s="200" t="s">
        <v>463</v>
      </c>
      <c r="C151" s="250"/>
      <c r="D151" s="186" t="s">
        <v>426</v>
      </c>
    </row>
    <row r="152" spans="1:4" ht="24.95" customHeight="1" x14ac:dyDescent="0.25">
      <c r="A152" s="265" t="str">
        <f t="shared" si="6"/>
        <v>No</v>
      </c>
      <c r="B152" s="200" t="s">
        <v>461</v>
      </c>
      <c r="C152" s="250"/>
      <c r="D152" s="186" t="s">
        <v>426</v>
      </c>
    </row>
    <row r="153" spans="1:4" ht="24.95" customHeight="1" x14ac:dyDescent="0.25">
      <c r="A153" s="265" t="str">
        <f t="shared" si="6"/>
        <v>No</v>
      </c>
      <c r="B153" s="200" t="s">
        <v>462</v>
      </c>
      <c r="C153" s="250"/>
      <c r="D153" s="186" t="s">
        <v>426</v>
      </c>
    </row>
    <row r="154" spans="1:4" ht="24.95" customHeight="1" x14ac:dyDescent="0.25">
      <c r="A154" s="265" t="str">
        <f t="shared" si="6"/>
        <v>No</v>
      </c>
      <c r="B154" s="200" t="s">
        <v>464</v>
      </c>
      <c r="C154" s="250"/>
      <c r="D154" s="186" t="s">
        <v>426</v>
      </c>
    </row>
    <row r="155" spans="1:4" ht="24.95" customHeight="1" x14ac:dyDescent="0.25">
      <c r="A155" s="265" t="str">
        <f t="shared" si="6"/>
        <v>No</v>
      </c>
      <c r="B155" s="196" t="s">
        <v>393</v>
      </c>
      <c r="C155" s="250"/>
      <c r="D155" s="186" t="s">
        <v>426</v>
      </c>
    </row>
    <row r="156" spans="1:4" ht="24.95" customHeight="1" x14ac:dyDescent="0.25">
      <c r="A156" s="265" t="str">
        <f>IF(C12="Commercial Building","Yes","No")</f>
        <v>No</v>
      </c>
      <c r="B156" s="194" t="s">
        <v>436</v>
      </c>
      <c r="C156" s="258"/>
    </row>
    <row r="157" spans="1:4" ht="24.95" customHeight="1" x14ac:dyDescent="0.25">
      <c r="A157" s="265" t="str">
        <f t="shared" ref="A157:A165" si="7">$A$156</f>
        <v>No</v>
      </c>
      <c r="B157" s="196" t="s">
        <v>442</v>
      </c>
      <c r="C157" s="250"/>
      <c r="D157" s="186" t="s">
        <v>426</v>
      </c>
    </row>
    <row r="158" spans="1:4" ht="24.95" customHeight="1" x14ac:dyDescent="0.25">
      <c r="A158" s="265" t="str">
        <f t="shared" si="7"/>
        <v>No</v>
      </c>
      <c r="B158" s="196" t="s">
        <v>443</v>
      </c>
      <c r="C158" s="250"/>
      <c r="D158" s="186" t="s">
        <v>426</v>
      </c>
    </row>
    <row r="159" spans="1:4" ht="24.95" customHeight="1" x14ac:dyDescent="0.25">
      <c r="A159" s="265" t="str">
        <f t="shared" si="7"/>
        <v>No</v>
      </c>
      <c r="B159" s="196" t="s">
        <v>444</v>
      </c>
      <c r="C159" s="250"/>
      <c r="D159" s="186" t="s">
        <v>426</v>
      </c>
    </row>
    <row r="160" spans="1:4" ht="24.95" customHeight="1" x14ac:dyDescent="0.25">
      <c r="A160" s="265" t="str">
        <f t="shared" si="7"/>
        <v>No</v>
      </c>
      <c r="B160" s="196" t="s">
        <v>29</v>
      </c>
      <c r="C160" s="250"/>
      <c r="D160" s="186" t="s">
        <v>426</v>
      </c>
    </row>
    <row r="161" spans="1:4" ht="24.95" customHeight="1" x14ac:dyDescent="0.25">
      <c r="A161" s="265" t="str">
        <f t="shared" si="7"/>
        <v>No</v>
      </c>
      <c r="B161" s="196" t="s">
        <v>445</v>
      </c>
      <c r="C161" s="250"/>
      <c r="D161" s="186" t="s">
        <v>426</v>
      </c>
    </row>
    <row r="162" spans="1:4" ht="24.95" customHeight="1" x14ac:dyDescent="0.25">
      <c r="A162" s="265" t="str">
        <f t="shared" si="7"/>
        <v>No</v>
      </c>
      <c r="B162" s="196" t="s">
        <v>446</v>
      </c>
      <c r="C162" s="250"/>
      <c r="D162" s="186" t="s">
        <v>426</v>
      </c>
    </row>
    <row r="163" spans="1:4" ht="24.95" customHeight="1" x14ac:dyDescent="0.25">
      <c r="A163" s="265" t="str">
        <f t="shared" si="7"/>
        <v>No</v>
      </c>
      <c r="B163" s="196" t="s">
        <v>447</v>
      </c>
      <c r="C163" s="250"/>
      <c r="D163" s="186" t="s">
        <v>426</v>
      </c>
    </row>
    <row r="164" spans="1:4" ht="24.95" customHeight="1" x14ac:dyDescent="0.25">
      <c r="A164" s="265" t="str">
        <f t="shared" si="7"/>
        <v>No</v>
      </c>
      <c r="B164" s="196" t="s">
        <v>448</v>
      </c>
      <c r="C164" s="250"/>
      <c r="D164" s="186" t="s">
        <v>426</v>
      </c>
    </row>
    <row r="165" spans="1:4" ht="24.95" customHeight="1" x14ac:dyDescent="0.25">
      <c r="A165" s="265" t="str">
        <f t="shared" si="7"/>
        <v>No</v>
      </c>
      <c r="B165" s="197" t="s">
        <v>441</v>
      </c>
      <c r="C165" s="252"/>
      <c r="D165" s="186" t="s">
        <v>427</v>
      </c>
    </row>
    <row r="166" spans="1:4" ht="24.95" customHeight="1" x14ac:dyDescent="0.25">
      <c r="A166" s="266">
        <f>C157</f>
        <v>0</v>
      </c>
      <c r="B166" s="195" t="s">
        <v>486</v>
      </c>
      <c r="C166" s="254"/>
      <c r="D166" s="186" t="s">
        <v>425</v>
      </c>
    </row>
    <row r="167" spans="1:4" ht="24.95" customHeight="1" x14ac:dyDescent="0.25">
      <c r="A167" s="266">
        <f t="shared" ref="A167:A173" si="8">C158</f>
        <v>0</v>
      </c>
      <c r="B167" s="196" t="s">
        <v>487</v>
      </c>
      <c r="C167" s="250"/>
      <c r="D167" s="186" t="s">
        <v>425</v>
      </c>
    </row>
    <row r="168" spans="1:4" ht="24.95" customHeight="1" x14ac:dyDescent="0.25">
      <c r="A168" s="266">
        <f t="shared" si="8"/>
        <v>0</v>
      </c>
      <c r="B168" s="196" t="s">
        <v>488</v>
      </c>
      <c r="C168" s="250"/>
      <c r="D168" s="186" t="s">
        <v>425</v>
      </c>
    </row>
    <row r="169" spans="1:4" ht="24.95" customHeight="1" x14ac:dyDescent="0.25">
      <c r="A169" s="266">
        <f t="shared" si="8"/>
        <v>0</v>
      </c>
      <c r="B169" s="196" t="s">
        <v>489</v>
      </c>
      <c r="C169" s="250"/>
      <c r="D169" s="186" t="s">
        <v>425</v>
      </c>
    </row>
    <row r="170" spans="1:4" ht="24.95" customHeight="1" x14ac:dyDescent="0.25">
      <c r="A170" s="266">
        <f t="shared" si="8"/>
        <v>0</v>
      </c>
      <c r="B170" s="196" t="s">
        <v>490</v>
      </c>
      <c r="C170" s="250"/>
      <c r="D170" s="186" t="s">
        <v>425</v>
      </c>
    </row>
    <row r="171" spans="1:4" ht="24.95" customHeight="1" x14ac:dyDescent="0.25">
      <c r="A171" s="266">
        <f t="shared" si="8"/>
        <v>0</v>
      </c>
      <c r="B171" s="196" t="s">
        <v>491</v>
      </c>
      <c r="C171" s="250"/>
      <c r="D171" s="186" t="s">
        <v>425</v>
      </c>
    </row>
    <row r="172" spans="1:4" ht="24.95" customHeight="1" x14ac:dyDescent="0.25">
      <c r="A172" s="266">
        <f t="shared" si="8"/>
        <v>0</v>
      </c>
      <c r="B172" s="196" t="s">
        <v>492</v>
      </c>
      <c r="C172" s="250"/>
      <c r="D172" s="186" t="s">
        <v>425</v>
      </c>
    </row>
    <row r="173" spans="1:4" ht="24.95" customHeight="1" x14ac:dyDescent="0.25">
      <c r="A173" s="266">
        <f t="shared" si="8"/>
        <v>0</v>
      </c>
      <c r="B173" s="197" t="s">
        <v>493</v>
      </c>
      <c r="C173" s="255"/>
      <c r="D173" s="186" t="s">
        <v>425</v>
      </c>
    </row>
    <row r="174" spans="1:4" ht="24.95" customHeight="1" x14ac:dyDescent="0.25">
      <c r="A174" s="265" t="str">
        <f t="shared" ref="A174:A183" si="9">$A$156</f>
        <v>No</v>
      </c>
      <c r="B174" s="203" t="s">
        <v>449</v>
      </c>
      <c r="C174" s="256"/>
      <c r="D174" s="186" t="s">
        <v>425</v>
      </c>
    </row>
    <row r="175" spans="1:4" ht="24.95" customHeight="1" x14ac:dyDescent="0.25">
      <c r="A175" s="265" t="str">
        <f t="shared" si="9"/>
        <v>No</v>
      </c>
      <c r="B175" s="196" t="s">
        <v>450</v>
      </c>
      <c r="C175" s="250"/>
      <c r="D175" s="186" t="s">
        <v>425</v>
      </c>
    </row>
    <row r="176" spans="1:4" ht="24.95" customHeight="1" x14ac:dyDescent="0.25">
      <c r="A176" s="265" t="str">
        <f t="shared" si="9"/>
        <v>No</v>
      </c>
      <c r="B176" s="197" t="s">
        <v>451</v>
      </c>
      <c r="C176" s="255"/>
      <c r="D176" s="186" t="s">
        <v>425</v>
      </c>
    </row>
    <row r="177" spans="1:4" ht="24.95" customHeight="1" x14ac:dyDescent="0.25">
      <c r="A177" s="265" t="str">
        <f t="shared" si="9"/>
        <v>No</v>
      </c>
      <c r="B177" s="203" t="s">
        <v>453</v>
      </c>
      <c r="C177" s="250"/>
      <c r="D177" s="186" t="s">
        <v>426</v>
      </c>
    </row>
    <row r="178" spans="1:4" ht="24.95" customHeight="1" x14ac:dyDescent="0.25">
      <c r="A178" s="265" t="str">
        <f t="shared" si="9"/>
        <v>No</v>
      </c>
      <c r="B178" s="196" t="s">
        <v>454</v>
      </c>
      <c r="C178" s="250"/>
      <c r="D178" s="186" t="s">
        <v>426</v>
      </c>
    </row>
    <row r="179" spans="1:4" ht="24.95" customHeight="1" x14ac:dyDescent="0.25">
      <c r="A179" s="265" t="str">
        <f t="shared" si="9"/>
        <v>No</v>
      </c>
      <c r="B179" s="196" t="s">
        <v>455</v>
      </c>
      <c r="C179" s="250"/>
      <c r="D179" s="186" t="s">
        <v>427</v>
      </c>
    </row>
    <row r="180" spans="1:4" ht="24.95" customHeight="1" x14ac:dyDescent="0.25">
      <c r="A180" s="265" t="str">
        <f t="shared" si="9"/>
        <v>No</v>
      </c>
      <c r="B180" s="196" t="s">
        <v>458</v>
      </c>
      <c r="C180" s="250"/>
      <c r="D180" s="186" t="s">
        <v>425</v>
      </c>
    </row>
    <row r="181" spans="1:4" ht="24.95" customHeight="1" x14ac:dyDescent="0.25">
      <c r="A181" s="265" t="str">
        <f t="shared" si="9"/>
        <v>No</v>
      </c>
      <c r="B181" s="196" t="s">
        <v>459</v>
      </c>
      <c r="C181" s="250" t="s">
        <v>364</v>
      </c>
      <c r="D181" s="186" t="s">
        <v>426</v>
      </c>
    </row>
    <row r="182" spans="1:4" ht="24.95" customHeight="1" x14ac:dyDescent="0.25">
      <c r="A182" s="265" t="str">
        <f t="shared" si="9"/>
        <v>No</v>
      </c>
      <c r="B182" s="196" t="s">
        <v>457</v>
      </c>
      <c r="C182" s="250" t="s">
        <v>364</v>
      </c>
      <c r="D182" s="186" t="s">
        <v>426</v>
      </c>
    </row>
    <row r="183" spans="1:4" ht="24.95" customHeight="1" x14ac:dyDescent="0.25">
      <c r="A183" s="265" t="str">
        <f t="shared" si="9"/>
        <v>No</v>
      </c>
      <c r="B183" s="196" t="s">
        <v>456</v>
      </c>
      <c r="C183" s="250" t="s">
        <v>364</v>
      </c>
      <c r="D183" s="186" t="s">
        <v>426</v>
      </c>
    </row>
    <row r="184" spans="1:4" ht="24.95" customHeight="1" x14ac:dyDescent="0.25">
      <c r="A184" s="265" t="str">
        <f>IF(C12="Accessory Structure","Yes","No")</f>
        <v>No</v>
      </c>
      <c r="B184" s="194" t="s">
        <v>452</v>
      </c>
      <c r="C184" s="258"/>
    </row>
    <row r="185" spans="1:4" ht="24.95" customHeight="1" x14ac:dyDescent="0.25">
      <c r="A185" s="265" t="str">
        <f t="shared" ref="A185:A191" si="10">$A$184</f>
        <v>No</v>
      </c>
      <c r="B185" s="196" t="s">
        <v>437</v>
      </c>
      <c r="C185" s="250" t="s">
        <v>364</v>
      </c>
      <c r="D185" s="186" t="s">
        <v>426</v>
      </c>
    </row>
    <row r="186" spans="1:4" ht="24.95" customHeight="1" x14ac:dyDescent="0.25">
      <c r="A186" s="265" t="str">
        <f t="shared" si="10"/>
        <v>No</v>
      </c>
      <c r="B186" s="196" t="s">
        <v>394</v>
      </c>
      <c r="C186" s="250" t="s">
        <v>364</v>
      </c>
      <c r="D186" s="186" t="s">
        <v>426</v>
      </c>
    </row>
    <row r="187" spans="1:4" ht="24.95" customHeight="1" x14ac:dyDescent="0.25">
      <c r="A187" s="265" t="str">
        <f t="shared" si="10"/>
        <v>No</v>
      </c>
      <c r="B187" s="196" t="s">
        <v>439</v>
      </c>
      <c r="C187" s="250" t="s">
        <v>364</v>
      </c>
      <c r="D187" s="186" t="s">
        <v>426</v>
      </c>
    </row>
    <row r="188" spans="1:4" ht="24.95" customHeight="1" x14ac:dyDescent="0.25">
      <c r="A188" s="265" t="str">
        <f t="shared" si="10"/>
        <v>No</v>
      </c>
      <c r="B188" s="196" t="s">
        <v>440</v>
      </c>
      <c r="C188" s="250" t="s">
        <v>364</v>
      </c>
      <c r="D188" s="186" t="s">
        <v>426</v>
      </c>
    </row>
    <row r="189" spans="1:4" ht="24.95" customHeight="1" x14ac:dyDescent="0.25">
      <c r="A189" s="265" t="str">
        <f t="shared" si="10"/>
        <v>No</v>
      </c>
      <c r="B189" s="196" t="s">
        <v>395</v>
      </c>
      <c r="C189" s="250" t="s">
        <v>364</v>
      </c>
      <c r="D189" s="186" t="s">
        <v>426</v>
      </c>
    </row>
    <row r="190" spans="1:4" ht="24.95" customHeight="1" x14ac:dyDescent="0.25">
      <c r="A190" s="265" t="str">
        <f t="shared" si="10"/>
        <v>No</v>
      </c>
      <c r="B190" s="196" t="s">
        <v>438</v>
      </c>
      <c r="C190" s="250" t="s">
        <v>364</v>
      </c>
      <c r="D190" s="186" t="s">
        <v>426</v>
      </c>
    </row>
    <row r="191" spans="1:4" ht="24.95" customHeight="1" x14ac:dyDescent="0.25">
      <c r="A191" s="265" t="str">
        <f t="shared" si="10"/>
        <v>No</v>
      </c>
      <c r="B191" s="197" t="s">
        <v>396</v>
      </c>
      <c r="C191" s="250" t="s">
        <v>364</v>
      </c>
      <c r="D191" s="186" t="s">
        <v>426</v>
      </c>
    </row>
    <row r="192" spans="1:4" ht="24.95" customHeight="1" x14ac:dyDescent="0.25">
      <c r="A192" s="193" t="s">
        <v>374</v>
      </c>
      <c r="B192" s="196" t="s">
        <v>529</v>
      </c>
      <c r="C192" s="251"/>
      <c r="D192" s="186" t="s">
        <v>427</v>
      </c>
    </row>
    <row r="193" spans="1:4" ht="24.95" customHeight="1" x14ac:dyDescent="0.25">
      <c r="A193" s="193" t="s">
        <v>374</v>
      </c>
      <c r="B193" s="196" t="s">
        <v>106</v>
      </c>
      <c r="C193" s="251"/>
      <c r="D193" s="186" t="s">
        <v>427</v>
      </c>
    </row>
    <row r="194" spans="1:4" ht="24.95" customHeight="1" x14ac:dyDescent="0.25">
      <c r="A194" s="193" t="s">
        <v>374</v>
      </c>
      <c r="B194" s="196" t="s">
        <v>528</v>
      </c>
      <c r="C194" s="251"/>
      <c r="D194" s="186" t="s">
        <v>427</v>
      </c>
    </row>
    <row r="195" spans="1:4" ht="24.95" customHeight="1" x14ac:dyDescent="0.25">
      <c r="A195" s="193" t="s">
        <v>374</v>
      </c>
      <c r="B195" s="196" t="s">
        <v>527</v>
      </c>
      <c r="C195" s="250" t="s">
        <v>364</v>
      </c>
      <c r="D195" s="186" t="s">
        <v>426</v>
      </c>
    </row>
    <row r="196" spans="1:4" ht="24.95" customHeight="1" x14ac:dyDescent="0.25">
      <c r="A196" s="193" t="s">
        <v>374</v>
      </c>
      <c r="B196" s="196" t="s">
        <v>526</v>
      </c>
      <c r="C196" s="250" t="s">
        <v>364</v>
      </c>
      <c r="D196" s="186" t="s">
        <v>426</v>
      </c>
    </row>
    <row r="197" spans="1:4" ht="24.95" customHeight="1" x14ac:dyDescent="0.25">
      <c r="A197" s="193" t="s">
        <v>374</v>
      </c>
      <c r="B197" s="197" t="s">
        <v>245</v>
      </c>
      <c r="C197" s="250" t="s">
        <v>364</v>
      </c>
      <c r="D197" s="186" t="s">
        <v>426</v>
      </c>
    </row>
    <row r="198" spans="1:4" ht="24.95" customHeight="1" x14ac:dyDescent="0.25">
      <c r="B198" s="199" t="s">
        <v>434</v>
      </c>
    </row>
    <row r="199" spans="1:4" ht="24.95" customHeight="1" x14ac:dyDescent="0.25">
      <c r="A199" s="264" t="s">
        <v>532</v>
      </c>
      <c r="B199" s="192" t="s">
        <v>219</v>
      </c>
      <c r="C199" s="192" t="s">
        <v>366</v>
      </c>
      <c r="D199" s="191" t="s">
        <v>424</v>
      </c>
    </row>
    <row r="200" spans="1:4" ht="24.95" customHeight="1" x14ac:dyDescent="0.25">
      <c r="A200" s="265" t="str">
        <f>IF(OR($C$13="New",$C$13="Addition"),"Yes","No")</f>
        <v>No</v>
      </c>
      <c r="B200" s="195" t="str">
        <f>Reviews!I3</f>
        <v>Applicant.Fire</v>
      </c>
      <c r="C200" s="195"/>
    </row>
    <row r="201" spans="1:4" ht="24.95" customHeight="1" x14ac:dyDescent="0.25">
      <c r="A201" s="265" t="str">
        <f>IF(OR($C$12="Commercial Building",$C$13="New"),"Yes","No")</f>
        <v>No</v>
      </c>
      <c r="B201" s="196" t="str">
        <f>Reviews!I4</f>
        <v>Applicant.FSA</v>
      </c>
      <c r="C201" s="196"/>
    </row>
    <row r="202" spans="1:4" ht="24.95" customHeight="1" x14ac:dyDescent="0.25">
      <c r="A202" s="265" t="str">
        <f>IF(OR($C$13="New",$C$13="Addition"),"Yes","No")</f>
        <v>No</v>
      </c>
      <c r="B202" s="196" t="str">
        <f>Reviews!I5</f>
        <v>Applicant.School</v>
      </c>
      <c r="C202" s="196"/>
    </row>
    <row r="203" spans="1:4" ht="24.95" customHeight="1" x14ac:dyDescent="0.25">
      <c r="A203" s="265" t="str">
        <f>IF(OR(DEM="Yes",C12="Commercial Building"),"Yes","No")</f>
        <v>No</v>
      </c>
      <c r="B203" s="196" t="str">
        <f>Reviews!I6</f>
        <v>District.Air</v>
      </c>
      <c r="C203" s="196"/>
    </row>
    <row r="204" spans="1:4" ht="24.95" customHeight="1" x14ac:dyDescent="0.25">
      <c r="A204" s="265" t="str">
        <f>IF(OR($C$13="New",$C$13="Addition"),"Yes","No")</f>
        <v>No</v>
      </c>
      <c r="B204" s="196" t="str">
        <f>Reviews!I9</f>
        <v>DCS.Bldg.Full</v>
      </c>
      <c r="C204" s="196"/>
    </row>
    <row r="205" spans="1:4" ht="24.95" customHeight="1" x14ac:dyDescent="0.25">
      <c r="A205" s="265" t="str">
        <f>IF($C$12="Commercial Building","Yes","No")</f>
        <v>No</v>
      </c>
      <c r="B205" s="196" t="str">
        <f>Reviews!I10</f>
        <v>DCS.Bldg.Accessibility</v>
      </c>
      <c r="C205" s="196"/>
    </row>
    <row r="206" spans="1:4" ht="24.95" customHeight="1" x14ac:dyDescent="0.25">
      <c r="A206" s="265" t="str">
        <f>IF($C$13="New","Yes","No")</f>
        <v>No</v>
      </c>
      <c r="B206" s="196" t="str">
        <f>Reviews!I11</f>
        <v>DCS.Bldg.Addressing</v>
      </c>
      <c r="C206" s="196"/>
    </row>
    <row r="207" spans="1:4" ht="24.95" customHeight="1" x14ac:dyDescent="0.25">
      <c r="A207" s="265">
        <f>AG</f>
        <v>0</v>
      </c>
      <c r="B207" s="196" t="str">
        <f>Reviews!I12</f>
        <v>DCS.Bldg.AgExempt</v>
      </c>
      <c r="C207" s="196"/>
    </row>
    <row r="208" spans="1:4" ht="24.95" customHeight="1" x14ac:dyDescent="0.25">
      <c r="A208" s="265">
        <f>BLD</f>
        <v>0</v>
      </c>
      <c r="B208" s="196" t="str">
        <f>Reviews!I13</f>
        <v>DCS.Bldg.Architectural</v>
      </c>
      <c r="C208" s="196"/>
    </row>
    <row r="209" spans="1:3" ht="24.95" customHeight="1" x14ac:dyDescent="0.25">
      <c r="A209" s="262">
        <f>C153</f>
        <v>0</v>
      </c>
      <c r="B209" s="196" t="str">
        <f>Reviews!I14</f>
        <v>DCS.Bldg.CC/MH/THOW</v>
      </c>
      <c r="C209" s="196"/>
    </row>
    <row r="210" spans="1:3" ht="24.95" customHeight="1" x14ac:dyDescent="0.25">
      <c r="A210" s="265">
        <f>DEM</f>
        <v>0</v>
      </c>
      <c r="B210" s="196" t="str">
        <f>Reviews!I15</f>
        <v>DCS.Bldg.Demolition</v>
      </c>
      <c r="C210" s="196"/>
    </row>
    <row r="211" spans="1:3" ht="24.95" customHeight="1" x14ac:dyDescent="0.25">
      <c r="A211" s="265">
        <f>GRADE</f>
        <v>0</v>
      </c>
      <c r="B211" s="196" t="str">
        <f>Reviews!I16</f>
        <v>DCS.Bldg.Grading</v>
      </c>
      <c r="C211" s="196"/>
    </row>
    <row r="212" spans="1:3" ht="24.95" customHeight="1" x14ac:dyDescent="0.25">
      <c r="A212" s="265" t="str">
        <f>IF(OR($C$13="New",$C$13="Addition"),"Yes","No")</f>
        <v>No</v>
      </c>
      <c r="B212" s="196" t="str">
        <f>Reviews!I17</f>
        <v>DCS.Bldg.Green/Energy</v>
      </c>
      <c r="C212" s="196"/>
    </row>
    <row r="213" spans="1:3" ht="24.95" customHeight="1" x14ac:dyDescent="0.25">
      <c r="A213" s="265">
        <f>ELC</f>
        <v>0</v>
      </c>
      <c r="B213" s="196" t="str">
        <f>Reviews!I18</f>
        <v>DCS.Bldg.Electrical</v>
      </c>
      <c r="C213" s="196"/>
    </row>
    <row r="214" spans="1:3" ht="24.95" customHeight="1" x14ac:dyDescent="0.25">
      <c r="A214" s="262">
        <f>C103</f>
        <v>0</v>
      </c>
      <c r="B214" s="196" t="str">
        <f>Reviews!I19</f>
        <v>DCS.Bldg.Fire.Alarms</v>
      </c>
      <c r="C214" s="196"/>
    </row>
    <row r="215" spans="1:3" ht="24.95" customHeight="1" x14ac:dyDescent="0.25">
      <c r="A215" s="265" t="str">
        <f>IF(OR($C$13="New",$C$13="Addition"),"Yes","No")</f>
        <v>No</v>
      </c>
      <c r="B215" s="196" t="str">
        <f>Reviews!I20</f>
        <v>DCS.Bldg.Fire.Sprinklers</v>
      </c>
      <c r="C215" s="196"/>
    </row>
    <row r="216" spans="1:3" ht="24.95" customHeight="1" x14ac:dyDescent="0.25">
      <c r="A216" s="265" t="s">
        <v>365</v>
      </c>
      <c r="B216" s="196" t="str">
        <f>Reviews!I21</f>
        <v>DCS.Bldg.Flood</v>
      </c>
      <c r="C216" s="196"/>
    </row>
    <row r="217" spans="1:3" ht="24.95" customHeight="1" x14ac:dyDescent="0.25">
      <c r="A217" s="265">
        <f>MCH</f>
        <v>0</v>
      </c>
      <c r="B217" s="196" t="str">
        <f>Reviews!I22</f>
        <v>DCS.Bldg.Mechanical</v>
      </c>
      <c r="C217" s="196"/>
    </row>
    <row r="218" spans="1:3" ht="24.95" customHeight="1" x14ac:dyDescent="0.25">
      <c r="A218" s="265">
        <f>PLB</f>
        <v>0</v>
      </c>
      <c r="B218" s="196" t="str">
        <f>Reviews!I23</f>
        <v>DCS.Bldg.Plumbing</v>
      </c>
      <c r="C218" s="196"/>
    </row>
    <row r="219" spans="1:3" ht="24.95" customHeight="1" x14ac:dyDescent="0.25">
      <c r="A219" s="265" t="str">
        <f>IF($C$13="Alteration","Yes","No")</f>
        <v>No</v>
      </c>
      <c r="B219" s="196" t="str">
        <f>Reviews!I25</f>
        <v>DCS.Bldg.Rapid</v>
      </c>
      <c r="C219" s="196"/>
    </row>
    <row r="220" spans="1:3" ht="24.95" customHeight="1" x14ac:dyDescent="0.25">
      <c r="A220" s="265" t="str">
        <f>IF(OR($C$13="New",$C$13="Addition"),"Yes","No")</f>
        <v>No</v>
      </c>
      <c r="B220" s="196" t="str">
        <f>Reviews!I26</f>
        <v>DCS.Bldg.Structural</v>
      </c>
      <c r="C220" s="196"/>
    </row>
    <row r="221" spans="1:3" ht="24.95" customHeight="1" x14ac:dyDescent="0.25">
      <c r="A221" s="265" t="s">
        <v>364</v>
      </c>
      <c r="B221" s="196" t="str">
        <f>Reviews!I27</f>
        <v>DCS.CE.Compliance</v>
      </c>
      <c r="C221" s="196"/>
    </row>
    <row r="222" spans="1:3" ht="24.95" customHeight="1" x14ac:dyDescent="0.25">
      <c r="A222" s="265" t="str">
        <f t="shared" ref="A222:A227" si="11">IF(OR($C$13="New",$C$13="Addition"),"Yes","No")</f>
        <v>No</v>
      </c>
      <c r="B222" s="196" t="str">
        <f>Reviews!I8</f>
        <v>District.CSD/CSA</v>
      </c>
      <c r="C222" s="196"/>
    </row>
    <row r="223" spans="1:3" ht="24.95" customHeight="1" x14ac:dyDescent="0.25">
      <c r="A223" s="265" t="str">
        <f t="shared" si="11"/>
        <v>No</v>
      </c>
      <c r="B223" s="196" t="str">
        <f>Reviews!I30</f>
        <v>DCS.EH.Land.Use</v>
      </c>
      <c r="C223" s="196"/>
    </row>
    <row r="224" spans="1:3" ht="24.95" customHeight="1" x14ac:dyDescent="0.25">
      <c r="A224" s="265" t="str">
        <f t="shared" si="11"/>
        <v>No</v>
      </c>
      <c r="B224" s="196" t="str">
        <f>Reviews!I7</f>
        <v>District.Fire</v>
      </c>
      <c r="C224" s="196"/>
    </row>
    <row r="225" spans="1:3" ht="24.95" customHeight="1" x14ac:dyDescent="0.25">
      <c r="A225" s="265" t="str">
        <f t="shared" si="11"/>
        <v>No</v>
      </c>
      <c r="B225" s="196" t="str">
        <f>Reviews!I34</f>
        <v>DCS.IWM.C&amp;D</v>
      </c>
      <c r="C225" s="196"/>
    </row>
    <row r="226" spans="1:3" ht="24.95" customHeight="1" x14ac:dyDescent="0.25">
      <c r="A226" s="265" t="str">
        <f t="shared" si="11"/>
        <v>No</v>
      </c>
      <c r="B226" s="196" t="str">
        <f>Reviews!I35</f>
        <v>DCS.Planning.</v>
      </c>
      <c r="C226" s="196"/>
    </row>
    <row r="227" spans="1:3" ht="24.95" customHeight="1" x14ac:dyDescent="0.25">
      <c r="A227" s="265" t="str">
        <f t="shared" si="11"/>
        <v>No</v>
      </c>
      <c r="B227" s="197" t="str">
        <f>Reviews!I36</f>
        <v>DCS.PW.</v>
      </c>
      <c r="C227" s="197"/>
    </row>
  </sheetData>
  <conditionalFormatting sqref="A2:A197">
    <cfRule type="cellIs" dxfId="30" priority="1" operator="equal">
      <formula>"Yes"</formula>
    </cfRule>
    <cfRule type="cellIs" dxfId="29" priority="2" operator="equal">
      <formula>"No"</formula>
    </cfRule>
  </conditionalFormatting>
  <conditionalFormatting sqref="A200:A227">
    <cfRule type="cellIs" dxfId="28" priority="3" operator="equal">
      <formula>"Yes"</formula>
    </cfRule>
    <cfRule type="cellIs" dxfId="27" priority="4" operator="equal">
      <formula>"No"</formula>
    </cfRule>
  </conditionalFormatting>
  <dataValidations count="11">
    <dataValidation type="list" allowBlank="1" showInputMessage="1" showErrorMessage="1" sqref="C19:C22 C29:C32 C48:C52 C134 C136 C3:C11 C181:C183 C157:C164 C177:C178 C150:C155 C122:C131 C141:C146 C61 C92 C95 C98 C109:C110 C105 C107 C100:C103 C113:C118 C120 C185:C191 C195:C197" xr:uid="{88E61AAF-01AD-49FE-B9CD-B542276A0C7B}">
      <formula1>"Yes,No"</formula1>
    </dataValidation>
    <dataValidation type="list" allowBlank="1" showInputMessage="1" showErrorMessage="1" sqref="C75 C69" xr:uid="{E4E3E42A-0852-40CF-9D31-890D3560979E}">
      <formula1>"Habitable,Occupiable,Non-Occupiable,Not-Permitted"</formula1>
    </dataValidation>
    <dataValidation type="list" allowBlank="1" showInputMessage="1" showErrorMessage="1" sqref="C76 C70" xr:uid="{6A3B7E8F-0B95-4E12-AF45-9ED0ACED0448}">
      <formula1>"Total,Partial,Pool"</formula1>
    </dataValidation>
    <dataValidation type="list" allowBlank="1" showInputMessage="1" showErrorMessage="1" sqref="C12" xr:uid="{84AAE8D3-5BA7-434D-BAF9-5FF9E9DA60AA}">
      <formula1>"Residential Dwelling,Commercial Building,Accessory Structure"</formula1>
    </dataValidation>
    <dataValidation type="list" allowBlank="1" showInputMessage="1" showErrorMessage="1" sqref="C13" xr:uid="{8B848EDC-70B4-4049-90A8-EEE0DF137E8F}">
      <formula1>"New,Addition,Alteration/Repair/Replacement"</formula1>
    </dataValidation>
    <dataValidation type="list" allowBlank="1" showInputMessage="1" showErrorMessage="1" sqref="C137 C139" xr:uid="{882982B7-C140-4139-BFA3-5E16B8F49969}">
      <formula1>"Composition Shingles,Other"</formula1>
    </dataValidation>
    <dataValidation type="decimal" operator="greaterThanOrEqual" allowBlank="1" showInputMessage="1" showErrorMessage="1" sqref="C15" xr:uid="{E21BE8B5-F8AA-44B0-BAF5-E82ACA1340CE}">
      <formula1>1</formula1>
    </dataValidation>
    <dataValidation type="whole" operator="greaterThanOrEqual" allowBlank="1" showInputMessage="1" showErrorMessage="1" sqref="C77:C79 C166:C176 C180 C81:C90 C96:C97 C99 C104 C108 C111 C121 C71:C73" xr:uid="{C72DDF82-A487-4E45-AC24-5F8642E11C55}">
      <formula1>0</formula1>
    </dataValidation>
    <dataValidation type="whole" allowBlank="1" showInputMessage="1" showErrorMessage="1" sqref="C135" xr:uid="{A3B278FF-026D-4E68-A242-7A1473594FC8}">
      <formula1>0</formula1>
      <formula2>100</formula2>
    </dataValidation>
    <dataValidation operator="greaterThan" allowBlank="1" showInputMessage="1" showErrorMessage="1" sqref="C179" xr:uid="{AE6A3543-13D3-4CA2-8361-FB7348ACC424}"/>
    <dataValidation type="list" allowBlank="1" showInputMessage="1" showErrorMessage="1" sqref="C12" xr:uid="{F3EBC686-E8DB-4275-9B45-145118B42190}">
      <formula1>"Residential Dwelling,Commercial Buildng,Accessory Structure"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737-DD80-4E66-8539-0FDB5F5DBC08}">
  <dimension ref="A1:AJ61"/>
  <sheetViews>
    <sheetView showGridLines="0" topLeftCell="AC1" zoomScale="110" zoomScaleNormal="110" workbookViewId="0">
      <pane ySplit="1" topLeftCell="A2" activePane="bottomLeft" state="frozen"/>
      <selection activeCell="AC1" sqref="AC1"/>
      <selection pane="bottomLeft"/>
    </sheetView>
  </sheetViews>
  <sheetFormatPr defaultColWidth="9.140625" defaultRowHeight="15" x14ac:dyDescent="0.25"/>
  <cols>
    <col min="1" max="1" width="21.140625" style="7" customWidth="1"/>
    <col min="2" max="2" width="6.85546875" style="7" customWidth="1"/>
    <col min="3" max="3" width="5.85546875" style="7" customWidth="1"/>
    <col min="4" max="4" width="14.85546875" style="7" customWidth="1"/>
    <col min="5" max="5" width="9.42578125" style="7" customWidth="1"/>
    <col min="6" max="6" width="11.85546875" style="345" customWidth="1"/>
    <col min="7" max="7" width="11.5703125" style="347" customWidth="1"/>
    <col min="8" max="8" width="21.7109375" style="347" customWidth="1"/>
    <col min="9" max="9" width="27.7109375" style="7" customWidth="1"/>
    <col min="10" max="10" width="6.85546875" style="7" customWidth="1"/>
    <col min="11" max="11" width="8.7109375" style="7" customWidth="1"/>
    <col min="12" max="12" width="7.85546875" style="7" customWidth="1"/>
    <col min="13" max="13" width="39.140625" style="7" customWidth="1"/>
    <col min="14" max="14" width="37.85546875" style="7" customWidth="1"/>
    <col min="15" max="15" width="8.7109375" style="7" customWidth="1"/>
    <col min="16" max="16" width="9.28515625" style="7" customWidth="1"/>
    <col min="17" max="17" width="18.5703125" style="7" customWidth="1"/>
    <col min="18" max="21" width="10.140625" style="7" customWidth="1"/>
    <col min="22" max="23" width="10" style="7" customWidth="1"/>
    <col min="24" max="24" width="20.7109375" style="7" customWidth="1"/>
    <col min="25" max="25" width="15.5703125" style="7" customWidth="1"/>
    <col min="26" max="26" width="20.7109375" style="7" customWidth="1"/>
    <col min="27" max="28" width="11" style="7" customWidth="1"/>
    <col min="29" max="29" width="14.28515625" style="7" customWidth="1"/>
    <col min="30" max="30" width="20.7109375" style="7" customWidth="1"/>
    <col min="31" max="31" width="14.42578125" style="7" customWidth="1"/>
    <col min="32" max="32" width="7.28515625" style="7" customWidth="1"/>
    <col min="33" max="33" width="20.7109375" style="7" customWidth="1"/>
    <col min="34" max="34" width="15.7109375" style="7" customWidth="1"/>
    <col min="35" max="35" width="13.140625" style="7" customWidth="1"/>
    <col min="36" max="36" width="16.140625" style="7" customWidth="1"/>
    <col min="37" max="37" width="17" style="7" customWidth="1"/>
    <col min="38" max="47" width="13.85546875" style="7" customWidth="1"/>
    <col min="48" max="16384" width="9.140625" style="7"/>
  </cols>
  <sheetData>
    <row r="1" spans="1:36" s="186" customFormat="1" ht="45" x14ac:dyDescent="0.25">
      <c r="A1" s="269" t="s">
        <v>537</v>
      </c>
      <c r="B1" s="379" t="s">
        <v>538</v>
      </c>
      <c r="C1" s="380" t="s">
        <v>644</v>
      </c>
      <c r="D1" s="381" t="s">
        <v>252</v>
      </c>
      <c r="E1" s="270" t="s">
        <v>335</v>
      </c>
      <c r="F1" s="388" t="s">
        <v>325</v>
      </c>
      <c r="G1" s="388" t="s">
        <v>600</v>
      </c>
      <c r="H1" s="388" t="s">
        <v>601</v>
      </c>
      <c r="I1" s="269" t="s">
        <v>219</v>
      </c>
      <c r="J1" s="270" t="s">
        <v>533</v>
      </c>
      <c r="K1" s="270" t="s">
        <v>534</v>
      </c>
      <c r="L1" s="391" t="s">
        <v>195</v>
      </c>
      <c r="M1" s="271" t="s">
        <v>196</v>
      </c>
      <c r="N1" s="394" t="s">
        <v>334</v>
      </c>
      <c r="O1" s="391" t="s">
        <v>535</v>
      </c>
      <c r="P1" s="391" t="s">
        <v>536</v>
      </c>
      <c r="Q1" s="269" t="s">
        <v>272</v>
      </c>
      <c r="R1" s="270" t="s">
        <v>619</v>
      </c>
      <c r="S1" s="270" t="s">
        <v>620</v>
      </c>
      <c r="T1" s="391" t="s">
        <v>649</v>
      </c>
      <c r="U1" s="391" t="s">
        <v>651</v>
      </c>
      <c r="V1" s="391" t="s">
        <v>652</v>
      </c>
      <c r="W1" s="391" t="s">
        <v>652</v>
      </c>
      <c r="X1" s="269" t="s">
        <v>271</v>
      </c>
      <c r="Y1" s="269" t="s">
        <v>259</v>
      </c>
      <c r="Z1" s="269" t="s">
        <v>262</v>
      </c>
      <c r="AA1" s="288" t="s">
        <v>650</v>
      </c>
      <c r="AB1" s="360" t="s">
        <v>648</v>
      </c>
      <c r="AC1" s="269" t="s">
        <v>258</v>
      </c>
      <c r="AD1" s="269" t="s">
        <v>261</v>
      </c>
      <c r="AE1" s="269" t="s">
        <v>257</v>
      </c>
      <c r="AF1" s="360" t="s">
        <v>647</v>
      </c>
      <c r="AG1" s="269" t="s">
        <v>276</v>
      </c>
      <c r="AH1" s="269" t="s">
        <v>645</v>
      </c>
      <c r="AI1" s="269" t="s">
        <v>646</v>
      </c>
      <c r="AJ1" s="14"/>
    </row>
    <row r="2" spans="1:36" s="426" customFormat="1" x14ac:dyDescent="0.25">
      <c r="A2" s="422" t="s">
        <v>365</v>
      </c>
      <c r="B2" s="423" t="s">
        <v>364</v>
      </c>
      <c r="C2" s="424" t="s">
        <v>364</v>
      </c>
      <c r="D2" s="425" t="s">
        <v>364</v>
      </c>
      <c r="E2" s="422" t="s">
        <v>365</v>
      </c>
      <c r="F2" s="422" t="s">
        <v>364</v>
      </c>
      <c r="G2" s="422" t="s">
        <v>364</v>
      </c>
      <c r="H2" s="422" t="s">
        <v>364</v>
      </c>
      <c r="I2" s="422" t="s">
        <v>365</v>
      </c>
      <c r="J2" s="422" t="s">
        <v>365</v>
      </c>
      <c r="K2" s="422" t="s">
        <v>365</v>
      </c>
      <c r="L2" s="422" t="s">
        <v>364</v>
      </c>
      <c r="M2" s="422" t="s">
        <v>365</v>
      </c>
      <c r="N2" s="422" t="s">
        <v>364</v>
      </c>
      <c r="O2" s="422" t="s">
        <v>364</v>
      </c>
      <c r="P2" s="422" t="s">
        <v>364</v>
      </c>
      <c r="Q2" s="422" t="s">
        <v>365</v>
      </c>
      <c r="R2" s="422" t="s">
        <v>365</v>
      </c>
      <c r="S2" s="422" t="s">
        <v>365</v>
      </c>
      <c r="T2" s="422" t="s">
        <v>364</v>
      </c>
      <c r="U2" s="422" t="s">
        <v>364</v>
      </c>
      <c r="V2" s="422" t="s">
        <v>364</v>
      </c>
      <c r="W2" s="422" t="s">
        <v>364</v>
      </c>
      <c r="X2" s="422" t="s">
        <v>365</v>
      </c>
      <c r="Y2" s="422" t="s">
        <v>365</v>
      </c>
      <c r="Z2" s="422" t="s">
        <v>365</v>
      </c>
      <c r="AA2" s="422" t="s">
        <v>365</v>
      </c>
      <c r="AB2" s="422" t="s">
        <v>365</v>
      </c>
      <c r="AC2" s="422" t="s">
        <v>365</v>
      </c>
      <c r="AD2" s="422" t="s">
        <v>365</v>
      </c>
      <c r="AE2" s="422" t="s">
        <v>365</v>
      </c>
      <c r="AF2" s="422" t="s">
        <v>365</v>
      </c>
      <c r="AG2" s="422" t="s">
        <v>365</v>
      </c>
      <c r="AH2" s="422" t="s">
        <v>365</v>
      </c>
      <c r="AI2" s="422" t="s">
        <v>365</v>
      </c>
    </row>
    <row r="3" spans="1:36" x14ac:dyDescent="0.25">
      <c r="A3" s="407" t="str">
        <f t="shared" ref="A3:A36" si="0">_xlfn.CONCAT(D3,"-","RVW.",E3,".",B3)</f>
        <v>TEST.001-RVW.1.1</v>
      </c>
      <c r="B3" s="382">
        <v>1</v>
      </c>
      <c r="C3" s="383">
        <v>1</v>
      </c>
      <c r="D3" s="384" t="s">
        <v>539</v>
      </c>
      <c r="E3" s="408">
        <v>1</v>
      </c>
      <c r="F3" s="409" t="s">
        <v>621</v>
      </c>
      <c r="G3" s="410" t="s">
        <v>253</v>
      </c>
      <c r="H3" s="410"/>
      <c r="I3" s="411" t="str">
        <f>_xlfn.CONCAT(F3:H3)</f>
        <v>Applicant.Fire</v>
      </c>
      <c r="J3" s="412" t="str" cm="1">
        <f t="array" ref="J3:J30">Application!A200:A227</f>
        <v>No</v>
      </c>
      <c r="K3" s="413"/>
      <c r="L3" s="414" t="str">
        <f>IF(OR(K3="Yes",K3="No"),K3,J3)</f>
        <v>No</v>
      </c>
      <c r="M3" s="415"/>
      <c r="N3" s="416" t="s">
        <v>270</v>
      </c>
      <c r="O3" s="416"/>
      <c r="P3" s="417"/>
      <c r="Q3" s="378" t="s">
        <v>256</v>
      </c>
      <c r="R3" s="401"/>
      <c r="S3" s="401"/>
      <c r="T3" s="401"/>
      <c r="U3" s="401"/>
      <c r="V3" s="401"/>
      <c r="W3" s="401"/>
      <c r="X3" s="418" t="s">
        <v>263</v>
      </c>
      <c r="Y3" s="419">
        <v>45167.333333333336</v>
      </c>
      <c r="Z3" s="363"/>
      <c r="AA3" s="366"/>
      <c r="AB3" s="366"/>
      <c r="AC3" s="368"/>
      <c r="AD3" s="363"/>
      <c r="AE3" s="368"/>
      <c r="AF3" s="362"/>
      <c r="AG3" s="418" t="s">
        <v>263</v>
      </c>
      <c r="AH3" s="420">
        <v>45167.333333333336</v>
      </c>
      <c r="AI3" s="421">
        <v>45167.333333333336</v>
      </c>
    </row>
    <row r="4" spans="1:36" x14ac:dyDescent="0.25">
      <c r="A4" s="348" t="str">
        <f t="shared" si="0"/>
        <v>TEST.001-RVW.1.2</v>
      </c>
      <c r="B4" s="382">
        <f>SUM($C$3:$C4)</f>
        <v>2</v>
      </c>
      <c r="C4" s="383">
        <v>1</v>
      </c>
      <c r="D4" s="384" t="str">
        <f t="shared" ref="D4:D35" si="1">$D$3</f>
        <v>TEST.001</v>
      </c>
      <c r="E4" s="164">
        <v>1</v>
      </c>
      <c r="F4" s="389" t="s">
        <v>621</v>
      </c>
      <c r="G4" s="390" t="s">
        <v>203</v>
      </c>
      <c r="H4" s="390"/>
      <c r="I4" s="157" t="str">
        <f t="shared" ref="I4:I36" si="2">_xlfn.CONCAT(F4:H4)</f>
        <v>Applicant.FSA</v>
      </c>
      <c r="J4" s="272" t="str">
        <v>No</v>
      </c>
      <c r="K4" s="267"/>
      <c r="L4" s="392" t="str">
        <f t="shared" ref="L4:L36" si="3">IF(OR(K4="Yes",K4="No"),K4,J4)</f>
        <v>No</v>
      </c>
      <c r="M4" s="274"/>
      <c r="N4" s="395" t="s">
        <v>270</v>
      </c>
      <c r="O4" s="395"/>
      <c r="P4" s="396"/>
      <c r="Q4" s="166" t="s">
        <v>256</v>
      </c>
      <c r="R4" s="401"/>
      <c r="S4" s="401"/>
      <c r="T4" s="401"/>
      <c r="U4" s="401"/>
      <c r="V4" s="401"/>
      <c r="W4" s="401"/>
      <c r="X4" s="353" t="s">
        <v>263</v>
      </c>
      <c r="Y4" s="377">
        <f>Y3</f>
        <v>45167.333333333336</v>
      </c>
      <c r="Z4" s="363"/>
      <c r="AA4" s="366"/>
      <c r="AB4" s="366"/>
      <c r="AC4" s="368"/>
      <c r="AD4" s="363"/>
      <c r="AE4" s="368"/>
      <c r="AF4" s="362"/>
      <c r="AG4" s="353" t="s">
        <v>263</v>
      </c>
      <c r="AH4" s="371">
        <v>45167.333333333336</v>
      </c>
      <c r="AI4" s="373">
        <v>45167.333333333336</v>
      </c>
    </row>
    <row r="5" spans="1:36" x14ac:dyDescent="0.25">
      <c r="A5" s="348" t="str">
        <f t="shared" si="0"/>
        <v>TEST.001-RVW.1.3</v>
      </c>
      <c r="B5" s="382">
        <f>SUM($C$3:$C5)</f>
        <v>3</v>
      </c>
      <c r="C5" s="383">
        <v>1</v>
      </c>
      <c r="D5" s="384" t="str">
        <f t="shared" si="1"/>
        <v>TEST.001</v>
      </c>
      <c r="E5" s="164">
        <v>1</v>
      </c>
      <c r="F5" s="389" t="s">
        <v>621</v>
      </c>
      <c r="G5" s="390" t="s">
        <v>636</v>
      </c>
      <c r="H5" s="390"/>
      <c r="I5" s="157" t="str">
        <f t="shared" si="2"/>
        <v>Applicant.School</v>
      </c>
      <c r="J5" s="272" t="str">
        <v>No</v>
      </c>
      <c r="K5" s="267"/>
      <c r="L5" s="392" t="str">
        <f t="shared" si="3"/>
        <v>No</v>
      </c>
      <c r="M5" s="274"/>
      <c r="N5" s="395" t="s">
        <v>270</v>
      </c>
      <c r="O5" s="395"/>
      <c r="P5" s="396"/>
      <c r="Q5" s="166" t="s">
        <v>256</v>
      </c>
      <c r="R5" s="401"/>
      <c r="S5" s="401"/>
      <c r="T5" s="401"/>
      <c r="U5" s="401"/>
      <c r="V5" s="401"/>
      <c r="W5" s="401"/>
      <c r="X5" s="353" t="s">
        <v>263</v>
      </c>
      <c r="Y5" s="377">
        <f t="shared" ref="Y5:Y36" si="4">Y4</f>
        <v>45167.333333333336</v>
      </c>
      <c r="Z5" s="365"/>
      <c r="AA5" s="367"/>
      <c r="AB5" s="367"/>
      <c r="AC5" s="369"/>
      <c r="AD5" s="365"/>
      <c r="AE5" s="369"/>
      <c r="AF5" s="364"/>
      <c r="AG5" s="353" t="s">
        <v>263</v>
      </c>
      <c r="AH5" s="371">
        <v>45167.333333333336</v>
      </c>
      <c r="AI5" s="373">
        <v>45167.333333333336</v>
      </c>
    </row>
    <row r="6" spans="1:36" x14ac:dyDescent="0.25">
      <c r="A6" s="348" t="str">
        <f t="shared" si="0"/>
        <v>TEST.001-RVW.1.4</v>
      </c>
      <c r="B6" s="382">
        <f>SUM($C$3:$C6)</f>
        <v>4</v>
      </c>
      <c r="C6" s="383">
        <v>1</v>
      </c>
      <c r="D6" s="384" t="str">
        <f t="shared" si="1"/>
        <v>TEST.001</v>
      </c>
      <c r="E6" s="165">
        <v>1</v>
      </c>
      <c r="F6" s="389" t="s">
        <v>637</v>
      </c>
      <c r="G6" s="390" t="s">
        <v>315</v>
      </c>
      <c r="H6" s="390"/>
      <c r="I6" s="157" t="str">
        <f t="shared" si="2"/>
        <v>District.Air</v>
      </c>
      <c r="J6" s="272" t="str">
        <v>No</v>
      </c>
      <c r="K6" s="267"/>
      <c r="L6" s="392" t="str">
        <f t="shared" si="3"/>
        <v>No</v>
      </c>
      <c r="M6" s="275"/>
      <c r="N6" s="397" t="s">
        <v>269</v>
      </c>
      <c r="O6" s="398">
        <v>10</v>
      </c>
      <c r="P6" s="398">
        <v>3</v>
      </c>
      <c r="Q6" s="166" t="s">
        <v>256</v>
      </c>
      <c r="R6" s="351">
        <v>0.5</v>
      </c>
      <c r="S6" s="351"/>
      <c r="T6" s="403">
        <f t="shared" ref="T6:T26" si="5">IF(S6&lt;&gt;0,S6-R6,0)</f>
        <v>0</v>
      </c>
      <c r="U6" s="404">
        <v>150</v>
      </c>
      <c r="V6" s="404">
        <f t="shared" ref="V6:V26" si="6">U6*R6</f>
        <v>75</v>
      </c>
      <c r="W6" s="404">
        <f>V6+U6*T6</f>
        <v>75</v>
      </c>
      <c r="X6" s="354" t="s">
        <v>263</v>
      </c>
      <c r="Y6" s="370">
        <f t="shared" si="4"/>
        <v>45167.333333333336</v>
      </c>
      <c r="Z6" s="354" t="s">
        <v>263</v>
      </c>
      <c r="AA6" s="361">
        <f t="shared" ref="AA6:AA36" ca="1" si="7">O6-AF6</f>
        <v>3.3333333333357587</v>
      </c>
      <c r="AB6" s="361">
        <f ca="1">NETWORKDAYS(TODAY(),AC6)</f>
        <v>6</v>
      </c>
      <c r="AC6" s="370">
        <f t="shared" ref="AC6:AC36" si="8">IF(E6=1,WORKDAY(AE6,O6),WORKDAY(AE6,P6))</f>
        <v>45181</v>
      </c>
      <c r="AD6" s="354" t="s">
        <v>263</v>
      </c>
      <c r="AE6" s="370">
        <v>45167.333333333336</v>
      </c>
      <c r="AF6" s="361">
        <f t="shared" ref="AF6:AF36" ca="1" si="9">TODAY()-AE6</f>
        <v>6.6666666666642413</v>
      </c>
      <c r="AG6" s="354" t="s">
        <v>263</v>
      </c>
      <c r="AH6" s="371">
        <v>45167.333333333336</v>
      </c>
      <c r="AI6" s="374">
        <v>45167.333333333336</v>
      </c>
    </row>
    <row r="7" spans="1:36" x14ac:dyDescent="0.25">
      <c r="A7" s="348" t="str">
        <f t="shared" si="0"/>
        <v>TEST.001-RVW.1.5</v>
      </c>
      <c r="B7" s="382">
        <f>SUM($C$3:$C7)</f>
        <v>5</v>
      </c>
      <c r="C7" s="383">
        <v>1</v>
      </c>
      <c r="D7" s="384" t="str">
        <f t="shared" si="1"/>
        <v>TEST.001</v>
      </c>
      <c r="E7" s="166">
        <v>1</v>
      </c>
      <c r="F7" s="389" t="s">
        <v>637</v>
      </c>
      <c r="G7" s="390" t="s">
        <v>253</v>
      </c>
      <c r="H7" s="390"/>
      <c r="I7" s="157" t="str">
        <f t="shared" si="2"/>
        <v>District.Fire</v>
      </c>
      <c r="J7" s="272" t="str">
        <v>No</v>
      </c>
      <c r="K7" s="267"/>
      <c r="L7" s="392" t="str">
        <f>IF(OR(K7="Yes",K7="No"),K7,J7)</f>
        <v>No</v>
      </c>
      <c r="M7" s="276"/>
      <c r="N7" s="397" t="s">
        <v>189</v>
      </c>
      <c r="O7" s="398">
        <v>10</v>
      </c>
      <c r="P7" s="398">
        <v>3</v>
      </c>
      <c r="Q7" s="166" t="s">
        <v>256</v>
      </c>
      <c r="R7" s="351">
        <v>0.5</v>
      </c>
      <c r="S7" s="351"/>
      <c r="T7" s="403">
        <f t="shared" si="5"/>
        <v>0</v>
      </c>
      <c r="U7" s="404">
        <v>150</v>
      </c>
      <c r="V7" s="404">
        <f t="shared" si="6"/>
        <v>75</v>
      </c>
      <c r="W7" s="404">
        <f t="shared" ref="W7:W26" si="10">V7+U7*T7</f>
        <v>75</v>
      </c>
      <c r="X7" s="355" t="s">
        <v>263</v>
      </c>
      <c r="Y7" s="371">
        <f t="shared" si="4"/>
        <v>45167.333333333336</v>
      </c>
      <c r="Z7" s="355" t="s">
        <v>263</v>
      </c>
      <c r="AA7" s="358">
        <f t="shared" ca="1" si="7"/>
        <v>3.3333333333357587</v>
      </c>
      <c r="AB7" s="358">
        <f t="shared" ref="AB7:AB36" ca="1" si="11">NETWORKDAYS(TODAY(),AC7)</f>
        <v>6</v>
      </c>
      <c r="AC7" s="371">
        <f t="shared" si="8"/>
        <v>45181</v>
      </c>
      <c r="AD7" s="355" t="s">
        <v>263</v>
      </c>
      <c r="AE7" s="371">
        <v>45167.333333333336</v>
      </c>
      <c r="AF7" s="358">
        <f t="shared" ca="1" si="9"/>
        <v>6.6666666666642413</v>
      </c>
      <c r="AG7" s="355" t="s">
        <v>263</v>
      </c>
      <c r="AH7" s="371">
        <v>45167.333333333336</v>
      </c>
      <c r="AI7" s="375">
        <v>45167.333333333336</v>
      </c>
    </row>
    <row r="8" spans="1:36" x14ac:dyDescent="0.25">
      <c r="A8" s="348" t="str">
        <f t="shared" si="0"/>
        <v>TEST.001-RVW.1.6</v>
      </c>
      <c r="B8" s="382">
        <f>SUM($C$3:$C8)</f>
        <v>6</v>
      </c>
      <c r="C8" s="383">
        <v>1</v>
      </c>
      <c r="D8" s="384" t="str">
        <f t="shared" si="1"/>
        <v>TEST.001</v>
      </c>
      <c r="E8" s="166">
        <v>1</v>
      </c>
      <c r="F8" s="389" t="s">
        <v>637</v>
      </c>
      <c r="G8" s="390" t="s">
        <v>264</v>
      </c>
      <c r="H8" s="390"/>
      <c r="I8" s="157" t="str">
        <f t="shared" si="2"/>
        <v>District.CSD/CSA</v>
      </c>
      <c r="J8" s="272" t="str">
        <v>No</v>
      </c>
      <c r="K8" s="267"/>
      <c r="L8" s="392" t="str">
        <f>IF(OR(K8="Yes",K8="No"),K8,J8)</f>
        <v>No</v>
      </c>
      <c r="M8" s="276"/>
      <c r="N8" s="397" t="s">
        <v>188</v>
      </c>
      <c r="O8" s="398">
        <v>10</v>
      </c>
      <c r="P8" s="398">
        <v>3</v>
      </c>
      <c r="Q8" s="166" t="s">
        <v>256</v>
      </c>
      <c r="R8" s="350">
        <v>0.5</v>
      </c>
      <c r="S8" s="350"/>
      <c r="T8" s="402">
        <f t="shared" si="5"/>
        <v>0</v>
      </c>
      <c r="U8" s="404">
        <v>150</v>
      </c>
      <c r="V8" s="404">
        <f t="shared" si="6"/>
        <v>75</v>
      </c>
      <c r="W8" s="404">
        <f t="shared" si="10"/>
        <v>75</v>
      </c>
      <c r="X8" s="355" t="s">
        <v>263</v>
      </c>
      <c r="Y8" s="371">
        <f t="shared" si="4"/>
        <v>45167.333333333336</v>
      </c>
      <c r="Z8" s="355" t="s">
        <v>263</v>
      </c>
      <c r="AA8" s="358">
        <f t="shared" ca="1" si="7"/>
        <v>3.3333333333357587</v>
      </c>
      <c r="AB8" s="358">
        <f t="shared" ca="1" si="11"/>
        <v>6</v>
      </c>
      <c r="AC8" s="371">
        <f t="shared" si="8"/>
        <v>45181</v>
      </c>
      <c r="AD8" s="355" t="s">
        <v>263</v>
      </c>
      <c r="AE8" s="371">
        <v>45167.333333333336</v>
      </c>
      <c r="AF8" s="358">
        <f t="shared" ca="1" si="9"/>
        <v>6.6666666666642413</v>
      </c>
      <c r="AG8" s="355" t="s">
        <v>263</v>
      </c>
      <c r="AH8" s="371">
        <v>45167.333333333336</v>
      </c>
      <c r="AI8" s="375">
        <v>45167.333333333336</v>
      </c>
    </row>
    <row r="9" spans="1:36" x14ac:dyDescent="0.25">
      <c r="A9" s="348" t="str">
        <f t="shared" si="0"/>
        <v>TEST.001-RVW.1.7</v>
      </c>
      <c r="B9" s="382">
        <f>SUM($C$3:$C9)</f>
        <v>7</v>
      </c>
      <c r="C9" s="383">
        <v>1</v>
      </c>
      <c r="D9" s="384" t="str">
        <f t="shared" si="1"/>
        <v>TEST.001</v>
      </c>
      <c r="E9" s="165">
        <v>1</v>
      </c>
      <c r="F9" s="389" t="s">
        <v>594</v>
      </c>
      <c r="G9" s="390" t="s">
        <v>575</v>
      </c>
      <c r="H9" s="390" t="s">
        <v>623</v>
      </c>
      <c r="I9" s="160" t="str">
        <f t="shared" si="2"/>
        <v>DCS.Bldg.Full</v>
      </c>
      <c r="J9" s="272" t="str">
        <v>No</v>
      </c>
      <c r="K9" s="267"/>
      <c r="L9" s="392" t="str">
        <f t="shared" si="3"/>
        <v>No</v>
      </c>
      <c r="M9" s="275"/>
      <c r="N9" s="397" t="s">
        <v>189</v>
      </c>
      <c r="O9" s="398">
        <v>10</v>
      </c>
      <c r="P9" s="398">
        <v>3</v>
      </c>
      <c r="Q9" s="166" t="s">
        <v>256</v>
      </c>
      <c r="R9" s="351">
        <v>0.5</v>
      </c>
      <c r="S9" s="351"/>
      <c r="T9" s="403">
        <f t="shared" si="5"/>
        <v>0</v>
      </c>
      <c r="U9" s="404">
        <v>150</v>
      </c>
      <c r="V9" s="404">
        <f t="shared" si="6"/>
        <v>75</v>
      </c>
      <c r="W9" s="404">
        <f t="shared" si="10"/>
        <v>75</v>
      </c>
      <c r="X9" s="354" t="s">
        <v>263</v>
      </c>
      <c r="Y9" s="370">
        <f t="shared" si="4"/>
        <v>45167.333333333336</v>
      </c>
      <c r="Z9" s="354" t="s">
        <v>263</v>
      </c>
      <c r="AA9" s="357">
        <f t="shared" ca="1" si="7"/>
        <v>3.3333333333357587</v>
      </c>
      <c r="AB9" s="357">
        <f t="shared" ca="1" si="11"/>
        <v>6</v>
      </c>
      <c r="AC9" s="370">
        <f t="shared" si="8"/>
        <v>45181</v>
      </c>
      <c r="AD9" s="354" t="s">
        <v>263</v>
      </c>
      <c r="AE9" s="370">
        <v>45167.333333333336</v>
      </c>
      <c r="AF9" s="357">
        <f t="shared" ca="1" si="9"/>
        <v>6.6666666666642413</v>
      </c>
      <c r="AG9" s="354" t="s">
        <v>263</v>
      </c>
      <c r="AH9" s="371">
        <v>45167.333333333336</v>
      </c>
      <c r="AI9" s="374">
        <v>45167.333333333336</v>
      </c>
    </row>
    <row r="10" spans="1:36" x14ac:dyDescent="0.25">
      <c r="A10" s="348" t="str">
        <f t="shared" si="0"/>
        <v>TEST.001-RVW.1.8</v>
      </c>
      <c r="B10" s="382">
        <f>SUM($C$3:$C10)</f>
        <v>8</v>
      </c>
      <c r="C10" s="383">
        <v>1</v>
      </c>
      <c r="D10" s="384" t="str">
        <f t="shared" si="1"/>
        <v>TEST.001</v>
      </c>
      <c r="E10" s="165">
        <v>1</v>
      </c>
      <c r="F10" s="389" t="s">
        <v>594</v>
      </c>
      <c r="G10" s="390" t="s">
        <v>575</v>
      </c>
      <c r="H10" s="390" t="s">
        <v>624</v>
      </c>
      <c r="I10" s="160" t="str">
        <f t="shared" si="2"/>
        <v>DCS.Bldg.Accessibility</v>
      </c>
      <c r="J10" s="272">
        <v>0</v>
      </c>
      <c r="K10" s="267"/>
      <c r="L10" s="392">
        <f t="shared" si="3"/>
        <v>0</v>
      </c>
      <c r="M10" s="275"/>
      <c r="N10" s="397" t="s">
        <v>189</v>
      </c>
      <c r="O10" s="398">
        <v>10</v>
      </c>
      <c r="P10" s="398">
        <v>3</v>
      </c>
      <c r="Q10" s="166" t="s">
        <v>256</v>
      </c>
      <c r="R10" s="351">
        <v>0.5</v>
      </c>
      <c r="S10" s="351"/>
      <c r="T10" s="403">
        <f t="shared" si="5"/>
        <v>0</v>
      </c>
      <c r="U10" s="404">
        <v>150</v>
      </c>
      <c r="V10" s="404">
        <f t="shared" si="6"/>
        <v>75</v>
      </c>
      <c r="W10" s="404">
        <f t="shared" si="10"/>
        <v>75</v>
      </c>
      <c r="X10" s="354" t="s">
        <v>263</v>
      </c>
      <c r="Y10" s="370">
        <f t="shared" si="4"/>
        <v>45167.333333333336</v>
      </c>
      <c r="Z10" s="354" t="s">
        <v>263</v>
      </c>
      <c r="AA10" s="357">
        <f t="shared" ca="1" si="7"/>
        <v>3.3333333333357587</v>
      </c>
      <c r="AB10" s="357">
        <f t="shared" ca="1" si="11"/>
        <v>6</v>
      </c>
      <c r="AC10" s="370">
        <f t="shared" si="8"/>
        <v>45181</v>
      </c>
      <c r="AD10" s="354" t="s">
        <v>263</v>
      </c>
      <c r="AE10" s="370">
        <v>45167.333333333336</v>
      </c>
      <c r="AF10" s="357">
        <f t="shared" ca="1" si="9"/>
        <v>6.6666666666642413</v>
      </c>
      <c r="AG10" s="354" t="s">
        <v>263</v>
      </c>
      <c r="AH10" s="371">
        <v>45167.333333333336</v>
      </c>
      <c r="AI10" s="374">
        <v>45167.333333333336</v>
      </c>
    </row>
    <row r="11" spans="1:36" x14ac:dyDescent="0.25">
      <c r="A11" s="348" t="str">
        <f t="shared" si="0"/>
        <v>TEST.001-RVW.1.9</v>
      </c>
      <c r="B11" s="382">
        <f>SUM($C$3:$C11)</f>
        <v>9</v>
      </c>
      <c r="C11" s="383">
        <v>1</v>
      </c>
      <c r="D11" s="384" t="str">
        <f t="shared" si="1"/>
        <v>TEST.001</v>
      </c>
      <c r="E11" s="166">
        <v>1</v>
      </c>
      <c r="F11" s="389" t="s">
        <v>594</v>
      </c>
      <c r="G11" s="390" t="s">
        <v>575</v>
      </c>
      <c r="H11" s="390" t="s">
        <v>625</v>
      </c>
      <c r="I11" s="160" t="str">
        <f t="shared" si="2"/>
        <v>DCS.Bldg.Addressing</v>
      </c>
      <c r="J11" s="272">
        <v>0</v>
      </c>
      <c r="K11" s="267"/>
      <c r="L11" s="392">
        <f t="shared" si="3"/>
        <v>0</v>
      </c>
      <c r="M11" s="276"/>
      <c r="N11" s="397" t="s">
        <v>188</v>
      </c>
      <c r="O11" s="398">
        <v>3</v>
      </c>
      <c r="P11" s="398">
        <v>3</v>
      </c>
      <c r="Q11" s="166" t="s">
        <v>256</v>
      </c>
      <c r="R11" s="351">
        <v>0.5</v>
      </c>
      <c r="S11" s="351"/>
      <c r="T11" s="403">
        <f t="shared" si="5"/>
        <v>0</v>
      </c>
      <c r="U11" s="404">
        <v>150</v>
      </c>
      <c r="V11" s="404">
        <f t="shared" si="6"/>
        <v>75</v>
      </c>
      <c r="W11" s="404">
        <f t="shared" si="10"/>
        <v>75</v>
      </c>
      <c r="X11" s="355" t="s">
        <v>263</v>
      </c>
      <c r="Y11" s="371">
        <f t="shared" si="4"/>
        <v>45167.333333333336</v>
      </c>
      <c r="Z11" s="355" t="s">
        <v>263</v>
      </c>
      <c r="AA11" s="358">
        <f t="shared" ca="1" si="7"/>
        <v>-3.6666666666642413</v>
      </c>
      <c r="AB11" s="358">
        <f t="shared" ca="1" si="11"/>
        <v>-3</v>
      </c>
      <c r="AC11" s="371">
        <f t="shared" si="8"/>
        <v>45170</v>
      </c>
      <c r="AD11" s="355" t="s">
        <v>263</v>
      </c>
      <c r="AE11" s="371">
        <v>45167.333333333336</v>
      </c>
      <c r="AF11" s="358">
        <f t="shared" ca="1" si="9"/>
        <v>6.6666666666642413</v>
      </c>
      <c r="AG11" s="355" t="s">
        <v>263</v>
      </c>
      <c r="AH11" s="371">
        <v>45167.333333333336</v>
      </c>
      <c r="AI11" s="375">
        <v>45167.333333333336</v>
      </c>
    </row>
    <row r="12" spans="1:36" x14ac:dyDescent="0.25">
      <c r="A12" s="348" t="str">
        <f t="shared" si="0"/>
        <v>TEST.001-RVW.1.10</v>
      </c>
      <c r="B12" s="382">
        <f>SUM($C$3:$C12)</f>
        <v>10</v>
      </c>
      <c r="C12" s="383">
        <v>1</v>
      </c>
      <c r="D12" s="384" t="str">
        <f t="shared" si="1"/>
        <v>TEST.001</v>
      </c>
      <c r="E12" s="166">
        <v>1</v>
      </c>
      <c r="F12" s="389" t="s">
        <v>594</v>
      </c>
      <c r="G12" s="390" t="s">
        <v>575</v>
      </c>
      <c r="H12" s="390" t="s">
        <v>626</v>
      </c>
      <c r="I12" s="160" t="str">
        <f t="shared" si="2"/>
        <v>DCS.Bldg.AgExempt</v>
      </c>
      <c r="J12" s="272">
        <v>0</v>
      </c>
      <c r="K12" s="267"/>
      <c r="L12" s="392">
        <f t="shared" si="3"/>
        <v>0</v>
      </c>
      <c r="M12" s="276"/>
      <c r="N12" s="397" t="s">
        <v>188</v>
      </c>
      <c r="O12" s="398">
        <v>10</v>
      </c>
      <c r="P12" s="398">
        <v>3</v>
      </c>
      <c r="Q12" s="166" t="s">
        <v>256</v>
      </c>
      <c r="R12" s="351">
        <v>0.5</v>
      </c>
      <c r="S12" s="351">
        <v>1.5</v>
      </c>
      <c r="T12" s="403">
        <f t="shared" si="5"/>
        <v>1</v>
      </c>
      <c r="U12" s="404">
        <v>150</v>
      </c>
      <c r="V12" s="404">
        <f t="shared" si="6"/>
        <v>75</v>
      </c>
      <c r="W12" s="404">
        <f t="shared" si="10"/>
        <v>225</v>
      </c>
      <c r="X12" s="355" t="s">
        <v>263</v>
      </c>
      <c r="Y12" s="371">
        <f t="shared" si="4"/>
        <v>45167.333333333336</v>
      </c>
      <c r="Z12" s="355" t="s">
        <v>263</v>
      </c>
      <c r="AA12" s="358">
        <f t="shared" ca="1" si="7"/>
        <v>-10.666666666664241</v>
      </c>
      <c r="AB12" s="358">
        <f t="shared" ca="1" si="11"/>
        <v>-6</v>
      </c>
      <c r="AC12" s="371">
        <f t="shared" si="8"/>
        <v>45167</v>
      </c>
      <c r="AD12" s="355" t="s">
        <v>263</v>
      </c>
      <c r="AE12" s="371">
        <v>45153.333333333336</v>
      </c>
      <c r="AF12" s="358">
        <f t="shared" ca="1" si="9"/>
        <v>20.666666666664241</v>
      </c>
      <c r="AG12" s="355" t="s">
        <v>263</v>
      </c>
      <c r="AH12" s="371">
        <v>45167.333333333336</v>
      </c>
      <c r="AI12" s="375">
        <v>45167.333333333336</v>
      </c>
    </row>
    <row r="13" spans="1:36" x14ac:dyDescent="0.25">
      <c r="A13" s="348" t="str">
        <f t="shared" si="0"/>
        <v>TEST.001-RVW.1.11</v>
      </c>
      <c r="B13" s="382">
        <f>SUM($C$3:$C13)</f>
        <v>11</v>
      </c>
      <c r="C13" s="383">
        <v>1</v>
      </c>
      <c r="D13" s="384" t="str">
        <f t="shared" si="1"/>
        <v>TEST.001</v>
      </c>
      <c r="E13" s="166">
        <v>1</v>
      </c>
      <c r="F13" s="389" t="s">
        <v>594</v>
      </c>
      <c r="G13" s="390" t="s">
        <v>575</v>
      </c>
      <c r="H13" s="390" t="s">
        <v>627</v>
      </c>
      <c r="I13" s="160" t="str">
        <f t="shared" si="2"/>
        <v>DCS.Bldg.Architectural</v>
      </c>
      <c r="J13" s="272">
        <v>0</v>
      </c>
      <c r="K13" s="267"/>
      <c r="L13" s="392">
        <f t="shared" si="3"/>
        <v>0</v>
      </c>
      <c r="M13" s="276"/>
      <c r="N13" s="397" t="s">
        <v>189</v>
      </c>
      <c r="O13" s="398">
        <v>10</v>
      </c>
      <c r="P13" s="398">
        <v>3</v>
      </c>
      <c r="Q13" s="166" t="s">
        <v>256</v>
      </c>
      <c r="R13" s="351">
        <v>0.5</v>
      </c>
      <c r="S13" s="351"/>
      <c r="T13" s="403">
        <f t="shared" si="5"/>
        <v>0</v>
      </c>
      <c r="U13" s="404">
        <v>150</v>
      </c>
      <c r="V13" s="404">
        <f t="shared" si="6"/>
        <v>75</v>
      </c>
      <c r="W13" s="404">
        <f t="shared" si="10"/>
        <v>75</v>
      </c>
      <c r="X13" s="355" t="s">
        <v>263</v>
      </c>
      <c r="Y13" s="371">
        <f t="shared" si="4"/>
        <v>45167.333333333336</v>
      </c>
      <c r="Z13" s="355" t="s">
        <v>263</v>
      </c>
      <c r="AA13" s="358">
        <f t="shared" ca="1" si="7"/>
        <v>3.3333333333357587</v>
      </c>
      <c r="AB13" s="358">
        <f t="shared" ca="1" si="11"/>
        <v>6</v>
      </c>
      <c r="AC13" s="371">
        <f t="shared" si="8"/>
        <v>45181</v>
      </c>
      <c r="AD13" s="355" t="s">
        <v>263</v>
      </c>
      <c r="AE13" s="371">
        <v>45167.333333333336</v>
      </c>
      <c r="AF13" s="358">
        <f t="shared" ca="1" si="9"/>
        <v>6.6666666666642413</v>
      </c>
      <c r="AG13" s="355" t="s">
        <v>263</v>
      </c>
      <c r="AH13" s="371">
        <v>45167.333333333336</v>
      </c>
      <c r="AI13" s="375">
        <v>45167.333333333336</v>
      </c>
    </row>
    <row r="14" spans="1:36" x14ac:dyDescent="0.25">
      <c r="A14" s="348" t="str">
        <f t="shared" si="0"/>
        <v>TEST.001-RVW.1.12</v>
      </c>
      <c r="B14" s="382">
        <f>SUM($C$3:$C14)</f>
        <v>12</v>
      </c>
      <c r="C14" s="383">
        <v>1</v>
      </c>
      <c r="D14" s="384" t="str">
        <f t="shared" si="1"/>
        <v>TEST.001</v>
      </c>
      <c r="E14" s="166">
        <v>1</v>
      </c>
      <c r="F14" s="389" t="s">
        <v>594</v>
      </c>
      <c r="G14" s="390" t="s">
        <v>575</v>
      </c>
      <c r="H14" s="390" t="s">
        <v>628</v>
      </c>
      <c r="I14" s="160" t="str">
        <f t="shared" si="2"/>
        <v>DCS.Bldg.CC/MH/THOW</v>
      </c>
      <c r="J14" s="272">
        <v>0</v>
      </c>
      <c r="K14" s="267"/>
      <c r="L14" s="392">
        <f t="shared" si="3"/>
        <v>0</v>
      </c>
      <c r="M14" s="276"/>
      <c r="N14" s="397" t="s">
        <v>188</v>
      </c>
      <c r="O14" s="398">
        <v>10</v>
      </c>
      <c r="P14" s="398">
        <v>3</v>
      </c>
      <c r="Q14" s="166" t="s">
        <v>256</v>
      </c>
      <c r="R14" s="351">
        <v>0.5</v>
      </c>
      <c r="S14" s="351"/>
      <c r="T14" s="403">
        <f t="shared" si="5"/>
        <v>0</v>
      </c>
      <c r="U14" s="404">
        <v>150</v>
      </c>
      <c r="V14" s="404">
        <f t="shared" si="6"/>
        <v>75</v>
      </c>
      <c r="W14" s="404">
        <f t="shared" si="10"/>
        <v>75</v>
      </c>
      <c r="X14" s="355" t="s">
        <v>263</v>
      </c>
      <c r="Y14" s="371">
        <f t="shared" si="4"/>
        <v>45167.333333333336</v>
      </c>
      <c r="Z14" s="355" t="s">
        <v>263</v>
      </c>
      <c r="AA14" s="358">
        <f t="shared" ca="1" si="7"/>
        <v>3.3333333333357587</v>
      </c>
      <c r="AB14" s="358">
        <f t="shared" ca="1" si="11"/>
        <v>6</v>
      </c>
      <c r="AC14" s="371">
        <f t="shared" si="8"/>
        <v>45181</v>
      </c>
      <c r="AD14" s="355" t="s">
        <v>263</v>
      </c>
      <c r="AE14" s="371">
        <v>45167.333333333336</v>
      </c>
      <c r="AF14" s="358">
        <f t="shared" ca="1" si="9"/>
        <v>6.6666666666642413</v>
      </c>
      <c r="AG14" s="355" t="s">
        <v>263</v>
      </c>
      <c r="AH14" s="371">
        <v>45167.333333333336</v>
      </c>
      <c r="AI14" s="375">
        <v>45167.333333333336</v>
      </c>
    </row>
    <row r="15" spans="1:36" x14ac:dyDescent="0.25">
      <c r="A15" s="348" t="str">
        <f t="shared" si="0"/>
        <v>TEST.001-RVW.1.13</v>
      </c>
      <c r="B15" s="382">
        <f>SUM($C$3:$C15)</f>
        <v>13</v>
      </c>
      <c r="C15" s="383">
        <v>1</v>
      </c>
      <c r="D15" s="384" t="str">
        <f t="shared" si="1"/>
        <v>TEST.001</v>
      </c>
      <c r="E15" s="166">
        <v>1</v>
      </c>
      <c r="F15" s="389" t="s">
        <v>594</v>
      </c>
      <c r="G15" s="390" t="s">
        <v>575</v>
      </c>
      <c r="H15" s="390" t="s">
        <v>23</v>
      </c>
      <c r="I15" s="160" t="str">
        <f t="shared" si="2"/>
        <v>DCS.Bldg.Demolition</v>
      </c>
      <c r="J15" s="272" t="str">
        <v>No</v>
      </c>
      <c r="K15" s="267"/>
      <c r="L15" s="392" t="str">
        <f t="shared" si="3"/>
        <v>No</v>
      </c>
      <c r="M15" s="276"/>
      <c r="N15" s="397" t="s">
        <v>188</v>
      </c>
      <c r="O15" s="398">
        <v>10</v>
      </c>
      <c r="P15" s="398">
        <v>3</v>
      </c>
      <c r="Q15" s="166" t="s">
        <v>256</v>
      </c>
      <c r="R15" s="351">
        <v>0.5</v>
      </c>
      <c r="S15" s="351"/>
      <c r="T15" s="403">
        <f t="shared" si="5"/>
        <v>0</v>
      </c>
      <c r="U15" s="404">
        <v>150</v>
      </c>
      <c r="V15" s="404">
        <f t="shared" si="6"/>
        <v>75</v>
      </c>
      <c r="W15" s="404">
        <f t="shared" si="10"/>
        <v>75</v>
      </c>
      <c r="X15" s="355" t="s">
        <v>263</v>
      </c>
      <c r="Y15" s="371">
        <f t="shared" si="4"/>
        <v>45167.333333333336</v>
      </c>
      <c r="Z15" s="355" t="s">
        <v>263</v>
      </c>
      <c r="AA15" s="358">
        <f t="shared" ca="1" si="7"/>
        <v>3.3333333333357587</v>
      </c>
      <c r="AB15" s="358">
        <f t="shared" ca="1" si="11"/>
        <v>6</v>
      </c>
      <c r="AC15" s="371">
        <f t="shared" si="8"/>
        <v>45181</v>
      </c>
      <c r="AD15" s="355" t="s">
        <v>263</v>
      </c>
      <c r="AE15" s="371">
        <v>45167.333333333336</v>
      </c>
      <c r="AF15" s="358">
        <f t="shared" ca="1" si="9"/>
        <v>6.6666666666642413</v>
      </c>
      <c r="AG15" s="355" t="s">
        <v>263</v>
      </c>
      <c r="AH15" s="371">
        <v>45167.333333333336</v>
      </c>
      <c r="AI15" s="375">
        <v>45167.333333333336</v>
      </c>
    </row>
    <row r="16" spans="1:36" x14ac:dyDescent="0.25">
      <c r="A16" s="348" t="str">
        <f t="shared" si="0"/>
        <v>TEST.001-RVW.1.14</v>
      </c>
      <c r="B16" s="382">
        <f>SUM($C$3:$C16)</f>
        <v>14</v>
      </c>
      <c r="C16" s="383">
        <v>1</v>
      </c>
      <c r="D16" s="384" t="str">
        <f t="shared" si="1"/>
        <v>TEST.001</v>
      </c>
      <c r="E16" s="166">
        <v>1</v>
      </c>
      <c r="F16" s="389" t="s">
        <v>594</v>
      </c>
      <c r="G16" s="390" t="s">
        <v>575</v>
      </c>
      <c r="H16" s="390" t="s">
        <v>24</v>
      </c>
      <c r="I16" s="160" t="str">
        <f t="shared" si="2"/>
        <v>DCS.Bldg.Grading</v>
      </c>
      <c r="J16" s="272">
        <v>0</v>
      </c>
      <c r="K16" s="267"/>
      <c r="L16" s="392">
        <f t="shared" si="3"/>
        <v>0</v>
      </c>
      <c r="M16" s="276"/>
      <c r="N16" s="397" t="s">
        <v>189</v>
      </c>
      <c r="O16" s="398">
        <v>10</v>
      </c>
      <c r="P16" s="398">
        <v>3</v>
      </c>
      <c r="Q16" s="166" t="s">
        <v>256</v>
      </c>
      <c r="R16" s="350">
        <v>0.5</v>
      </c>
      <c r="S16" s="350"/>
      <c r="T16" s="402">
        <f t="shared" si="5"/>
        <v>0</v>
      </c>
      <c r="U16" s="404">
        <v>150</v>
      </c>
      <c r="V16" s="404">
        <f t="shared" si="6"/>
        <v>75</v>
      </c>
      <c r="W16" s="404">
        <f t="shared" si="10"/>
        <v>75</v>
      </c>
      <c r="X16" s="355" t="s">
        <v>263</v>
      </c>
      <c r="Y16" s="371">
        <f t="shared" si="4"/>
        <v>45167.333333333336</v>
      </c>
      <c r="Z16" s="355" t="s">
        <v>263</v>
      </c>
      <c r="AA16" s="358">
        <f t="shared" ca="1" si="7"/>
        <v>3.3333333333357587</v>
      </c>
      <c r="AB16" s="358">
        <f t="shared" ca="1" si="11"/>
        <v>6</v>
      </c>
      <c r="AC16" s="371">
        <f t="shared" si="8"/>
        <v>45181</v>
      </c>
      <c r="AD16" s="355" t="s">
        <v>263</v>
      </c>
      <c r="AE16" s="371">
        <v>45167.333333333336</v>
      </c>
      <c r="AF16" s="358">
        <f t="shared" ca="1" si="9"/>
        <v>6.6666666666642413</v>
      </c>
      <c r="AG16" s="355" t="s">
        <v>263</v>
      </c>
      <c r="AH16" s="371">
        <v>45167.333333333336</v>
      </c>
      <c r="AI16" s="375">
        <v>45167.333333333336</v>
      </c>
    </row>
    <row r="17" spans="1:35" x14ac:dyDescent="0.25">
      <c r="A17" s="348" t="str">
        <f t="shared" si="0"/>
        <v>TEST.001-RVW.1.15</v>
      </c>
      <c r="B17" s="382">
        <f>SUM($C$3:$C17)</f>
        <v>15</v>
      </c>
      <c r="C17" s="383">
        <v>1</v>
      </c>
      <c r="D17" s="384" t="str">
        <f t="shared" si="1"/>
        <v>TEST.001</v>
      </c>
      <c r="E17" s="165">
        <v>1</v>
      </c>
      <c r="F17" s="389" t="s">
        <v>594</v>
      </c>
      <c r="G17" s="390" t="s">
        <v>575</v>
      </c>
      <c r="H17" s="390" t="s">
        <v>629</v>
      </c>
      <c r="I17" s="160" t="str">
        <f t="shared" si="2"/>
        <v>DCS.Bldg.Green/Energy</v>
      </c>
      <c r="J17" s="272">
        <v>0</v>
      </c>
      <c r="K17" s="267"/>
      <c r="L17" s="392">
        <f t="shared" si="3"/>
        <v>0</v>
      </c>
      <c r="M17" s="275"/>
      <c r="N17" s="397" t="s">
        <v>188</v>
      </c>
      <c r="O17" s="398">
        <v>10</v>
      </c>
      <c r="P17" s="398">
        <v>3</v>
      </c>
      <c r="Q17" s="166" t="s">
        <v>256</v>
      </c>
      <c r="R17" s="351">
        <v>0.5</v>
      </c>
      <c r="S17" s="351"/>
      <c r="T17" s="403">
        <f t="shared" si="5"/>
        <v>0</v>
      </c>
      <c r="U17" s="404">
        <v>150</v>
      </c>
      <c r="V17" s="404">
        <f t="shared" si="6"/>
        <v>75</v>
      </c>
      <c r="W17" s="404">
        <f t="shared" si="10"/>
        <v>75</v>
      </c>
      <c r="X17" s="354" t="s">
        <v>263</v>
      </c>
      <c r="Y17" s="370">
        <f t="shared" si="4"/>
        <v>45167.333333333336</v>
      </c>
      <c r="Z17" s="354" t="s">
        <v>263</v>
      </c>
      <c r="AA17" s="357">
        <f t="shared" ca="1" si="7"/>
        <v>3.3333333333357587</v>
      </c>
      <c r="AB17" s="357">
        <f t="shared" ca="1" si="11"/>
        <v>6</v>
      </c>
      <c r="AC17" s="370">
        <f t="shared" si="8"/>
        <v>45181</v>
      </c>
      <c r="AD17" s="354" t="s">
        <v>263</v>
      </c>
      <c r="AE17" s="370">
        <v>45167.333333333336</v>
      </c>
      <c r="AF17" s="357">
        <f t="shared" ca="1" si="9"/>
        <v>6.6666666666642413</v>
      </c>
      <c r="AG17" s="354" t="s">
        <v>263</v>
      </c>
      <c r="AH17" s="371">
        <v>45167.333333333336</v>
      </c>
      <c r="AI17" s="374">
        <v>45167.333333333336</v>
      </c>
    </row>
    <row r="18" spans="1:35" x14ac:dyDescent="0.25">
      <c r="A18" s="348" t="str">
        <f t="shared" si="0"/>
        <v>TEST.001-RVW.1.16</v>
      </c>
      <c r="B18" s="382">
        <f>SUM($C$3:$C18)</f>
        <v>16</v>
      </c>
      <c r="C18" s="383">
        <v>1</v>
      </c>
      <c r="D18" s="384" t="str">
        <f t="shared" si="1"/>
        <v>TEST.001</v>
      </c>
      <c r="E18" s="166">
        <v>1</v>
      </c>
      <c r="F18" s="389" t="s">
        <v>594</v>
      </c>
      <c r="G18" s="390" t="s">
        <v>575</v>
      </c>
      <c r="H18" s="390" t="s">
        <v>254</v>
      </c>
      <c r="I18" s="160" t="str">
        <f t="shared" si="2"/>
        <v>DCS.Bldg.Electrical</v>
      </c>
      <c r="J18" s="272" t="str">
        <v>No</v>
      </c>
      <c r="K18" s="267"/>
      <c r="L18" s="392" t="str">
        <f t="shared" si="3"/>
        <v>No</v>
      </c>
      <c r="M18" s="276"/>
      <c r="N18" s="397" t="s">
        <v>190</v>
      </c>
      <c r="O18" s="398">
        <v>10</v>
      </c>
      <c r="P18" s="398">
        <v>3</v>
      </c>
      <c r="Q18" s="166" t="s">
        <v>256</v>
      </c>
      <c r="R18" s="350">
        <v>0.5</v>
      </c>
      <c r="S18" s="350"/>
      <c r="T18" s="402">
        <f t="shared" si="5"/>
        <v>0</v>
      </c>
      <c r="U18" s="404">
        <v>150</v>
      </c>
      <c r="V18" s="404">
        <f t="shared" si="6"/>
        <v>75</v>
      </c>
      <c r="W18" s="404">
        <f t="shared" si="10"/>
        <v>75</v>
      </c>
      <c r="X18" s="355" t="s">
        <v>263</v>
      </c>
      <c r="Y18" s="371">
        <f t="shared" si="4"/>
        <v>45167.333333333336</v>
      </c>
      <c r="Z18" s="355" t="s">
        <v>263</v>
      </c>
      <c r="AA18" s="358">
        <f t="shared" ca="1" si="7"/>
        <v>3.3333333333357587</v>
      </c>
      <c r="AB18" s="358">
        <f t="shared" ca="1" si="11"/>
        <v>6</v>
      </c>
      <c r="AC18" s="371">
        <f t="shared" si="8"/>
        <v>45181</v>
      </c>
      <c r="AD18" s="355" t="s">
        <v>263</v>
      </c>
      <c r="AE18" s="371">
        <v>45167.333333333336</v>
      </c>
      <c r="AF18" s="358">
        <f t="shared" ca="1" si="9"/>
        <v>6.6666666666642413</v>
      </c>
      <c r="AG18" s="355" t="s">
        <v>263</v>
      </c>
      <c r="AH18" s="371">
        <v>45167.333333333336</v>
      </c>
      <c r="AI18" s="375">
        <v>45167.333333333336</v>
      </c>
    </row>
    <row r="19" spans="1:35" x14ac:dyDescent="0.25">
      <c r="A19" s="348" t="str">
        <f t="shared" si="0"/>
        <v>TEST.001-RVW.1.17</v>
      </c>
      <c r="B19" s="382">
        <f>SUM($C$3:$C19)</f>
        <v>17</v>
      </c>
      <c r="C19" s="383">
        <v>1</v>
      </c>
      <c r="D19" s="384" t="str">
        <f t="shared" si="1"/>
        <v>TEST.001</v>
      </c>
      <c r="E19" s="166">
        <v>1</v>
      </c>
      <c r="F19" s="389" t="s">
        <v>594</v>
      </c>
      <c r="G19" s="390" t="s">
        <v>575</v>
      </c>
      <c r="H19" s="390" t="s">
        <v>630</v>
      </c>
      <c r="I19" s="160" t="str">
        <f t="shared" si="2"/>
        <v>DCS.Bldg.Fire.Alarms</v>
      </c>
      <c r="J19" s="272" t="str">
        <v>Yes</v>
      </c>
      <c r="K19" s="267"/>
      <c r="L19" s="392" t="str">
        <f t="shared" si="3"/>
        <v>Yes</v>
      </c>
      <c r="M19" s="276"/>
      <c r="N19" s="397" t="s">
        <v>189</v>
      </c>
      <c r="O19" s="398">
        <v>10</v>
      </c>
      <c r="P19" s="398">
        <v>3</v>
      </c>
      <c r="Q19" s="166" t="s">
        <v>256</v>
      </c>
      <c r="R19" s="350">
        <v>0.5</v>
      </c>
      <c r="S19" s="350"/>
      <c r="T19" s="402">
        <f t="shared" si="5"/>
        <v>0</v>
      </c>
      <c r="U19" s="404">
        <v>150</v>
      </c>
      <c r="V19" s="404">
        <f t="shared" si="6"/>
        <v>75</v>
      </c>
      <c r="W19" s="404">
        <f t="shared" si="10"/>
        <v>75</v>
      </c>
      <c r="X19" s="355" t="s">
        <v>263</v>
      </c>
      <c r="Y19" s="371">
        <f t="shared" si="4"/>
        <v>45167.333333333336</v>
      </c>
      <c r="Z19" s="355" t="s">
        <v>263</v>
      </c>
      <c r="AA19" s="358">
        <f t="shared" ca="1" si="7"/>
        <v>3.3333333333357587</v>
      </c>
      <c r="AB19" s="358">
        <f t="shared" ca="1" si="11"/>
        <v>6</v>
      </c>
      <c r="AC19" s="371">
        <f t="shared" si="8"/>
        <v>45181</v>
      </c>
      <c r="AD19" s="355" t="s">
        <v>263</v>
      </c>
      <c r="AE19" s="371">
        <v>45167.333333333336</v>
      </c>
      <c r="AF19" s="358">
        <f t="shared" ca="1" si="9"/>
        <v>6.6666666666642413</v>
      </c>
      <c r="AG19" s="355" t="s">
        <v>263</v>
      </c>
      <c r="AH19" s="371">
        <v>45167.333333333336</v>
      </c>
      <c r="AI19" s="375">
        <v>45167.333333333336</v>
      </c>
    </row>
    <row r="20" spans="1:35" x14ac:dyDescent="0.25">
      <c r="A20" s="348" t="str">
        <f t="shared" si="0"/>
        <v>TEST.001-RVW.1.18</v>
      </c>
      <c r="B20" s="382">
        <f>SUM($C$3:$C20)</f>
        <v>18</v>
      </c>
      <c r="C20" s="383">
        <v>1</v>
      </c>
      <c r="D20" s="384" t="str">
        <f t="shared" si="1"/>
        <v>TEST.001</v>
      </c>
      <c r="E20" s="166">
        <v>1</v>
      </c>
      <c r="F20" s="389" t="s">
        <v>594</v>
      </c>
      <c r="G20" s="390" t="s">
        <v>575</v>
      </c>
      <c r="H20" s="390" t="s">
        <v>631</v>
      </c>
      <c r="I20" s="160" t="str">
        <f t="shared" si="2"/>
        <v>DCS.Bldg.Fire.Sprinklers</v>
      </c>
      <c r="J20" s="272">
        <v>0</v>
      </c>
      <c r="K20" s="267"/>
      <c r="L20" s="392">
        <f t="shared" si="3"/>
        <v>0</v>
      </c>
      <c r="M20" s="276"/>
      <c r="N20" s="397" t="s">
        <v>189</v>
      </c>
      <c r="O20" s="398">
        <v>10</v>
      </c>
      <c r="P20" s="398">
        <v>3</v>
      </c>
      <c r="Q20" s="166" t="s">
        <v>256</v>
      </c>
      <c r="R20" s="350">
        <v>0.5</v>
      </c>
      <c r="S20" s="350"/>
      <c r="T20" s="402">
        <f t="shared" si="5"/>
        <v>0</v>
      </c>
      <c r="U20" s="404">
        <v>150</v>
      </c>
      <c r="V20" s="404">
        <f t="shared" si="6"/>
        <v>75</v>
      </c>
      <c r="W20" s="404">
        <f t="shared" si="10"/>
        <v>75</v>
      </c>
      <c r="X20" s="355" t="s">
        <v>263</v>
      </c>
      <c r="Y20" s="371">
        <f t="shared" si="4"/>
        <v>45167.333333333336</v>
      </c>
      <c r="Z20" s="355" t="s">
        <v>263</v>
      </c>
      <c r="AA20" s="358">
        <f t="shared" ca="1" si="7"/>
        <v>3.3333333333357587</v>
      </c>
      <c r="AB20" s="358">
        <f t="shared" ca="1" si="11"/>
        <v>6</v>
      </c>
      <c r="AC20" s="371">
        <f t="shared" si="8"/>
        <v>45181</v>
      </c>
      <c r="AD20" s="355" t="s">
        <v>263</v>
      </c>
      <c r="AE20" s="371">
        <v>45167.333333333336</v>
      </c>
      <c r="AF20" s="358">
        <f t="shared" ca="1" si="9"/>
        <v>6.6666666666642413</v>
      </c>
      <c r="AG20" s="355" t="s">
        <v>263</v>
      </c>
      <c r="AH20" s="371">
        <v>45167.333333333336</v>
      </c>
      <c r="AI20" s="375">
        <v>45167.333333333336</v>
      </c>
    </row>
    <row r="21" spans="1:35" x14ac:dyDescent="0.25">
      <c r="A21" s="348" t="str">
        <f t="shared" si="0"/>
        <v>TEST.001-RVW.1.19</v>
      </c>
      <c r="B21" s="382">
        <f>SUM($C$3:$C21)</f>
        <v>19</v>
      </c>
      <c r="C21" s="383">
        <v>1</v>
      </c>
      <c r="D21" s="384" t="str">
        <f t="shared" si="1"/>
        <v>TEST.001</v>
      </c>
      <c r="E21" s="166">
        <v>1</v>
      </c>
      <c r="F21" s="389" t="s">
        <v>594</v>
      </c>
      <c r="G21" s="390" t="s">
        <v>575</v>
      </c>
      <c r="H21" s="390" t="s">
        <v>632</v>
      </c>
      <c r="I21" s="160" t="str">
        <f t="shared" si="2"/>
        <v>DCS.Bldg.Flood</v>
      </c>
      <c r="J21" s="272">
        <v>0</v>
      </c>
      <c r="K21" s="267"/>
      <c r="L21" s="392">
        <f t="shared" si="3"/>
        <v>0</v>
      </c>
      <c r="M21" s="276"/>
      <c r="N21" s="397" t="s">
        <v>267</v>
      </c>
      <c r="O21" s="398">
        <v>10</v>
      </c>
      <c r="P21" s="398">
        <v>3</v>
      </c>
      <c r="Q21" s="166" t="s">
        <v>256</v>
      </c>
      <c r="R21" s="350">
        <v>0.5</v>
      </c>
      <c r="S21" s="350"/>
      <c r="T21" s="402">
        <f t="shared" si="5"/>
        <v>0</v>
      </c>
      <c r="U21" s="404">
        <v>150</v>
      </c>
      <c r="V21" s="404">
        <f t="shared" si="6"/>
        <v>75</v>
      </c>
      <c r="W21" s="404">
        <f t="shared" si="10"/>
        <v>75</v>
      </c>
      <c r="X21" s="355" t="s">
        <v>263</v>
      </c>
      <c r="Y21" s="371">
        <f t="shared" si="4"/>
        <v>45167.333333333336</v>
      </c>
      <c r="Z21" s="355" t="s">
        <v>263</v>
      </c>
      <c r="AA21" s="358">
        <f t="shared" ca="1" si="7"/>
        <v>3.3333333333357587</v>
      </c>
      <c r="AB21" s="358">
        <f t="shared" ca="1" si="11"/>
        <v>6</v>
      </c>
      <c r="AC21" s="371">
        <f t="shared" si="8"/>
        <v>45181</v>
      </c>
      <c r="AD21" s="355" t="s">
        <v>263</v>
      </c>
      <c r="AE21" s="371">
        <v>45167.333333333336</v>
      </c>
      <c r="AF21" s="358">
        <f t="shared" ca="1" si="9"/>
        <v>6.6666666666642413</v>
      </c>
      <c r="AG21" s="355" t="s">
        <v>263</v>
      </c>
      <c r="AH21" s="371">
        <v>45167.333333333336</v>
      </c>
      <c r="AI21" s="375">
        <v>45167.333333333336</v>
      </c>
    </row>
    <row r="22" spans="1:35" x14ac:dyDescent="0.25">
      <c r="A22" s="348" t="str">
        <f t="shared" si="0"/>
        <v>TEST.001-RVW.1.20</v>
      </c>
      <c r="B22" s="382">
        <f>SUM($C$3:$C22)</f>
        <v>20</v>
      </c>
      <c r="C22" s="383">
        <v>1</v>
      </c>
      <c r="D22" s="384" t="str">
        <f t="shared" si="1"/>
        <v>TEST.001</v>
      </c>
      <c r="E22" s="166">
        <v>1</v>
      </c>
      <c r="F22" s="389" t="s">
        <v>594</v>
      </c>
      <c r="G22" s="390" t="s">
        <v>575</v>
      </c>
      <c r="H22" s="390" t="s">
        <v>25</v>
      </c>
      <c r="I22" s="160" t="str">
        <f t="shared" si="2"/>
        <v>DCS.Bldg.Mechanical</v>
      </c>
      <c r="J22" s="272" t="str">
        <v>No</v>
      </c>
      <c r="K22" s="267"/>
      <c r="L22" s="392" t="str">
        <f t="shared" si="3"/>
        <v>No</v>
      </c>
      <c r="M22" s="276"/>
      <c r="N22" s="397" t="s">
        <v>190</v>
      </c>
      <c r="O22" s="398">
        <v>10</v>
      </c>
      <c r="P22" s="398">
        <v>3</v>
      </c>
      <c r="Q22" s="166" t="s">
        <v>256</v>
      </c>
      <c r="R22" s="350">
        <v>0.5</v>
      </c>
      <c r="S22" s="350"/>
      <c r="T22" s="402">
        <f t="shared" si="5"/>
        <v>0</v>
      </c>
      <c r="U22" s="404">
        <v>150</v>
      </c>
      <c r="V22" s="404">
        <f t="shared" si="6"/>
        <v>75</v>
      </c>
      <c r="W22" s="404">
        <f t="shared" si="10"/>
        <v>75</v>
      </c>
      <c r="X22" s="355" t="s">
        <v>263</v>
      </c>
      <c r="Y22" s="371">
        <f t="shared" si="4"/>
        <v>45167.333333333336</v>
      </c>
      <c r="Z22" s="355" t="s">
        <v>263</v>
      </c>
      <c r="AA22" s="358">
        <f t="shared" ca="1" si="7"/>
        <v>3.3333333333357587</v>
      </c>
      <c r="AB22" s="358">
        <f t="shared" ca="1" si="11"/>
        <v>6</v>
      </c>
      <c r="AC22" s="371">
        <f t="shared" si="8"/>
        <v>45181</v>
      </c>
      <c r="AD22" s="355" t="s">
        <v>263</v>
      </c>
      <c r="AE22" s="371">
        <v>45167.333333333336</v>
      </c>
      <c r="AF22" s="358">
        <f t="shared" ca="1" si="9"/>
        <v>6.6666666666642413</v>
      </c>
      <c r="AG22" s="355" t="s">
        <v>263</v>
      </c>
      <c r="AH22" s="371">
        <v>45167.333333333336</v>
      </c>
      <c r="AI22" s="375">
        <v>45167.333333333336</v>
      </c>
    </row>
    <row r="23" spans="1:35" x14ac:dyDescent="0.25">
      <c r="A23" s="348" t="str">
        <f t="shared" si="0"/>
        <v>TEST.001-RVW.1.21</v>
      </c>
      <c r="B23" s="382">
        <f>SUM($C$3:$C23)</f>
        <v>21</v>
      </c>
      <c r="C23" s="383">
        <v>1</v>
      </c>
      <c r="D23" s="384" t="str">
        <f t="shared" si="1"/>
        <v>TEST.001</v>
      </c>
      <c r="E23" s="166">
        <v>1</v>
      </c>
      <c r="F23" s="389" t="s">
        <v>594</v>
      </c>
      <c r="G23" s="390" t="s">
        <v>575</v>
      </c>
      <c r="H23" s="390" t="s">
        <v>26</v>
      </c>
      <c r="I23" s="160" t="str">
        <f t="shared" si="2"/>
        <v>DCS.Bldg.Plumbing</v>
      </c>
      <c r="J23" s="272" t="str">
        <v>No</v>
      </c>
      <c r="K23" s="267"/>
      <c r="L23" s="392" t="str">
        <f t="shared" si="3"/>
        <v>No</v>
      </c>
      <c r="M23" s="276"/>
      <c r="N23" s="397" t="s">
        <v>190</v>
      </c>
      <c r="O23" s="398">
        <v>10</v>
      </c>
      <c r="P23" s="398">
        <v>3</v>
      </c>
      <c r="Q23" s="166" t="s">
        <v>256</v>
      </c>
      <c r="R23" s="350">
        <v>0.5</v>
      </c>
      <c r="S23" s="350"/>
      <c r="T23" s="402">
        <f t="shared" si="5"/>
        <v>0</v>
      </c>
      <c r="U23" s="404">
        <v>150</v>
      </c>
      <c r="V23" s="404">
        <f t="shared" si="6"/>
        <v>75</v>
      </c>
      <c r="W23" s="404">
        <f t="shared" si="10"/>
        <v>75</v>
      </c>
      <c r="X23" s="355" t="s">
        <v>263</v>
      </c>
      <c r="Y23" s="371">
        <f t="shared" si="4"/>
        <v>45167.333333333336</v>
      </c>
      <c r="Z23" s="355" t="s">
        <v>263</v>
      </c>
      <c r="AA23" s="358">
        <f t="shared" ca="1" si="7"/>
        <v>3.3333333333357587</v>
      </c>
      <c r="AB23" s="358">
        <f t="shared" ca="1" si="11"/>
        <v>6</v>
      </c>
      <c r="AC23" s="371">
        <f t="shared" si="8"/>
        <v>45181</v>
      </c>
      <c r="AD23" s="355" t="s">
        <v>263</v>
      </c>
      <c r="AE23" s="371">
        <v>45167.333333333336</v>
      </c>
      <c r="AF23" s="358">
        <f t="shared" ca="1" si="9"/>
        <v>6.6666666666642413</v>
      </c>
      <c r="AG23" s="355" t="s">
        <v>263</v>
      </c>
      <c r="AH23" s="371">
        <v>45167.333333333336</v>
      </c>
      <c r="AI23" s="375">
        <v>45167.333333333336</v>
      </c>
    </row>
    <row r="24" spans="1:35" x14ac:dyDescent="0.25">
      <c r="A24" s="348" t="str">
        <f t="shared" si="0"/>
        <v>TEST.001-RVW.1.22</v>
      </c>
      <c r="B24" s="382">
        <f>SUM($C$3:$C24)</f>
        <v>22</v>
      </c>
      <c r="C24" s="383">
        <v>1</v>
      </c>
      <c r="D24" s="384" t="str">
        <f t="shared" si="1"/>
        <v>TEST.001</v>
      </c>
      <c r="E24" s="166">
        <v>1</v>
      </c>
      <c r="F24" s="389" t="s">
        <v>594</v>
      </c>
      <c r="G24" s="390" t="s">
        <v>575</v>
      </c>
      <c r="H24" s="390" t="s">
        <v>633</v>
      </c>
      <c r="I24" s="160" t="str">
        <f t="shared" si="2"/>
        <v>DCS.Bldg.Pool</v>
      </c>
      <c r="J24" s="272" t="str">
        <v>No</v>
      </c>
      <c r="K24" s="267"/>
      <c r="L24" s="392" t="str">
        <f t="shared" ref="L24" si="12">IF(OR(K24="Yes",K24="No"),K24,J24)</f>
        <v>No</v>
      </c>
      <c r="M24" s="276"/>
      <c r="N24" s="397" t="s">
        <v>190</v>
      </c>
      <c r="O24" s="398">
        <v>10</v>
      </c>
      <c r="P24" s="398">
        <v>3</v>
      </c>
      <c r="Q24" s="166" t="s">
        <v>256</v>
      </c>
      <c r="R24" s="350">
        <v>0.5</v>
      </c>
      <c r="S24" s="350"/>
      <c r="T24" s="402">
        <f t="shared" si="5"/>
        <v>0</v>
      </c>
      <c r="U24" s="404">
        <v>150</v>
      </c>
      <c r="V24" s="404">
        <f t="shared" si="6"/>
        <v>75</v>
      </c>
      <c r="W24" s="404">
        <f t="shared" si="10"/>
        <v>75</v>
      </c>
      <c r="X24" s="355" t="s">
        <v>263</v>
      </c>
      <c r="Y24" s="371">
        <f t="shared" si="4"/>
        <v>45167.333333333336</v>
      </c>
      <c r="Z24" s="355" t="s">
        <v>263</v>
      </c>
      <c r="AA24" s="358">
        <f t="shared" ca="1" si="7"/>
        <v>3.3333333333357587</v>
      </c>
      <c r="AB24" s="358">
        <f t="shared" ca="1" si="11"/>
        <v>6</v>
      </c>
      <c r="AC24" s="371">
        <f t="shared" si="8"/>
        <v>45181</v>
      </c>
      <c r="AD24" s="355" t="s">
        <v>263</v>
      </c>
      <c r="AE24" s="371">
        <v>45167.333333333336</v>
      </c>
      <c r="AF24" s="358">
        <f t="shared" ca="1" si="9"/>
        <v>6.6666666666642413</v>
      </c>
      <c r="AG24" s="355" t="s">
        <v>263</v>
      </c>
      <c r="AH24" s="371">
        <v>45167.333333333336</v>
      </c>
      <c r="AI24" s="375">
        <v>45167.333333333336</v>
      </c>
    </row>
    <row r="25" spans="1:35" x14ac:dyDescent="0.25">
      <c r="A25" s="348" t="str">
        <f t="shared" si="0"/>
        <v>TEST.001-RVW.1.23</v>
      </c>
      <c r="B25" s="382">
        <f>SUM($C$3:$C25)</f>
        <v>23</v>
      </c>
      <c r="C25" s="383">
        <v>1</v>
      </c>
      <c r="D25" s="384" t="str">
        <f t="shared" si="1"/>
        <v>TEST.001</v>
      </c>
      <c r="E25" s="166">
        <v>1</v>
      </c>
      <c r="F25" s="389" t="s">
        <v>594</v>
      </c>
      <c r="G25" s="390" t="s">
        <v>575</v>
      </c>
      <c r="H25" s="390" t="s">
        <v>634</v>
      </c>
      <c r="I25" s="160" t="str">
        <f t="shared" si="2"/>
        <v>DCS.Bldg.Rapid</v>
      </c>
      <c r="J25" s="272" t="str">
        <v>No</v>
      </c>
      <c r="K25" s="267"/>
      <c r="L25" s="392" t="str">
        <f t="shared" si="3"/>
        <v>No</v>
      </c>
      <c r="M25" s="276"/>
      <c r="N25" s="397" t="s">
        <v>190</v>
      </c>
      <c r="O25" s="398">
        <v>3</v>
      </c>
      <c r="P25" s="398">
        <v>3</v>
      </c>
      <c r="Q25" s="166" t="s">
        <v>256</v>
      </c>
      <c r="R25" s="350">
        <v>0.5</v>
      </c>
      <c r="S25" s="350"/>
      <c r="T25" s="402">
        <f t="shared" si="5"/>
        <v>0</v>
      </c>
      <c r="U25" s="404">
        <v>150</v>
      </c>
      <c r="V25" s="404">
        <f t="shared" si="6"/>
        <v>75</v>
      </c>
      <c r="W25" s="404">
        <f t="shared" si="10"/>
        <v>75</v>
      </c>
      <c r="X25" s="355" t="s">
        <v>263</v>
      </c>
      <c r="Y25" s="371">
        <f t="shared" si="4"/>
        <v>45167.333333333336</v>
      </c>
      <c r="Z25" s="355" t="s">
        <v>263</v>
      </c>
      <c r="AA25" s="358">
        <f t="shared" ca="1" si="7"/>
        <v>-3.6666666666642413</v>
      </c>
      <c r="AB25" s="358">
        <f t="shared" ca="1" si="11"/>
        <v>-3</v>
      </c>
      <c r="AC25" s="371">
        <f t="shared" si="8"/>
        <v>45170</v>
      </c>
      <c r="AD25" s="355" t="s">
        <v>263</v>
      </c>
      <c r="AE25" s="371">
        <v>45167.333333333336</v>
      </c>
      <c r="AF25" s="358">
        <f t="shared" ca="1" si="9"/>
        <v>6.6666666666642413</v>
      </c>
      <c r="AG25" s="355" t="s">
        <v>263</v>
      </c>
      <c r="AH25" s="371">
        <v>45167.333333333336</v>
      </c>
      <c r="AI25" s="375">
        <v>45167.333333333336</v>
      </c>
    </row>
    <row r="26" spans="1:35" x14ac:dyDescent="0.25">
      <c r="A26" s="348" t="str">
        <f t="shared" si="0"/>
        <v>TEST.001-RVW.1.24</v>
      </c>
      <c r="B26" s="382">
        <f>SUM($C$3:$C26)</f>
        <v>24</v>
      </c>
      <c r="C26" s="383">
        <v>1</v>
      </c>
      <c r="D26" s="384" t="str">
        <f t="shared" si="1"/>
        <v>TEST.001</v>
      </c>
      <c r="E26" s="166">
        <v>1</v>
      </c>
      <c r="F26" s="389" t="s">
        <v>594</v>
      </c>
      <c r="G26" s="390" t="s">
        <v>575</v>
      </c>
      <c r="H26" s="390" t="s">
        <v>635</v>
      </c>
      <c r="I26" s="160" t="str">
        <f t="shared" si="2"/>
        <v>DCS.Bldg.Structural</v>
      </c>
      <c r="J26" s="272" t="str">
        <v>No</v>
      </c>
      <c r="K26" s="267"/>
      <c r="L26" s="392" t="str">
        <f t="shared" si="3"/>
        <v>No</v>
      </c>
      <c r="M26" s="276"/>
      <c r="N26" s="397" t="s">
        <v>189</v>
      </c>
      <c r="O26" s="398">
        <v>10</v>
      </c>
      <c r="P26" s="398">
        <v>3</v>
      </c>
      <c r="Q26" s="166" t="s">
        <v>256</v>
      </c>
      <c r="R26" s="350">
        <v>0.5</v>
      </c>
      <c r="S26" s="350"/>
      <c r="T26" s="402">
        <f t="shared" si="5"/>
        <v>0</v>
      </c>
      <c r="U26" s="404">
        <v>150</v>
      </c>
      <c r="V26" s="404">
        <f t="shared" si="6"/>
        <v>75</v>
      </c>
      <c r="W26" s="404">
        <f t="shared" si="10"/>
        <v>75</v>
      </c>
      <c r="X26" s="355" t="s">
        <v>263</v>
      </c>
      <c r="Y26" s="371">
        <f t="shared" si="4"/>
        <v>45167.333333333336</v>
      </c>
      <c r="Z26" s="355" t="s">
        <v>263</v>
      </c>
      <c r="AA26" s="358">
        <f t="shared" ca="1" si="7"/>
        <v>3.3333333333357587</v>
      </c>
      <c r="AB26" s="358">
        <f t="shared" ca="1" si="11"/>
        <v>6</v>
      </c>
      <c r="AC26" s="371">
        <f t="shared" si="8"/>
        <v>45181</v>
      </c>
      <c r="AD26" s="355" t="s">
        <v>263</v>
      </c>
      <c r="AE26" s="371">
        <v>45167.333333333336</v>
      </c>
      <c r="AF26" s="358">
        <f t="shared" ca="1" si="9"/>
        <v>6.6666666666642413</v>
      </c>
      <c r="AG26" s="355" t="s">
        <v>263</v>
      </c>
      <c r="AH26" s="371">
        <v>45167.333333333336</v>
      </c>
      <c r="AI26" s="375">
        <v>45167.333333333336</v>
      </c>
    </row>
    <row r="27" spans="1:35" x14ac:dyDescent="0.25">
      <c r="A27" s="348" t="str">
        <f t="shared" si="0"/>
        <v>TEST.001-RVW.1.25</v>
      </c>
      <c r="B27" s="382">
        <f>SUM($C$3:$C27)</f>
        <v>25</v>
      </c>
      <c r="C27" s="383">
        <v>1</v>
      </c>
      <c r="D27" s="384" t="str">
        <f t="shared" si="1"/>
        <v>TEST.001</v>
      </c>
      <c r="E27" s="166">
        <v>1</v>
      </c>
      <c r="F27" s="389" t="s">
        <v>594</v>
      </c>
      <c r="G27" s="390" t="s">
        <v>622</v>
      </c>
      <c r="H27" s="390" t="s">
        <v>643</v>
      </c>
      <c r="I27" s="157" t="str">
        <f t="shared" si="2"/>
        <v>DCS.CE.Compliance</v>
      </c>
      <c r="J27" s="272" t="str">
        <v>No</v>
      </c>
      <c r="K27" s="267"/>
      <c r="L27" s="392" t="str">
        <f t="shared" si="3"/>
        <v>No</v>
      </c>
      <c r="M27" s="276"/>
      <c r="N27" s="397" t="s">
        <v>187</v>
      </c>
      <c r="O27" s="398">
        <v>10</v>
      </c>
      <c r="P27" s="398">
        <v>3</v>
      </c>
      <c r="Q27" s="166" t="s">
        <v>256</v>
      </c>
      <c r="R27" s="405"/>
      <c r="S27" s="405"/>
      <c r="T27" s="405"/>
      <c r="U27" s="405"/>
      <c r="V27" s="405"/>
      <c r="W27" s="405"/>
      <c r="X27" s="355" t="s">
        <v>263</v>
      </c>
      <c r="Y27" s="371">
        <f t="shared" si="4"/>
        <v>45167.333333333336</v>
      </c>
      <c r="Z27" s="355" t="s">
        <v>263</v>
      </c>
      <c r="AA27" s="358">
        <f t="shared" ca="1" si="7"/>
        <v>3.3333333333357587</v>
      </c>
      <c r="AB27" s="358">
        <f t="shared" ca="1" si="11"/>
        <v>6</v>
      </c>
      <c r="AC27" s="371">
        <f t="shared" si="8"/>
        <v>45181</v>
      </c>
      <c r="AD27" s="355" t="s">
        <v>263</v>
      </c>
      <c r="AE27" s="371">
        <v>45167.333333333336</v>
      </c>
      <c r="AF27" s="358">
        <f t="shared" ca="1" si="9"/>
        <v>6.6666666666642413</v>
      </c>
      <c r="AG27" s="355" t="s">
        <v>263</v>
      </c>
      <c r="AH27" s="371">
        <v>45167.333333333336</v>
      </c>
      <c r="AI27" s="375">
        <v>45167.333333333336</v>
      </c>
    </row>
    <row r="28" spans="1:35" x14ac:dyDescent="0.25">
      <c r="A28" s="348" t="str">
        <f t="shared" si="0"/>
        <v>TEST.001-RVW.1.26</v>
      </c>
      <c r="B28" s="382">
        <f>SUM($C$3:$C28)</f>
        <v>26</v>
      </c>
      <c r="C28" s="383">
        <v>1</v>
      </c>
      <c r="D28" s="384" t="str">
        <f t="shared" si="1"/>
        <v>TEST.001</v>
      </c>
      <c r="E28" s="166">
        <v>1</v>
      </c>
      <c r="F28" s="389" t="s">
        <v>594</v>
      </c>
      <c r="G28" s="390" t="s">
        <v>561</v>
      </c>
      <c r="H28" s="390" t="s">
        <v>642</v>
      </c>
      <c r="I28" s="157" t="str">
        <f t="shared" si="2"/>
        <v>DCS.EH.Cannabis.Unit</v>
      </c>
      <c r="J28" s="272" t="str">
        <v>No</v>
      </c>
      <c r="K28" s="267"/>
      <c r="L28" s="392" t="str">
        <f>IF(OR(K28="Yes",K28="No"),K28,J28)</f>
        <v>No</v>
      </c>
      <c r="M28" s="276"/>
      <c r="N28" s="397" t="s">
        <v>118</v>
      </c>
      <c r="O28" s="398">
        <v>10</v>
      </c>
      <c r="P28" s="398">
        <v>3</v>
      </c>
      <c r="Q28" s="166" t="s">
        <v>256</v>
      </c>
      <c r="R28" s="401"/>
      <c r="S28" s="401"/>
      <c r="T28" s="401"/>
      <c r="U28" s="401"/>
      <c r="V28" s="401"/>
      <c r="W28" s="401"/>
      <c r="X28" s="355" t="s">
        <v>263</v>
      </c>
      <c r="Y28" s="371">
        <f t="shared" si="4"/>
        <v>45167.333333333336</v>
      </c>
      <c r="Z28" s="355" t="s">
        <v>263</v>
      </c>
      <c r="AA28" s="358">
        <f t="shared" ca="1" si="7"/>
        <v>3.3333333333357587</v>
      </c>
      <c r="AB28" s="358">
        <f t="shared" ca="1" si="11"/>
        <v>6</v>
      </c>
      <c r="AC28" s="371">
        <f t="shared" si="8"/>
        <v>45181</v>
      </c>
      <c r="AD28" s="355" t="s">
        <v>263</v>
      </c>
      <c r="AE28" s="371">
        <v>45167.333333333336</v>
      </c>
      <c r="AF28" s="358">
        <f t="shared" ca="1" si="9"/>
        <v>6.6666666666642413</v>
      </c>
      <c r="AG28" s="355" t="s">
        <v>263</v>
      </c>
      <c r="AH28" s="371">
        <v>45167.333333333336</v>
      </c>
      <c r="AI28" s="375">
        <v>45167.333333333336</v>
      </c>
    </row>
    <row r="29" spans="1:35" x14ac:dyDescent="0.25">
      <c r="A29" s="348" t="str">
        <f t="shared" si="0"/>
        <v>TEST.001-RVW.1.27</v>
      </c>
      <c r="B29" s="382">
        <f>SUM($C$3:$C29)</f>
        <v>27</v>
      </c>
      <c r="C29" s="383">
        <v>1</v>
      </c>
      <c r="D29" s="384" t="str">
        <f t="shared" si="1"/>
        <v>TEST.001</v>
      </c>
      <c r="E29" s="166">
        <v>1</v>
      </c>
      <c r="F29" s="389" t="s">
        <v>594</v>
      </c>
      <c r="G29" s="390" t="s">
        <v>561</v>
      </c>
      <c r="H29" s="390" t="s">
        <v>640</v>
      </c>
      <c r="I29" s="157" t="str">
        <f t="shared" si="2"/>
        <v>DCS.EH.Consumer.Protection</v>
      </c>
      <c r="J29" s="272" t="str">
        <v>No</v>
      </c>
      <c r="K29" s="267"/>
      <c r="L29" s="392" t="str">
        <f>IF(OR(K29="Yes",K29="No"),K29,J29)</f>
        <v>No</v>
      </c>
      <c r="M29" s="276"/>
      <c r="N29" s="397" t="s">
        <v>118</v>
      </c>
      <c r="O29" s="398">
        <v>10</v>
      </c>
      <c r="P29" s="398">
        <v>3</v>
      </c>
      <c r="Q29" s="166" t="s">
        <v>256</v>
      </c>
      <c r="R29" s="401"/>
      <c r="S29" s="401"/>
      <c r="T29" s="401"/>
      <c r="U29" s="401"/>
      <c r="V29" s="401"/>
      <c r="W29" s="401"/>
      <c r="X29" s="355" t="s">
        <v>263</v>
      </c>
      <c r="Y29" s="371">
        <f t="shared" si="4"/>
        <v>45167.333333333336</v>
      </c>
      <c r="Z29" s="355" t="s">
        <v>263</v>
      </c>
      <c r="AA29" s="358">
        <f t="shared" ca="1" si="7"/>
        <v>3.3333333333357587</v>
      </c>
      <c r="AB29" s="358">
        <f t="shared" ca="1" si="11"/>
        <v>6</v>
      </c>
      <c r="AC29" s="371">
        <f t="shared" si="8"/>
        <v>45181</v>
      </c>
      <c r="AD29" s="355" t="s">
        <v>263</v>
      </c>
      <c r="AE29" s="371">
        <v>45167.333333333336</v>
      </c>
      <c r="AF29" s="358">
        <f t="shared" ca="1" si="9"/>
        <v>6.6666666666642413</v>
      </c>
      <c r="AG29" s="355" t="s">
        <v>263</v>
      </c>
      <c r="AH29" s="371">
        <v>45167.333333333336</v>
      </c>
      <c r="AI29" s="375">
        <v>45167.333333333336</v>
      </c>
    </row>
    <row r="30" spans="1:35" x14ac:dyDescent="0.25">
      <c r="A30" s="348" t="str">
        <f t="shared" si="0"/>
        <v>TEST.001-RVW.1.28</v>
      </c>
      <c r="B30" s="382">
        <f>SUM($C$3:$C30)</f>
        <v>28</v>
      </c>
      <c r="C30" s="383">
        <v>1</v>
      </c>
      <c r="D30" s="384" t="str">
        <f t="shared" si="1"/>
        <v>TEST.001</v>
      </c>
      <c r="E30" s="166">
        <v>1</v>
      </c>
      <c r="F30" s="389" t="s">
        <v>594</v>
      </c>
      <c r="G30" s="390" t="s">
        <v>561</v>
      </c>
      <c r="H30" s="390" t="s">
        <v>639</v>
      </c>
      <c r="I30" s="157" t="str">
        <f t="shared" si="2"/>
        <v>DCS.EH.Land.Use</v>
      </c>
      <c r="J30" s="272" t="str">
        <v>No</v>
      </c>
      <c r="K30" s="267"/>
      <c r="L30" s="392" t="str">
        <f t="shared" si="3"/>
        <v>No</v>
      </c>
      <c r="M30" s="276"/>
      <c r="N30" s="397" t="s">
        <v>118</v>
      </c>
      <c r="O30" s="398">
        <v>10</v>
      </c>
      <c r="P30" s="398">
        <v>3</v>
      </c>
      <c r="Q30" s="166" t="s">
        <v>256</v>
      </c>
      <c r="R30" s="401"/>
      <c r="S30" s="401"/>
      <c r="T30" s="401"/>
      <c r="U30" s="401"/>
      <c r="V30" s="401"/>
      <c r="W30" s="401"/>
      <c r="X30" s="355" t="s">
        <v>263</v>
      </c>
      <c r="Y30" s="371">
        <f t="shared" si="4"/>
        <v>45167.333333333336</v>
      </c>
      <c r="Z30" s="355" t="s">
        <v>263</v>
      </c>
      <c r="AA30" s="358">
        <f t="shared" ca="1" si="7"/>
        <v>3.3333333333357587</v>
      </c>
      <c r="AB30" s="358">
        <f t="shared" ca="1" si="11"/>
        <v>6</v>
      </c>
      <c r="AC30" s="371">
        <f t="shared" si="8"/>
        <v>45181</v>
      </c>
      <c r="AD30" s="355" t="s">
        <v>263</v>
      </c>
      <c r="AE30" s="371">
        <v>45167.333333333336</v>
      </c>
      <c r="AF30" s="358">
        <f t="shared" ca="1" si="9"/>
        <v>6.6666666666642413</v>
      </c>
      <c r="AG30" s="355" t="s">
        <v>263</v>
      </c>
      <c r="AH30" s="371">
        <v>45167.333333333336</v>
      </c>
      <c r="AI30" s="375">
        <v>45167.333333333336</v>
      </c>
    </row>
    <row r="31" spans="1:35" x14ac:dyDescent="0.25">
      <c r="A31" s="348" t="str">
        <f t="shared" si="0"/>
        <v>TEST.001-RVW.1.29</v>
      </c>
      <c r="B31" s="382">
        <f>SUM($C$3:$C31)</f>
        <v>29</v>
      </c>
      <c r="C31" s="383">
        <v>1</v>
      </c>
      <c r="D31" s="384" t="str">
        <f t="shared" si="1"/>
        <v>TEST.001</v>
      </c>
      <c r="E31" s="166">
        <v>1</v>
      </c>
      <c r="F31" s="389" t="s">
        <v>594</v>
      </c>
      <c r="G31" s="390" t="s">
        <v>561</v>
      </c>
      <c r="H31" s="390" t="s">
        <v>641</v>
      </c>
      <c r="I31" s="157" t="str">
        <f t="shared" si="2"/>
        <v>DCS.EH.HazMat</v>
      </c>
      <c r="J31" s="272"/>
      <c r="K31" s="267"/>
      <c r="L31" s="392">
        <f t="shared" ref="L31:L33" si="13">IF(OR(K31="Yes",K31="No"),K31,J31)</f>
        <v>0</v>
      </c>
      <c r="M31" s="276"/>
      <c r="N31" s="397" t="s">
        <v>118</v>
      </c>
      <c r="O31" s="398">
        <v>10</v>
      </c>
      <c r="P31" s="398">
        <v>3</v>
      </c>
      <c r="Q31" s="166" t="s">
        <v>257</v>
      </c>
      <c r="R31" s="401"/>
      <c r="S31" s="401"/>
      <c r="T31" s="401"/>
      <c r="U31" s="401"/>
      <c r="V31" s="401"/>
      <c r="W31" s="401"/>
      <c r="X31" s="355" t="s">
        <v>263</v>
      </c>
      <c r="Y31" s="371">
        <f t="shared" si="4"/>
        <v>45167.333333333336</v>
      </c>
      <c r="Z31" s="355" t="s">
        <v>263</v>
      </c>
      <c r="AA31" s="358">
        <f t="shared" ca="1" si="7"/>
        <v>3.3333333333357587</v>
      </c>
      <c r="AB31" s="358">
        <f t="shared" ca="1" si="11"/>
        <v>6</v>
      </c>
      <c r="AC31" s="371">
        <f t="shared" si="8"/>
        <v>45181</v>
      </c>
      <c r="AD31" s="355" t="s">
        <v>263</v>
      </c>
      <c r="AE31" s="371">
        <v>45167.333333333336</v>
      </c>
      <c r="AF31" s="358">
        <f t="shared" ca="1" si="9"/>
        <v>6.6666666666642413</v>
      </c>
      <c r="AG31" s="355" t="s">
        <v>263</v>
      </c>
      <c r="AH31" s="371">
        <v>45167.333333333336</v>
      </c>
      <c r="AI31" s="375">
        <v>45167.333333333336</v>
      </c>
    </row>
    <row r="32" spans="1:35" x14ac:dyDescent="0.25">
      <c r="A32" s="348" t="str">
        <f t="shared" si="0"/>
        <v>TEST.001-RVW.1.30</v>
      </c>
      <c r="B32" s="382">
        <f>SUM($C$3:$C32)</f>
        <v>30</v>
      </c>
      <c r="C32" s="383">
        <v>1</v>
      </c>
      <c r="D32" s="384" t="str">
        <f t="shared" si="1"/>
        <v>TEST.001</v>
      </c>
      <c r="E32" s="166">
        <v>1</v>
      </c>
      <c r="F32" s="389" t="s">
        <v>594</v>
      </c>
      <c r="G32" s="390" t="s">
        <v>561</v>
      </c>
      <c r="H32" s="390" t="s">
        <v>639</v>
      </c>
      <c r="I32" s="157" t="str">
        <f t="shared" si="2"/>
        <v>DCS.EH.Land.Use</v>
      </c>
      <c r="J32" s="272"/>
      <c r="K32" s="267"/>
      <c r="L32" s="392">
        <f t="shared" si="13"/>
        <v>0</v>
      </c>
      <c r="M32" s="276"/>
      <c r="N32" s="397" t="s">
        <v>118</v>
      </c>
      <c r="O32" s="398">
        <v>10</v>
      </c>
      <c r="P32" s="398">
        <v>3</v>
      </c>
      <c r="Q32" s="166" t="s">
        <v>258</v>
      </c>
      <c r="R32" s="401"/>
      <c r="S32" s="401"/>
      <c r="T32" s="401"/>
      <c r="U32" s="401"/>
      <c r="V32" s="401"/>
      <c r="W32" s="401"/>
      <c r="X32" s="355" t="s">
        <v>263</v>
      </c>
      <c r="Y32" s="371">
        <f t="shared" si="4"/>
        <v>45167.333333333336</v>
      </c>
      <c r="Z32" s="355" t="s">
        <v>263</v>
      </c>
      <c r="AA32" s="358">
        <f t="shared" ca="1" si="7"/>
        <v>3.3333333333357587</v>
      </c>
      <c r="AB32" s="358">
        <f t="shared" ca="1" si="11"/>
        <v>6</v>
      </c>
      <c r="AC32" s="371">
        <f t="shared" si="8"/>
        <v>45181</v>
      </c>
      <c r="AD32" s="355" t="s">
        <v>263</v>
      </c>
      <c r="AE32" s="371">
        <v>45167.333333333336</v>
      </c>
      <c r="AF32" s="358">
        <f t="shared" ca="1" si="9"/>
        <v>6.6666666666642413</v>
      </c>
      <c r="AG32" s="355" t="s">
        <v>263</v>
      </c>
      <c r="AH32" s="371">
        <v>45167.333333333336</v>
      </c>
      <c r="AI32" s="375">
        <v>45167.333333333336</v>
      </c>
    </row>
    <row r="33" spans="1:35" x14ac:dyDescent="0.25">
      <c r="A33" s="348" t="str">
        <f t="shared" si="0"/>
        <v>TEST.001-RVW.1.31</v>
      </c>
      <c r="B33" s="382">
        <f>SUM($C$3:$C33)</f>
        <v>31</v>
      </c>
      <c r="C33" s="383">
        <v>1</v>
      </c>
      <c r="D33" s="384" t="str">
        <f t="shared" si="1"/>
        <v>TEST.001</v>
      </c>
      <c r="E33" s="166">
        <v>1</v>
      </c>
      <c r="F33" s="389" t="s">
        <v>594</v>
      </c>
      <c r="G33" s="390" t="s">
        <v>561</v>
      </c>
      <c r="H33" s="390" t="s">
        <v>639</v>
      </c>
      <c r="I33" s="157" t="str">
        <f t="shared" si="2"/>
        <v>DCS.EH.Land.Use</v>
      </c>
      <c r="J33" s="272"/>
      <c r="K33" s="267"/>
      <c r="L33" s="392">
        <f t="shared" si="13"/>
        <v>0</v>
      </c>
      <c r="M33" s="276"/>
      <c r="N33" s="397" t="s">
        <v>118</v>
      </c>
      <c r="O33" s="398">
        <v>10</v>
      </c>
      <c r="P33" s="398">
        <v>3</v>
      </c>
      <c r="Q33" s="166" t="s">
        <v>265</v>
      </c>
      <c r="R33" s="401"/>
      <c r="S33" s="401"/>
      <c r="T33" s="401"/>
      <c r="U33" s="401"/>
      <c r="V33" s="401"/>
      <c r="W33" s="401"/>
      <c r="X33" s="355" t="s">
        <v>263</v>
      </c>
      <c r="Y33" s="371">
        <f t="shared" si="4"/>
        <v>45167.333333333336</v>
      </c>
      <c r="Z33" s="355" t="s">
        <v>263</v>
      </c>
      <c r="AA33" s="358">
        <f t="shared" ca="1" si="7"/>
        <v>3.3333333333357587</v>
      </c>
      <c r="AB33" s="358">
        <f t="shared" ca="1" si="11"/>
        <v>6</v>
      </c>
      <c r="AC33" s="371">
        <f t="shared" si="8"/>
        <v>45181</v>
      </c>
      <c r="AD33" s="355" t="s">
        <v>263</v>
      </c>
      <c r="AE33" s="371">
        <v>45167.333333333336</v>
      </c>
      <c r="AF33" s="358">
        <f t="shared" ca="1" si="9"/>
        <v>6.6666666666642413</v>
      </c>
      <c r="AG33" s="355" t="s">
        <v>263</v>
      </c>
      <c r="AH33" s="371">
        <v>45167.333333333336</v>
      </c>
      <c r="AI33" s="375">
        <v>45167.333333333336</v>
      </c>
    </row>
    <row r="34" spans="1:35" x14ac:dyDescent="0.25">
      <c r="A34" s="348" t="str">
        <f t="shared" si="0"/>
        <v>TEST.001-RVW.1.32</v>
      </c>
      <c r="B34" s="382">
        <f>SUM($C$3:$C34)</f>
        <v>32</v>
      </c>
      <c r="C34" s="383">
        <v>1</v>
      </c>
      <c r="D34" s="384" t="str">
        <f t="shared" si="1"/>
        <v>TEST.001</v>
      </c>
      <c r="E34" s="166">
        <v>1</v>
      </c>
      <c r="F34" s="389" t="s">
        <v>594</v>
      </c>
      <c r="G34" s="390" t="s">
        <v>562</v>
      </c>
      <c r="H34" s="390" t="s">
        <v>638</v>
      </c>
      <c r="I34" s="157" t="str">
        <f t="shared" si="2"/>
        <v>DCS.IWM.C&amp;D</v>
      </c>
      <c r="J34" s="272"/>
      <c r="K34" s="267"/>
      <c r="L34" s="392">
        <f t="shared" si="3"/>
        <v>0</v>
      </c>
      <c r="M34" s="276"/>
      <c r="N34" s="397" t="s">
        <v>109</v>
      </c>
      <c r="O34" s="398">
        <v>10</v>
      </c>
      <c r="P34" s="398">
        <v>3</v>
      </c>
      <c r="Q34" s="166" t="s">
        <v>119</v>
      </c>
      <c r="R34" s="401"/>
      <c r="S34" s="401"/>
      <c r="T34" s="401"/>
      <c r="U34" s="401"/>
      <c r="V34" s="401"/>
      <c r="W34" s="401"/>
      <c r="X34" s="355" t="s">
        <v>263</v>
      </c>
      <c r="Y34" s="371">
        <f t="shared" si="4"/>
        <v>45167.333333333336</v>
      </c>
      <c r="Z34" s="355" t="s">
        <v>263</v>
      </c>
      <c r="AA34" s="358">
        <f t="shared" ca="1" si="7"/>
        <v>3.3333333333357587</v>
      </c>
      <c r="AB34" s="358">
        <f t="shared" ca="1" si="11"/>
        <v>6</v>
      </c>
      <c r="AC34" s="371">
        <f t="shared" si="8"/>
        <v>45181</v>
      </c>
      <c r="AD34" s="355" t="s">
        <v>263</v>
      </c>
      <c r="AE34" s="371">
        <v>45167.333333333336</v>
      </c>
      <c r="AF34" s="358">
        <f t="shared" ca="1" si="9"/>
        <v>6.6666666666642413</v>
      </c>
      <c r="AG34" s="355" t="s">
        <v>263</v>
      </c>
      <c r="AH34" s="371">
        <v>45167.333333333336</v>
      </c>
      <c r="AI34" s="375">
        <v>45167.333333333336</v>
      </c>
    </row>
    <row r="35" spans="1:35" x14ac:dyDescent="0.25">
      <c r="A35" s="348" t="str">
        <f t="shared" si="0"/>
        <v>TEST.001-RVW.1.33</v>
      </c>
      <c r="B35" s="382">
        <f>SUM($C$3:$C35)</f>
        <v>33</v>
      </c>
      <c r="C35" s="383">
        <v>1</v>
      </c>
      <c r="D35" s="384" t="str">
        <f t="shared" si="1"/>
        <v>TEST.001</v>
      </c>
      <c r="E35" s="166">
        <v>1</v>
      </c>
      <c r="F35" s="389" t="s">
        <v>594</v>
      </c>
      <c r="G35" s="390" t="s">
        <v>563</v>
      </c>
      <c r="H35" s="390"/>
      <c r="I35" s="157" t="str">
        <f t="shared" si="2"/>
        <v>DCS.Planning.</v>
      </c>
      <c r="J35" s="272"/>
      <c r="K35" s="267"/>
      <c r="L35" s="392">
        <f t="shared" si="3"/>
        <v>0</v>
      </c>
      <c r="M35" s="276"/>
      <c r="N35" s="397" t="s">
        <v>110</v>
      </c>
      <c r="O35" s="398">
        <v>10</v>
      </c>
      <c r="P35" s="398">
        <v>3</v>
      </c>
      <c r="Q35" s="166" t="s">
        <v>260</v>
      </c>
      <c r="R35" s="401"/>
      <c r="S35" s="401"/>
      <c r="T35" s="401"/>
      <c r="U35" s="401"/>
      <c r="V35" s="401"/>
      <c r="W35" s="401"/>
      <c r="X35" s="355" t="s">
        <v>263</v>
      </c>
      <c r="Y35" s="371">
        <f t="shared" si="4"/>
        <v>45167.333333333336</v>
      </c>
      <c r="Z35" s="355" t="s">
        <v>263</v>
      </c>
      <c r="AA35" s="358">
        <f t="shared" ca="1" si="7"/>
        <v>3.3333333333357587</v>
      </c>
      <c r="AB35" s="358">
        <f t="shared" ca="1" si="11"/>
        <v>6</v>
      </c>
      <c r="AC35" s="371">
        <f t="shared" si="8"/>
        <v>45181</v>
      </c>
      <c r="AD35" s="355" t="s">
        <v>263</v>
      </c>
      <c r="AE35" s="371">
        <v>45167.333333333336</v>
      </c>
      <c r="AF35" s="358">
        <f t="shared" ca="1" si="9"/>
        <v>6.6666666666642413</v>
      </c>
      <c r="AG35" s="355" t="s">
        <v>263</v>
      </c>
      <c r="AH35" s="371">
        <v>45167.333333333336</v>
      </c>
      <c r="AI35" s="375">
        <v>45167.333333333336</v>
      </c>
    </row>
    <row r="36" spans="1:35" x14ac:dyDescent="0.25">
      <c r="A36" s="349" t="str">
        <f t="shared" si="0"/>
        <v>TEST.001-RVW.1.34</v>
      </c>
      <c r="B36" s="385">
        <f>SUM($C$3:$C36)</f>
        <v>34</v>
      </c>
      <c r="C36" s="386">
        <v>1</v>
      </c>
      <c r="D36" s="387" t="str">
        <f>$D$3</f>
        <v>TEST.001</v>
      </c>
      <c r="E36" s="167">
        <v>1</v>
      </c>
      <c r="F36" s="389" t="s">
        <v>594</v>
      </c>
      <c r="G36" s="390" t="s">
        <v>564</v>
      </c>
      <c r="H36" s="390"/>
      <c r="I36" s="162" t="str">
        <f t="shared" si="2"/>
        <v>DCS.PW.</v>
      </c>
      <c r="J36" s="273"/>
      <c r="K36" s="268"/>
      <c r="L36" s="393">
        <f t="shared" si="3"/>
        <v>0</v>
      </c>
      <c r="M36" s="277"/>
      <c r="N36" s="399" t="s">
        <v>342</v>
      </c>
      <c r="O36" s="400">
        <v>10</v>
      </c>
      <c r="P36" s="400">
        <v>3</v>
      </c>
      <c r="Q36" s="167" t="s">
        <v>273</v>
      </c>
      <c r="R36" s="406"/>
      <c r="S36" s="406"/>
      <c r="T36" s="406"/>
      <c r="U36" s="406"/>
      <c r="V36" s="406"/>
      <c r="W36" s="406"/>
      <c r="X36" s="356" t="s">
        <v>263</v>
      </c>
      <c r="Y36" s="372">
        <f t="shared" si="4"/>
        <v>45167.333333333336</v>
      </c>
      <c r="Z36" s="356" t="s">
        <v>263</v>
      </c>
      <c r="AA36" s="359">
        <f t="shared" ca="1" si="7"/>
        <v>3.3333333333357587</v>
      </c>
      <c r="AB36" s="359">
        <f t="shared" ca="1" si="11"/>
        <v>6</v>
      </c>
      <c r="AC36" s="372">
        <f t="shared" si="8"/>
        <v>45181</v>
      </c>
      <c r="AD36" s="356" t="s">
        <v>263</v>
      </c>
      <c r="AE36" s="372">
        <v>45167.333333333336</v>
      </c>
      <c r="AF36" s="359">
        <f t="shared" ca="1" si="9"/>
        <v>6.6666666666642413</v>
      </c>
      <c r="AG36" s="356" t="s">
        <v>263</v>
      </c>
      <c r="AH36" s="372">
        <v>45167.333333333336</v>
      </c>
      <c r="AI36" s="376">
        <v>45167.333333333336</v>
      </c>
    </row>
    <row r="37" spans="1:35" x14ac:dyDescent="0.25">
      <c r="B37" s="155"/>
      <c r="C37" s="155"/>
      <c r="E37" s="155"/>
      <c r="F37" s="344"/>
      <c r="G37" s="346"/>
      <c r="H37" s="346"/>
      <c r="O37" s="155"/>
      <c r="P37" s="155"/>
      <c r="Q37" s="155"/>
      <c r="R37" s="352">
        <f>SUM(R3:R36)</f>
        <v>10.5</v>
      </c>
      <c r="S37" s="352">
        <f>SUM(S3:S36)</f>
        <v>1.5</v>
      </c>
      <c r="T37" s="352">
        <f>SUM(T3:T36)</f>
        <v>1</v>
      </c>
      <c r="U37" s="155"/>
      <c r="V37" s="155"/>
      <c r="W37" s="155"/>
      <c r="AA37" s="352">
        <f ca="1">0-SUM(AA6:AA36)</f>
        <v>-75.333333333408518</v>
      </c>
      <c r="AF37" s="352">
        <f ca="1">SUM(AF3:AF36)</f>
        <v>220.66666666659148</v>
      </c>
      <c r="AG37" s="155"/>
      <c r="AH37" s="155"/>
      <c r="AI37" s="155"/>
    </row>
    <row r="38" spans="1:35" x14ac:dyDescent="0.25">
      <c r="B38" s="155"/>
      <c r="C38" s="155"/>
      <c r="E38" s="155"/>
      <c r="F38" s="344"/>
      <c r="G38" s="346"/>
      <c r="H38" s="346"/>
      <c r="N38"/>
      <c r="P38" s="155"/>
      <c r="Q38" s="155"/>
      <c r="R38" s="155"/>
      <c r="S38" s="155"/>
      <c r="T38" s="155"/>
      <c r="U38" s="155"/>
      <c r="V38" s="155"/>
      <c r="W38" s="155"/>
      <c r="AA38" s="352" t="str">
        <f ca="1">IF(AA37&gt;0,"Late","Early")</f>
        <v>Early</v>
      </c>
      <c r="AG38" s="155"/>
      <c r="AH38" s="155"/>
      <c r="AI38" s="155"/>
    </row>
    <row r="39" spans="1:35" x14ac:dyDescent="0.25">
      <c r="N39"/>
      <c r="T39" s="428"/>
      <c r="U39" s="428"/>
      <c r="V39" s="428"/>
      <c r="W39" s="428"/>
      <c r="AG39" s="155"/>
      <c r="AH39" s="155"/>
      <c r="AI39" s="155"/>
    </row>
    <row r="45" spans="1:35" x14ac:dyDescent="0.25">
      <c r="N45"/>
      <c r="X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</row>
    <row r="46" spans="1:35" x14ac:dyDescent="0.25">
      <c r="N46"/>
    </row>
    <row r="47" spans="1:35" x14ac:dyDescent="0.25">
      <c r="N47"/>
    </row>
    <row r="48" spans="1:35" x14ac:dyDescent="0.25">
      <c r="N48"/>
    </row>
    <row r="49" spans="9:14" x14ac:dyDescent="0.25">
      <c r="N49"/>
    </row>
    <row r="50" spans="9:14" x14ac:dyDescent="0.25">
      <c r="N50"/>
    </row>
    <row r="51" spans="9:14" x14ac:dyDescent="0.25">
      <c r="N51"/>
    </row>
    <row r="52" spans="9:14" x14ac:dyDescent="0.25">
      <c r="N52"/>
    </row>
    <row r="53" spans="9:14" x14ac:dyDescent="0.25">
      <c r="N53"/>
    </row>
    <row r="54" spans="9:14" x14ac:dyDescent="0.25">
      <c r="N54"/>
    </row>
    <row r="55" spans="9:14" x14ac:dyDescent="0.25">
      <c r="N55"/>
    </row>
    <row r="56" spans="9:14" x14ac:dyDescent="0.25">
      <c r="N56"/>
    </row>
    <row r="57" spans="9:14" x14ac:dyDescent="0.25">
      <c r="N57"/>
    </row>
    <row r="58" spans="9:14" x14ac:dyDescent="0.25">
      <c r="N58"/>
    </row>
    <row r="59" spans="9:14" x14ac:dyDescent="0.25">
      <c r="N59"/>
    </row>
    <row r="60" spans="9:14" x14ac:dyDescent="0.25">
      <c r="N60"/>
    </row>
    <row r="61" spans="9:14" x14ac:dyDescent="0.25">
      <c r="I61" s="155"/>
    </row>
  </sheetData>
  <sortState xmlns:xlrd2="http://schemas.microsoft.com/office/spreadsheetml/2017/richdata2" ref="I40:I63">
    <sortCondition ref="I40:I63"/>
  </sortState>
  <mergeCells count="1">
    <mergeCell ref="T39:W39"/>
  </mergeCells>
  <conditionalFormatting sqref="A2:AI2">
    <cfRule type="cellIs" dxfId="26" priority="1" operator="equal">
      <formula>"No"</formula>
    </cfRule>
  </conditionalFormatting>
  <conditionalFormatting sqref="Q3:Q5 Q6:R26 T6:T26 Q27:Q36">
    <cfRule type="cellIs" dxfId="25" priority="27" operator="equal">
      <formula>"See Next Cycle"</formula>
    </cfRule>
    <cfRule type="cellIs" dxfId="24" priority="28" operator="equal">
      <formula>"Corrections Sent"</formula>
    </cfRule>
    <cfRule type="cellIs" dxfId="23" priority="29" operator="equal">
      <formula>"Approved"</formula>
    </cfRule>
    <cfRule type="cellIs" dxfId="22" priority="30" operator="equal">
      <formula>"N/A"</formula>
    </cfRule>
  </conditionalFormatting>
  <conditionalFormatting sqref="R37:W37">
    <cfRule type="cellIs" dxfId="21" priority="16" operator="notEqual">
      <formula>0</formula>
    </cfRule>
    <cfRule type="cellIs" dxfId="20" priority="17" operator="equal">
      <formula>"See Next Cycle"</formula>
    </cfRule>
    <cfRule type="cellIs" dxfId="19" priority="18" operator="equal">
      <formula>"Corrections Sent"</formula>
    </cfRule>
    <cfRule type="cellIs" dxfId="18" priority="19" operator="equal">
      <formula>"Approved"</formula>
    </cfRule>
    <cfRule type="cellIs" dxfId="17" priority="20" operator="equal">
      <formula>"N/A"</formula>
    </cfRule>
    <cfRule type="cellIs" dxfId="16" priority="21" operator="equal">
      <formula>"Due"</formula>
    </cfRule>
  </conditionalFormatting>
  <conditionalFormatting sqref="T6:T26 Q3:Q5 Q6:R26 Q27:Q36">
    <cfRule type="cellIs" dxfId="15" priority="31" operator="equal">
      <formula>"Due"</formula>
    </cfRule>
  </conditionalFormatting>
  <conditionalFormatting sqref="T6:T26">
    <cfRule type="cellIs" dxfId="14" priority="2" operator="equal">
      <formula>0</formula>
    </cfRule>
    <cfRule type="cellIs" dxfId="13" priority="23" operator="notEqual">
      <formula>0</formula>
    </cfRule>
  </conditionalFormatting>
  <conditionalFormatting sqref="AA37:AA38">
    <cfRule type="cellIs" dxfId="12" priority="3" operator="notEqual">
      <formula>0</formula>
    </cfRule>
    <cfRule type="cellIs" dxfId="11" priority="4" operator="equal">
      <formula>"See Next Cycle"</formula>
    </cfRule>
    <cfRule type="cellIs" dxfId="10" priority="5" operator="equal">
      <formula>"Corrections Sent"</formula>
    </cfRule>
    <cfRule type="cellIs" dxfId="9" priority="6" operator="equal">
      <formula>"Approved"</formula>
    </cfRule>
    <cfRule type="cellIs" dxfId="8" priority="7" operator="equal">
      <formula>"N/A"</formula>
    </cfRule>
    <cfRule type="cellIs" dxfId="7" priority="8" operator="equal">
      <formula>"Due"</formula>
    </cfRule>
  </conditionalFormatting>
  <conditionalFormatting sqref="AA6:AB36">
    <cfRule type="cellIs" dxfId="6" priority="9" operator="lessThan">
      <formula>1</formula>
    </cfRule>
  </conditionalFormatting>
  <conditionalFormatting sqref="AF37">
    <cfRule type="cellIs" dxfId="5" priority="10" operator="notEqual">
      <formula>0</formula>
    </cfRule>
    <cfRule type="cellIs" dxfId="4" priority="11" operator="equal">
      <formula>"See Next Cycle"</formula>
    </cfRule>
    <cfRule type="cellIs" dxfId="3" priority="12" operator="equal">
      <formula>"Corrections Sent"</formula>
    </cfRule>
    <cfRule type="cellIs" dxfId="2" priority="13" operator="equal">
      <formula>"Approved"</formula>
    </cfRule>
    <cfRule type="cellIs" dxfId="1" priority="14" operator="equal">
      <formula>"N/A"</formula>
    </cfRule>
    <cfRule type="cellIs" dxfId="0" priority="15" operator="equal">
      <formula>"Due"</formula>
    </cfRule>
  </conditionalFormatting>
  <dataValidations count="7">
    <dataValidation type="list" allowBlank="1" showInputMessage="1" showErrorMessage="1" sqref="Q3:Q36" xr:uid="{E6665EAA-DDAE-4694-82A5-01A2CEC15A9F}">
      <formula1>"Created,Sent,Due,N/A,Approved,Corrections Sent,See Next Cycle"</formula1>
    </dataValidation>
    <dataValidation type="list" allowBlank="1" showInputMessage="1" showErrorMessage="1" sqref="K3:L36 A2:AI2" xr:uid="{EB1C924F-1EB4-4997-8433-C3AEDA96FB27}">
      <formula1>"Yes,No"</formula1>
    </dataValidation>
    <dataValidation type="decimal" operator="greaterThanOrEqual" allowBlank="1" showInputMessage="1" showErrorMessage="1" sqref="R6:R26" xr:uid="{7252404E-24A7-48A4-83CF-8889F7B2AB48}">
      <formula1>0.1</formula1>
    </dataValidation>
    <dataValidation operator="greaterThanOrEqual" allowBlank="1" showInputMessage="1" showErrorMessage="1" sqref="F3:H36 V3:W36 R3:U5 T6:U36 R27:S36" xr:uid="{7041C46E-70A7-4EB6-85D5-CD3D8D27A41A}"/>
    <dataValidation type="whole" operator="greaterThanOrEqual" allowBlank="1" showInputMessage="1" showErrorMessage="1" sqref="E3:E36 B3:C36" xr:uid="{9E6AAAB2-5408-4810-A105-969D1ACE6272}">
      <formula1>0</formula1>
    </dataValidation>
    <dataValidation type="decimal" operator="greaterThanOrEqual" allowBlank="1" showInputMessage="1" showErrorMessage="1" sqref="S6:S26" xr:uid="{309B806E-6BDF-49BD-A2A9-DB6F4F3BC67C}">
      <formula1>0</formula1>
    </dataValidation>
    <dataValidation type="list" allowBlank="1" showInputMessage="1" showErrorMessage="1" sqref="N3:P5 O8:P24 O26:P26" xr:uid="{E65DCCC7-05B6-4F11-9103-A6A691243E9A}">
      <formula1>$N$39:$N$60</formula1>
    </dataValidation>
  </dataValidations>
  <hyperlinks>
    <hyperlink ref="N27" r:id="rId1" xr:uid="{21F3F5DE-EAB1-4BD0-A302-6B1D84100F17}"/>
    <hyperlink ref="N30" r:id="rId2" xr:uid="{8C6F218A-A47A-49C2-B5BE-FA5A8A8D7CA8}"/>
    <hyperlink ref="N34" r:id="rId3" xr:uid="{621EB2F8-AB4B-4D7F-8777-22DC09E7F3D4}"/>
    <hyperlink ref="N35" r:id="rId4" xr:uid="{1FDFAC8D-A67B-45A7-80F1-B415D7A65AA6}"/>
    <hyperlink ref="N36" r:id="rId5" xr:uid="{A4F435B2-94AD-4BFD-BB9E-F68D13EEC516}"/>
    <hyperlink ref="N6" r:id="rId6" xr:uid="{F9FC6795-64C3-47DD-A986-BF0B56B43894}"/>
    <hyperlink ref="N25" r:id="rId7" xr:uid="{10A6ED3A-96DD-4C43-99BC-C25BC3FC04DB}"/>
    <hyperlink ref="N26" r:id="rId8" xr:uid="{C78F05B2-844B-4C89-8EDE-BF5F72A34FFC}"/>
    <hyperlink ref="N10" r:id="rId9" xr:uid="{07AFBCA1-6D25-4492-A1A9-73C32705CEE7}"/>
    <hyperlink ref="N13" r:id="rId10" xr:uid="{369CE4B9-360A-4B0F-A6D1-F3AF2C9A365C}"/>
    <hyperlink ref="N16" r:id="rId11" xr:uid="{DB61F06E-D42C-4097-B283-95802EFFE026}"/>
    <hyperlink ref="N19" r:id="rId12" xr:uid="{978ABCED-9503-429C-9579-86263AD6303B}"/>
    <hyperlink ref="N20" r:id="rId13" xr:uid="{F68D35B6-363D-407B-BAAD-C27A93FFBDAA}"/>
    <hyperlink ref="N21" r:id="rId14" xr:uid="{EC4D43DC-4FAF-4AC0-9096-FFEC50D6B2A6}"/>
    <hyperlink ref="N18" r:id="rId15" xr:uid="{8E1F8767-D014-4006-83CD-B2FE389E3866}"/>
    <hyperlink ref="N22" r:id="rId16" xr:uid="{D36272FA-CE8A-48F6-8677-C2EBFEF78254}"/>
    <hyperlink ref="N23" r:id="rId17" xr:uid="{81E31FFC-8BF3-40B6-9A4C-5CDBCAAD51E3}"/>
    <hyperlink ref="N11" r:id="rId18" xr:uid="{2AB11E19-3859-44CF-8859-869196C1B7F8}"/>
    <hyperlink ref="N12" r:id="rId19" xr:uid="{42C15C5D-DDAB-44AD-8E71-4FEAAED8A861}"/>
    <hyperlink ref="N14" r:id="rId20" xr:uid="{8AD35E5B-4D85-4455-B5E9-A47C290DA271}"/>
    <hyperlink ref="N15" r:id="rId21" xr:uid="{F5D436FD-3FF0-4C7C-BB5C-927407C1875D}"/>
    <hyperlink ref="N17" r:id="rId22" xr:uid="{99CBE5F7-E869-4073-A70B-40F288056AA5}"/>
    <hyperlink ref="N9" r:id="rId23" xr:uid="{9AEC2D86-F7F1-49AE-B9E5-30CD892B8BE1}"/>
    <hyperlink ref="N8" r:id="rId24" xr:uid="{64FC08C0-65DD-4079-93BA-12C50BC8F7A7}"/>
    <hyperlink ref="N7" r:id="rId25" xr:uid="{68A81277-97CF-42F8-B0BE-615F7372EA14}"/>
    <hyperlink ref="N24" r:id="rId26" xr:uid="{B251AC06-C365-41DF-972B-F9AB2688AAC4}"/>
    <hyperlink ref="N29" r:id="rId27" xr:uid="{DD786211-8FE4-4CA5-873D-2B2088FD7D99}"/>
    <hyperlink ref="N31" r:id="rId28" xr:uid="{345A48C6-41C1-49F5-84DE-456CDFF390E5}"/>
    <hyperlink ref="N32" r:id="rId29" xr:uid="{6FFD2E3F-7690-421B-8DCB-0B179C284ECF}"/>
    <hyperlink ref="N33" r:id="rId30" xr:uid="{9CC67A54-9701-4B66-9188-0510F2AD968C}"/>
    <hyperlink ref="N28" r:id="rId31" xr:uid="{851DDED0-4E22-479E-920C-E89AB8B94841}"/>
  </hyperlinks>
  <pageMargins left="0.7" right="0.7" top="0.75" bottom="0.75" header="0.3" footer="0.3"/>
  <pageSetup orientation="portrait" r:id="rId32"/>
  <legacyDrawing r:id="rId3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13C5AE-3224-4BA4-814C-17C10FB3C2E2}">
          <x14:formula1>
            <xm:f>Users!$G$2:$G$28</xm:f>
          </x14:formula1>
          <xm:sqref>N6:N36</xm:sqref>
        </x14:dataValidation>
        <x14:dataValidation type="list" allowBlank="1" showInputMessage="1" showErrorMessage="1" xr:uid="{FA106415-9574-41F8-9AC2-6F924AB231A9}">
          <x14:formula1>
            <xm:f>Users!$F$2:$F$28</xm:f>
          </x14:formula1>
          <xm:sqref>AD6:AD36 X3:X36 AF3:AH36 Z6:Z36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781F-1433-4913-866F-C16FD2F0E482}">
  <dimension ref="A1:AB29"/>
  <sheetViews>
    <sheetView tabSelected="1" workbookViewId="0">
      <selection activeCell="C8" sqref="C8"/>
    </sheetView>
  </sheetViews>
  <sheetFormatPr defaultRowHeight="15" x14ac:dyDescent="0.25"/>
  <cols>
    <col min="1" max="1" width="21.7109375" style="434" customWidth="1"/>
    <col min="2" max="2" width="16.140625" style="347" customWidth="1"/>
    <col min="3" max="3" width="16" style="347" customWidth="1"/>
    <col min="4" max="9" width="19.42578125" style="347" customWidth="1"/>
    <col min="10" max="10" width="27.42578125" style="347" customWidth="1"/>
    <col min="11" max="11" width="24.7109375" style="347" customWidth="1"/>
    <col min="12" max="12" width="25.140625" style="347" customWidth="1"/>
    <col min="13" max="29" width="19.42578125" style="347" customWidth="1"/>
    <col min="30" max="16384" width="9.140625" style="347"/>
  </cols>
  <sheetData>
    <row r="1" spans="1:28" s="430" customFormat="1" ht="45" x14ac:dyDescent="0.25">
      <c r="A1" s="432" t="s">
        <v>693</v>
      </c>
      <c r="B1" s="430" t="s">
        <v>712</v>
      </c>
      <c r="C1" s="430" t="s">
        <v>713</v>
      </c>
      <c r="D1" s="429" t="s">
        <v>714</v>
      </c>
      <c r="E1" s="429" t="s">
        <v>715</v>
      </c>
      <c r="F1" s="429" t="s">
        <v>716</v>
      </c>
      <c r="G1" s="429" t="s">
        <v>696</v>
      </c>
      <c r="H1" s="429" t="s">
        <v>717</v>
      </c>
      <c r="I1" s="429" t="s">
        <v>718</v>
      </c>
      <c r="J1" s="429" t="s">
        <v>697</v>
      </c>
      <c r="K1" s="429" t="s">
        <v>698</v>
      </c>
      <c r="L1" s="429" t="s">
        <v>695</v>
      </c>
      <c r="M1" s="429" t="s">
        <v>694</v>
      </c>
      <c r="N1" s="429" t="s">
        <v>675</v>
      </c>
      <c r="O1" s="429" t="s">
        <v>676</v>
      </c>
      <c r="P1" s="429" t="s">
        <v>699</v>
      </c>
      <c r="Q1" s="429" t="s">
        <v>700</v>
      </c>
      <c r="R1" s="429" t="s">
        <v>701</v>
      </c>
      <c r="S1" s="429" t="s">
        <v>702</v>
      </c>
      <c r="T1" s="429" t="s">
        <v>703</v>
      </c>
      <c r="U1" s="429" t="s">
        <v>704</v>
      </c>
      <c r="V1" s="429" t="s">
        <v>705</v>
      </c>
      <c r="W1" s="429" t="s">
        <v>706</v>
      </c>
      <c r="X1" s="429" t="s">
        <v>707</v>
      </c>
      <c r="Y1" s="429" t="s">
        <v>708</v>
      </c>
      <c r="Z1" s="429" t="s">
        <v>709</v>
      </c>
      <c r="AA1" s="429" t="s">
        <v>710</v>
      </c>
      <c r="AB1" s="429" t="s">
        <v>711</v>
      </c>
    </row>
    <row r="2" spans="1:28" s="430" customFormat="1" ht="45" x14ac:dyDescent="0.25">
      <c r="A2" s="433" t="s">
        <v>692</v>
      </c>
      <c r="B2" s="429" t="s">
        <v>691</v>
      </c>
      <c r="C2" s="429" t="s">
        <v>690</v>
      </c>
      <c r="D2" s="429" t="s">
        <v>252</v>
      </c>
      <c r="E2" s="429" t="s">
        <v>666</v>
      </c>
      <c r="F2" s="429" t="s">
        <v>667</v>
      </c>
      <c r="G2" s="429" t="s">
        <v>668</v>
      </c>
      <c r="H2" s="429" t="s">
        <v>669</v>
      </c>
      <c r="I2" s="429" t="s">
        <v>670</v>
      </c>
      <c r="J2" s="429" t="s">
        <v>671</v>
      </c>
      <c r="K2" s="429" t="s">
        <v>672</v>
      </c>
      <c r="L2" s="429" t="s">
        <v>673</v>
      </c>
      <c r="M2" s="429" t="s">
        <v>674</v>
      </c>
      <c r="N2" s="429" t="s">
        <v>675</v>
      </c>
      <c r="O2" s="429" t="s">
        <v>676</v>
      </c>
      <c r="P2" s="429" t="s">
        <v>677</v>
      </c>
      <c r="Q2" s="429" t="s">
        <v>678</v>
      </c>
      <c r="R2" s="429" t="s">
        <v>679</v>
      </c>
      <c r="S2" s="429" t="s">
        <v>680</v>
      </c>
      <c r="T2" s="429" t="s">
        <v>681</v>
      </c>
      <c r="U2" s="429" t="s">
        <v>682</v>
      </c>
      <c r="V2" s="429" t="s">
        <v>683</v>
      </c>
      <c r="W2" s="429" t="s">
        <v>684</v>
      </c>
      <c r="X2" s="429" t="s">
        <v>685</v>
      </c>
      <c r="Y2" s="429" t="s">
        <v>686</v>
      </c>
      <c r="Z2" s="429" t="s">
        <v>687</v>
      </c>
      <c r="AA2" s="429" t="s">
        <v>688</v>
      </c>
      <c r="AB2" s="429" t="s">
        <v>689</v>
      </c>
    </row>
    <row r="3" spans="1:28" ht="35.25" customHeight="1" x14ac:dyDescent="0.25">
      <c r="A3" s="434" t="s">
        <v>366</v>
      </c>
      <c r="B3" s="431"/>
    </row>
    <row r="4" spans="1:28" x14ac:dyDescent="0.25">
      <c r="B4" s="431"/>
    </row>
    <row r="5" spans="1:28" x14ac:dyDescent="0.25">
      <c r="B5" s="431"/>
    </row>
    <row r="6" spans="1:28" x14ac:dyDescent="0.25">
      <c r="B6" s="431"/>
    </row>
    <row r="7" spans="1:28" x14ac:dyDescent="0.25">
      <c r="B7" s="431"/>
    </row>
    <row r="8" spans="1:28" x14ac:dyDescent="0.25">
      <c r="B8" s="431"/>
    </row>
    <row r="9" spans="1:28" x14ac:dyDescent="0.25">
      <c r="B9" s="431"/>
    </row>
    <row r="10" spans="1:28" x14ac:dyDescent="0.25">
      <c r="B10" s="431"/>
    </row>
    <row r="11" spans="1:28" x14ac:dyDescent="0.25">
      <c r="B11" s="431"/>
    </row>
    <row r="12" spans="1:28" x14ac:dyDescent="0.25">
      <c r="B12" s="431"/>
    </row>
    <row r="13" spans="1:28" x14ac:dyDescent="0.25">
      <c r="B13" s="431"/>
    </row>
    <row r="14" spans="1:28" x14ac:dyDescent="0.25">
      <c r="B14" s="431"/>
    </row>
    <row r="15" spans="1:28" x14ac:dyDescent="0.25">
      <c r="B15" s="431"/>
    </row>
    <row r="16" spans="1:28" x14ac:dyDescent="0.25">
      <c r="B16" s="431"/>
    </row>
    <row r="17" spans="2:2" x14ac:dyDescent="0.25">
      <c r="B17" s="431"/>
    </row>
    <row r="18" spans="2:2" x14ac:dyDescent="0.25">
      <c r="B18" s="431"/>
    </row>
    <row r="19" spans="2:2" x14ac:dyDescent="0.25">
      <c r="B19" s="431"/>
    </row>
    <row r="20" spans="2:2" x14ac:dyDescent="0.25">
      <c r="B20" s="431"/>
    </row>
    <row r="21" spans="2:2" x14ac:dyDescent="0.25">
      <c r="B21" s="431"/>
    </row>
    <row r="22" spans="2:2" x14ac:dyDescent="0.25">
      <c r="B22" s="431"/>
    </row>
    <row r="23" spans="2:2" x14ac:dyDescent="0.25">
      <c r="B23" s="431"/>
    </row>
    <row r="24" spans="2:2" x14ac:dyDescent="0.25">
      <c r="B24" s="431"/>
    </row>
    <row r="25" spans="2:2" x14ac:dyDescent="0.25">
      <c r="B25" s="431"/>
    </row>
    <row r="26" spans="2:2" x14ac:dyDescent="0.25">
      <c r="B26" s="431"/>
    </row>
    <row r="27" spans="2:2" x14ac:dyDescent="0.25">
      <c r="B27" s="431"/>
    </row>
    <row r="28" spans="2:2" x14ac:dyDescent="0.25">
      <c r="B28" s="431"/>
    </row>
    <row r="29" spans="2:2" x14ac:dyDescent="0.25">
      <c r="B29" s="4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12EE-0604-B948-B059-CA5AD846AEB0}">
  <dimension ref="A1:Q79"/>
  <sheetViews>
    <sheetView showGridLines="0" zoomScaleNormal="100" zoomScaleSheetLayoutView="100" workbookViewId="0">
      <selection activeCell="G23" sqref="G23"/>
    </sheetView>
  </sheetViews>
  <sheetFormatPr defaultRowHeight="15" x14ac:dyDescent="0.25"/>
  <cols>
    <col min="1" max="1" width="8.5703125" style="2"/>
    <col min="2" max="2" width="31.85546875" customWidth="1"/>
    <col min="3" max="3" width="11.42578125" style="57" customWidth="1"/>
    <col min="4" max="4" width="4.7109375" customWidth="1"/>
    <col min="5" max="5" width="15.85546875" style="3" customWidth="1"/>
    <col min="6" max="6" width="15.28515625" style="3" customWidth="1"/>
    <col min="7" max="7" width="15.28515625" customWidth="1"/>
    <col min="8" max="8" width="15.28515625" style="310" customWidth="1"/>
    <col min="9" max="9" width="15.28515625" style="4" customWidth="1"/>
    <col min="10" max="10" width="4.7109375" customWidth="1"/>
    <col min="11" max="11" width="15.85546875" style="3" customWidth="1"/>
    <col min="12" max="12" width="15.28515625" style="3" customWidth="1"/>
    <col min="13" max="13" width="15.28515625" customWidth="1"/>
    <col min="14" max="15" width="15.28515625" style="4" customWidth="1"/>
    <col min="16" max="16" width="9.140625" customWidth="1"/>
    <col min="17" max="17" width="83.85546875" customWidth="1"/>
  </cols>
  <sheetData>
    <row r="1" spans="1:17" ht="67.5" customHeight="1" x14ac:dyDescent="0.25">
      <c r="A1" s="14" t="s">
        <v>184</v>
      </c>
      <c r="B1" s="5" t="s">
        <v>86</v>
      </c>
      <c r="C1" s="58" t="s">
        <v>227</v>
      </c>
      <c r="D1" s="78"/>
      <c r="E1" s="96" t="s">
        <v>228</v>
      </c>
      <c r="F1" s="29" t="s">
        <v>242</v>
      </c>
      <c r="G1" s="29" t="s">
        <v>240</v>
      </c>
      <c r="H1" s="306" t="s">
        <v>241</v>
      </c>
      <c r="I1" s="29" t="s">
        <v>556</v>
      </c>
      <c r="J1" s="78"/>
      <c r="K1" s="95" t="s">
        <v>228</v>
      </c>
      <c r="L1" s="29" t="s">
        <v>242</v>
      </c>
      <c r="M1" s="29" t="s">
        <v>240</v>
      </c>
      <c r="N1" s="29" t="s">
        <v>241</v>
      </c>
      <c r="O1" s="29" t="s">
        <v>556</v>
      </c>
      <c r="P1" s="79"/>
    </row>
    <row r="2" spans="1:17" x14ac:dyDescent="0.25">
      <c r="A2" s="2">
        <v>1</v>
      </c>
      <c r="B2" s="59" t="s">
        <v>224</v>
      </c>
      <c r="C2" s="60"/>
      <c r="D2" s="79"/>
      <c r="E2" s="91" t="s">
        <v>230</v>
      </c>
      <c r="F2" s="92">
        <v>15</v>
      </c>
      <c r="G2" s="92">
        <v>1</v>
      </c>
      <c r="H2" s="307">
        <v>0</v>
      </c>
      <c r="I2" s="283">
        <f>149*(F2/60+0.4*G2+0.7*H2)</f>
        <v>96.850000000000009</v>
      </c>
      <c r="J2" s="79"/>
      <c r="K2" s="286" t="s">
        <v>231</v>
      </c>
      <c r="L2" s="287">
        <f>F2</f>
        <v>15</v>
      </c>
      <c r="M2" s="287">
        <f>G2</f>
        <v>1</v>
      </c>
      <c r="N2" s="288">
        <f>M2*0.1</f>
        <v>0.1</v>
      </c>
      <c r="O2" s="289">
        <f>149*(L2/60+0.4*M2+0.7*N2)</f>
        <v>107.28</v>
      </c>
      <c r="P2" s="79"/>
    </row>
    <row r="3" spans="1:17" x14ac:dyDescent="0.25">
      <c r="A3" s="2">
        <f>A2+1</f>
        <v>2</v>
      </c>
      <c r="B3" s="61" t="s">
        <v>90</v>
      </c>
      <c r="C3" s="62"/>
      <c r="D3" s="79"/>
      <c r="E3" s="294"/>
      <c r="F3" s="295"/>
      <c r="G3" s="295"/>
      <c r="H3" s="296"/>
      <c r="I3" s="297"/>
      <c r="J3" s="93"/>
      <c r="K3" s="294"/>
      <c r="L3" s="295"/>
      <c r="M3" s="295"/>
      <c r="N3" s="296"/>
      <c r="O3" s="297"/>
      <c r="P3" s="94"/>
    </row>
    <row r="4" spans="1:17" x14ac:dyDescent="0.25">
      <c r="A4" s="2">
        <f t="shared" ref="A4:A67" si="0">A3+1</f>
        <v>3</v>
      </c>
      <c r="B4" s="61" t="s">
        <v>91</v>
      </c>
      <c r="C4" s="62"/>
      <c r="D4" s="80"/>
      <c r="E4" s="298"/>
      <c r="F4" s="292"/>
      <c r="G4" s="292"/>
      <c r="H4" s="292"/>
      <c r="I4" s="299"/>
      <c r="J4" s="285"/>
      <c r="K4" s="298"/>
      <c r="L4" s="292"/>
      <c r="M4" s="292"/>
      <c r="N4" s="292"/>
      <c r="O4" s="299"/>
      <c r="P4" s="94"/>
    </row>
    <row r="5" spans="1:17" x14ac:dyDescent="0.25">
      <c r="A5" s="2">
        <f t="shared" si="0"/>
        <v>4</v>
      </c>
      <c r="B5" s="61" t="s">
        <v>92</v>
      </c>
      <c r="C5" s="62"/>
      <c r="D5" s="79"/>
      <c r="E5" s="298"/>
      <c r="F5" s="292"/>
      <c r="G5" s="292"/>
      <c r="H5" s="292"/>
      <c r="I5" s="299"/>
      <c r="J5" s="93"/>
      <c r="K5" s="298"/>
      <c r="L5" s="292"/>
      <c r="M5" s="292"/>
      <c r="N5" s="292"/>
      <c r="O5" s="299"/>
      <c r="P5" s="94"/>
    </row>
    <row r="6" spans="1:17" x14ac:dyDescent="0.25">
      <c r="A6" s="2">
        <f t="shared" si="0"/>
        <v>5</v>
      </c>
      <c r="B6" s="61" t="s">
        <v>93</v>
      </c>
      <c r="C6" s="62"/>
      <c r="D6" s="79"/>
      <c r="E6" s="298"/>
      <c r="F6" s="292"/>
      <c r="G6" s="292"/>
      <c r="H6" s="292"/>
      <c r="I6" s="299"/>
      <c r="J6" s="93"/>
      <c r="K6" s="298"/>
      <c r="L6" s="292"/>
      <c r="M6" s="292"/>
      <c r="N6" s="292"/>
      <c r="O6" s="299"/>
      <c r="P6" s="94"/>
      <c r="Q6" s="97" t="s">
        <v>236</v>
      </c>
    </row>
    <row r="7" spans="1:17" x14ac:dyDescent="0.25">
      <c r="A7" s="2">
        <f t="shared" si="0"/>
        <v>6</v>
      </c>
      <c r="B7" s="61" t="s">
        <v>94</v>
      </c>
      <c r="C7" s="62"/>
      <c r="D7" s="79"/>
      <c r="E7" s="313"/>
      <c r="F7" s="314"/>
      <c r="G7" s="314"/>
      <c r="H7" s="314"/>
      <c r="I7" s="315"/>
      <c r="J7" s="93"/>
      <c r="K7" s="298"/>
      <c r="L7" s="292"/>
      <c r="M7" s="292"/>
      <c r="N7" s="292"/>
      <c r="O7" s="299"/>
      <c r="P7" s="94"/>
      <c r="Q7" s="97" t="s">
        <v>235</v>
      </c>
    </row>
    <row r="8" spans="1:17" x14ac:dyDescent="0.25">
      <c r="A8" s="2">
        <f t="shared" si="0"/>
        <v>7</v>
      </c>
      <c r="B8" s="63" t="s">
        <v>89</v>
      </c>
      <c r="C8" s="64"/>
      <c r="D8" s="79"/>
      <c r="E8" s="311"/>
      <c r="F8" s="290">
        <f t="shared" ref="F8:F26" si="1">F$2</f>
        <v>15</v>
      </c>
      <c r="G8" s="290">
        <f t="shared" ref="G8:H32" si="2">G$2</f>
        <v>1</v>
      </c>
      <c r="H8" s="312">
        <f t="shared" si="2"/>
        <v>0</v>
      </c>
      <c r="I8" s="291">
        <f>149*(F8/60+0.4*G8+0.7*H8)</f>
        <v>96.850000000000009</v>
      </c>
      <c r="J8" s="93"/>
      <c r="K8" s="300" t="s">
        <v>234</v>
      </c>
      <c r="L8" s="293"/>
      <c r="M8" s="293"/>
      <c r="N8" s="293"/>
      <c r="O8" s="301"/>
      <c r="P8" s="94"/>
      <c r="Q8" s="97" t="s">
        <v>237</v>
      </c>
    </row>
    <row r="9" spans="1:17" x14ac:dyDescent="0.25">
      <c r="A9" s="2">
        <f t="shared" si="0"/>
        <v>8</v>
      </c>
      <c r="B9" s="65" t="s">
        <v>84</v>
      </c>
      <c r="C9" s="64"/>
      <c r="D9" s="79"/>
      <c r="E9" s="75"/>
      <c r="F9" s="86">
        <f t="shared" si="1"/>
        <v>15</v>
      </c>
      <c r="G9" s="86">
        <f t="shared" si="2"/>
        <v>1</v>
      </c>
      <c r="H9" s="308">
        <f t="shared" si="2"/>
        <v>0</v>
      </c>
      <c r="I9" s="284">
        <f t="shared" ref="I9:I72" si="3">149*(F9/60+0.4*G9+0.7*H9)</f>
        <v>96.850000000000009</v>
      </c>
      <c r="J9" s="93"/>
      <c r="K9" s="300" t="s">
        <v>234</v>
      </c>
      <c r="L9" s="293"/>
      <c r="M9" s="293"/>
      <c r="N9" s="293"/>
      <c r="O9" s="301"/>
      <c r="P9" s="94"/>
      <c r="Q9" s="97" t="s">
        <v>238</v>
      </c>
    </row>
    <row r="10" spans="1:17" x14ac:dyDescent="0.25">
      <c r="A10" s="2">
        <f t="shared" si="0"/>
        <v>9</v>
      </c>
      <c r="B10" s="65" t="s">
        <v>85</v>
      </c>
      <c r="C10" s="64"/>
      <c r="D10" s="79"/>
      <c r="E10" s="75"/>
      <c r="F10" s="86">
        <f t="shared" si="1"/>
        <v>15</v>
      </c>
      <c r="G10" s="86">
        <f t="shared" si="2"/>
        <v>1</v>
      </c>
      <c r="H10" s="308">
        <f t="shared" si="2"/>
        <v>0</v>
      </c>
      <c r="I10" s="284">
        <f t="shared" si="3"/>
        <v>96.850000000000009</v>
      </c>
      <c r="J10" s="93"/>
      <c r="K10" s="300" t="s">
        <v>234</v>
      </c>
      <c r="L10" s="293"/>
      <c r="M10" s="293"/>
      <c r="N10" s="293"/>
      <c r="O10" s="301"/>
      <c r="P10" s="94"/>
      <c r="Q10" s="97" t="s">
        <v>239</v>
      </c>
    </row>
    <row r="11" spans="1:17" x14ac:dyDescent="0.25">
      <c r="A11" s="2">
        <f t="shared" si="0"/>
        <v>10</v>
      </c>
      <c r="B11" s="66" t="s">
        <v>80</v>
      </c>
      <c r="C11" s="67"/>
      <c r="D11" s="79"/>
      <c r="E11" s="75"/>
      <c r="F11" s="86">
        <f t="shared" si="1"/>
        <v>15</v>
      </c>
      <c r="G11" s="86">
        <f t="shared" si="2"/>
        <v>1</v>
      </c>
      <c r="H11" s="308">
        <f t="shared" si="2"/>
        <v>0</v>
      </c>
      <c r="I11" s="284">
        <f t="shared" si="3"/>
        <v>96.850000000000009</v>
      </c>
      <c r="J11" s="93"/>
      <c r="K11" s="300" t="s">
        <v>234</v>
      </c>
      <c r="L11" s="293"/>
      <c r="M11" s="293"/>
      <c r="N11" s="293"/>
      <c r="O11" s="301"/>
      <c r="P11" s="94"/>
    </row>
    <row r="12" spans="1:17" x14ac:dyDescent="0.25">
      <c r="A12" s="2">
        <f t="shared" si="0"/>
        <v>11</v>
      </c>
      <c r="B12" s="68" t="s">
        <v>347</v>
      </c>
      <c r="C12" s="64"/>
      <c r="D12" s="79"/>
      <c r="E12" s="75"/>
      <c r="F12" s="86">
        <f t="shared" ref="F12:F34" si="4">F$2</f>
        <v>15</v>
      </c>
      <c r="G12" s="86">
        <f t="shared" ref="G12:H67" si="5">G$2</f>
        <v>1</v>
      </c>
      <c r="H12" s="308">
        <f t="shared" si="2"/>
        <v>0</v>
      </c>
      <c r="I12" s="284">
        <f t="shared" si="3"/>
        <v>96.850000000000009</v>
      </c>
      <c r="J12" s="93"/>
      <c r="K12" s="300" t="s">
        <v>234</v>
      </c>
      <c r="L12" s="293"/>
      <c r="M12" s="293"/>
      <c r="N12" s="293"/>
      <c r="O12" s="301"/>
      <c r="P12" s="94"/>
    </row>
    <row r="13" spans="1:17" x14ac:dyDescent="0.25">
      <c r="A13" s="2">
        <f t="shared" si="0"/>
        <v>12</v>
      </c>
      <c r="B13" s="68" t="s">
        <v>348</v>
      </c>
      <c r="C13" s="64"/>
      <c r="D13" s="79"/>
      <c r="E13" s="75"/>
      <c r="F13" s="86">
        <f t="shared" si="4"/>
        <v>15</v>
      </c>
      <c r="G13" s="86">
        <f t="shared" si="5"/>
        <v>1</v>
      </c>
      <c r="H13" s="308">
        <f t="shared" si="2"/>
        <v>0</v>
      </c>
      <c r="I13" s="284">
        <f t="shared" si="3"/>
        <v>96.850000000000009</v>
      </c>
      <c r="J13" s="93"/>
      <c r="K13" s="300" t="s">
        <v>234</v>
      </c>
      <c r="L13" s="293"/>
      <c r="M13" s="293"/>
      <c r="N13" s="293"/>
      <c r="O13" s="301"/>
      <c r="P13" s="94"/>
    </row>
    <row r="14" spans="1:17" x14ac:dyDescent="0.25">
      <c r="A14" s="2">
        <f t="shared" si="0"/>
        <v>13</v>
      </c>
      <c r="B14" s="68" t="s">
        <v>349</v>
      </c>
      <c r="C14" s="64"/>
      <c r="D14" s="79"/>
      <c r="E14" s="75"/>
      <c r="F14" s="86">
        <f t="shared" si="4"/>
        <v>15</v>
      </c>
      <c r="G14" s="86">
        <f t="shared" si="5"/>
        <v>1</v>
      </c>
      <c r="H14" s="308">
        <f t="shared" si="2"/>
        <v>0</v>
      </c>
      <c r="I14" s="284">
        <f t="shared" si="3"/>
        <v>96.850000000000009</v>
      </c>
      <c r="J14" s="93"/>
      <c r="K14" s="300" t="s">
        <v>234</v>
      </c>
      <c r="L14" s="293"/>
      <c r="M14" s="293"/>
      <c r="N14" s="293"/>
      <c r="O14" s="301"/>
      <c r="P14" s="94"/>
    </row>
    <row r="15" spans="1:17" x14ac:dyDescent="0.25">
      <c r="A15" s="2">
        <f t="shared" si="0"/>
        <v>14</v>
      </c>
      <c r="B15" s="68" t="s">
        <v>350</v>
      </c>
      <c r="C15" s="64"/>
      <c r="D15" s="79"/>
      <c r="E15" s="75"/>
      <c r="F15" s="86">
        <f t="shared" si="4"/>
        <v>15</v>
      </c>
      <c r="G15" s="86">
        <f t="shared" si="5"/>
        <v>1</v>
      </c>
      <c r="H15" s="308">
        <f t="shared" si="2"/>
        <v>0</v>
      </c>
      <c r="I15" s="284">
        <f t="shared" si="3"/>
        <v>96.850000000000009</v>
      </c>
      <c r="J15" s="93"/>
      <c r="K15" s="300" t="s">
        <v>234</v>
      </c>
      <c r="L15" s="293"/>
      <c r="M15" s="293"/>
      <c r="N15" s="293"/>
      <c r="O15" s="301"/>
      <c r="P15" s="94"/>
    </row>
    <row r="16" spans="1:17" x14ac:dyDescent="0.25">
      <c r="A16" s="2">
        <f t="shared" si="0"/>
        <v>15</v>
      </c>
      <c r="B16" s="68" t="s">
        <v>351</v>
      </c>
      <c r="C16" s="64"/>
      <c r="D16" s="79"/>
      <c r="E16" s="75"/>
      <c r="F16" s="86">
        <f t="shared" si="4"/>
        <v>15</v>
      </c>
      <c r="G16" s="86">
        <f t="shared" si="5"/>
        <v>1</v>
      </c>
      <c r="H16" s="308">
        <f t="shared" si="2"/>
        <v>0</v>
      </c>
      <c r="I16" s="284">
        <f t="shared" si="3"/>
        <v>96.850000000000009</v>
      </c>
      <c r="J16" s="93"/>
      <c r="K16" s="300" t="s">
        <v>234</v>
      </c>
      <c r="L16" s="293"/>
      <c r="M16" s="293"/>
      <c r="N16" s="293"/>
      <c r="O16" s="301"/>
      <c r="P16" s="94"/>
    </row>
    <row r="17" spans="1:16" x14ac:dyDescent="0.25">
      <c r="A17" s="2">
        <f t="shared" si="0"/>
        <v>16</v>
      </c>
      <c r="B17" s="68" t="s">
        <v>352</v>
      </c>
      <c r="C17" s="64"/>
      <c r="D17" s="79"/>
      <c r="E17" s="75"/>
      <c r="F17" s="86">
        <f t="shared" si="4"/>
        <v>15</v>
      </c>
      <c r="G17" s="86">
        <f t="shared" si="5"/>
        <v>1</v>
      </c>
      <c r="H17" s="308">
        <f t="shared" si="2"/>
        <v>0</v>
      </c>
      <c r="I17" s="284">
        <f t="shared" si="3"/>
        <v>96.850000000000009</v>
      </c>
      <c r="J17" s="93"/>
      <c r="K17" s="300" t="s">
        <v>234</v>
      </c>
      <c r="L17" s="293"/>
      <c r="M17" s="293"/>
      <c r="N17" s="293"/>
      <c r="O17" s="301"/>
      <c r="P17" s="94"/>
    </row>
    <row r="18" spans="1:16" x14ac:dyDescent="0.25">
      <c r="A18" s="2">
        <f t="shared" si="0"/>
        <v>17</v>
      </c>
      <c r="B18" s="68" t="s">
        <v>353</v>
      </c>
      <c r="C18" s="64"/>
      <c r="D18" s="79"/>
      <c r="E18" s="75"/>
      <c r="F18" s="86">
        <f t="shared" si="4"/>
        <v>15</v>
      </c>
      <c r="G18" s="86">
        <f t="shared" si="5"/>
        <v>1</v>
      </c>
      <c r="H18" s="308">
        <f t="shared" si="2"/>
        <v>0</v>
      </c>
      <c r="I18" s="284">
        <f t="shared" si="3"/>
        <v>96.850000000000009</v>
      </c>
      <c r="J18" s="93"/>
      <c r="K18" s="300" t="s">
        <v>234</v>
      </c>
      <c r="L18" s="293"/>
      <c r="M18" s="293"/>
      <c r="N18" s="293"/>
      <c r="O18" s="301"/>
      <c r="P18" s="94"/>
    </row>
    <row r="19" spans="1:16" x14ac:dyDescent="0.25">
      <c r="A19" s="2">
        <f t="shared" si="0"/>
        <v>18</v>
      </c>
      <c r="B19" s="68" t="s">
        <v>354</v>
      </c>
      <c r="C19" s="64"/>
      <c r="D19" s="79"/>
      <c r="E19" s="75"/>
      <c r="F19" s="86">
        <f t="shared" si="4"/>
        <v>15</v>
      </c>
      <c r="G19" s="86">
        <f t="shared" si="5"/>
        <v>1</v>
      </c>
      <c r="H19" s="308">
        <f t="shared" si="2"/>
        <v>0</v>
      </c>
      <c r="I19" s="284">
        <f t="shared" si="3"/>
        <v>96.850000000000009</v>
      </c>
      <c r="J19" s="93"/>
      <c r="K19" s="300" t="s">
        <v>234</v>
      </c>
      <c r="L19" s="293"/>
      <c r="M19" s="293"/>
      <c r="N19" s="293"/>
      <c r="O19" s="301"/>
      <c r="P19" s="94"/>
    </row>
    <row r="20" spans="1:16" x14ac:dyDescent="0.25">
      <c r="A20" s="2">
        <f t="shared" si="0"/>
        <v>19</v>
      </c>
      <c r="B20" s="68" t="s">
        <v>355</v>
      </c>
      <c r="C20" s="64"/>
      <c r="D20" s="79"/>
      <c r="E20" s="75"/>
      <c r="F20" s="86">
        <f t="shared" si="4"/>
        <v>15</v>
      </c>
      <c r="G20" s="86">
        <f t="shared" si="5"/>
        <v>1</v>
      </c>
      <c r="H20" s="308">
        <f t="shared" si="2"/>
        <v>0</v>
      </c>
      <c r="I20" s="284">
        <f t="shared" si="3"/>
        <v>96.850000000000009</v>
      </c>
      <c r="J20" s="93"/>
      <c r="K20" s="300" t="s">
        <v>234</v>
      </c>
      <c r="L20" s="293"/>
      <c r="M20" s="293"/>
      <c r="N20" s="293"/>
      <c r="O20" s="301"/>
      <c r="P20" s="94"/>
    </row>
    <row r="21" spans="1:16" x14ac:dyDescent="0.25">
      <c r="A21" s="2">
        <f t="shared" si="0"/>
        <v>20</v>
      </c>
      <c r="B21" s="68" t="s">
        <v>356</v>
      </c>
      <c r="C21" s="64"/>
      <c r="D21" s="79"/>
      <c r="E21" s="75"/>
      <c r="F21" s="86">
        <f t="shared" si="4"/>
        <v>15</v>
      </c>
      <c r="G21" s="86">
        <f t="shared" si="5"/>
        <v>1</v>
      </c>
      <c r="H21" s="308">
        <f t="shared" si="2"/>
        <v>0</v>
      </c>
      <c r="I21" s="284">
        <f t="shared" si="3"/>
        <v>96.850000000000009</v>
      </c>
      <c r="J21" s="93"/>
      <c r="K21" s="300" t="s">
        <v>234</v>
      </c>
      <c r="L21" s="293"/>
      <c r="M21" s="293"/>
      <c r="N21" s="293"/>
      <c r="O21" s="301"/>
      <c r="P21" s="94"/>
    </row>
    <row r="22" spans="1:16" x14ac:dyDescent="0.25">
      <c r="A22" s="2">
        <f t="shared" si="0"/>
        <v>21</v>
      </c>
      <c r="B22" s="68" t="s">
        <v>357</v>
      </c>
      <c r="C22" s="64"/>
      <c r="D22" s="79"/>
      <c r="E22" s="75"/>
      <c r="F22" s="86">
        <f t="shared" si="4"/>
        <v>15</v>
      </c>
      <c r="G22" s="86">
        <f t="shared" si="5"/>
        <v>1</v>
      </c>
      <c r="H22" s="308">
        <f t="shared" si="2"/>
        <v>0</v>
      </c>
      <c r="I22" s="284">
        <f t="shared" si="3"/>
        <v>96.850000000000009</v>
      </c>
      <c r="J22" s="93"/>
      <c r="K22" s="300" t="s">
        <v>234</v>
      </c>
      <c r="L22" s="293"/>
      <c r="M22" s="293"/>
      <c r="N22" s="293"/>
      <c r="O22" s="301"/>
      <c r="P22" s="94"/>
    </row>
    <row r="23" spans="1:16" x14ac:dyDescent="0.25">
      <c r="A23" s="2">
        <f t="shared" si="0"/>
        <v>22</v>
      </c>
      <c r="B23" s="68" t="s">
        <v>78</v>
      </c>
      <c r="C23" s="64"/>
      <c r="D23" s="79"/>
      <c r="E23" s="75"/>
      <c r="F23" s="86">
        <f t="shared" si="1"/>
        <v>15</v>
      </c>
      <c r="G23" s="86">
        <f t="shared" si="2"/>
        <v>1</v>
      </c>
      <c r="H23" s="308">
        <f t="shared" si="2"/>
        <v>0</v>
      </c>
      <c r="I23" s="284">
        <f t="shared" si="3"/>
        <v>96.850000000000009</v>
      </c>
      <c r="J23" s="93"/>
      <c r="K23" s="300" t="s">
        <v>234</v>
      </c>
      <c r="L23" s="293"/>
      <c r="M23" s="293"/>
      <c r="N23" s="293"/>
      <c r="O23" s="301"/>
      <c r="P23" s="94"/>
    </row>
    <row r="24" spans="1:16" x14ac:dyDescent="0.25">
      <c r="A24" s="2">
        <f t="shared" si="0"/>
        <v>23</v>
      </c>
      <c r="B24" s="68" t="s">
        <v>79</v>
      </c>
      <c r="C24" s="64"/>
      <c r="D24" s="79"/>
      <c r="E24" s="75"/>
      <c r="F24" s="86">
        <f t="shared" si="1"/>
        <v>15</v>
      </c>
      <c r="G24" s="86">
        <f t="shared" si="2"/>
        <v>1</v>
      </c>
      <c r="H24" s="308">
        <f t="shared" si="2"/>
        <v>0</v>
      </c>
      <c r="I24" s="284">
        <f t="shared" si="3"/>
        <v>96.850000000000009</v>
      </c>
      <c r="J24" s="93"/>
      <c r="K24" s="300" t="s">
        <v>234</v>
      </c>
      <c r="L24" s="293"/>
      <c r="M24" s="293"/>
      <c r="N24" s="293"/>
      <c r="O24" s="301"/>
      <c r="P24" s="94"/>
    </row>
    <row r="25" spans="1:16" x14ac:dyDescent="0.25">
      <c r="A25" s="2">
        <f t="shared" si="0"/>
        <v>24</v>
      </c>
      <c r="B25" s="69" t="s">
        <v>63</v>
      </c>
      <c r="C25" s="64"/>
      <c r="D25" s="79"/>
      <c r="E25" s="75"/>
      <c r="F25" s="86">
        <f t="shared" si="1"/>
        <v>15</v>
      </c>
      <c r="G25" s="86">
        <f t="shared" si="2"/>
        <v>1</v>
      </c>
      <c r="H25" s="308">
        <f t="shared" si="2"/>
        <v>0</v>
      </c>
      <c r="I25" s="284">
        <f t="shared" si="3"/>
        <v>96.850000000000009</v>
      </c>
      <c r="J25" s="93"/>
      <c r="K25" s="300" t="s">
        <v>234</v>
      </c>
      <c r="L25" s="293"/>
      <c r="M25" s="293"/>
      <c r="N25" s="293"/>
      <c r="O25" s="301"/>
      <c r="P25" s="94"/>
    </row>
    <row r="26" spans="1:16" x14ac:dyDescent="0.25">
      <c r="A26" s="2">
        <f t="shared" si="0"/>
        <v>25</v>
      </c>
      <c r="B26" s="69" t="s">
        <v>59</v>
      </c>
      <c r="C26" s="64" t="s">
        <v>225</v>
      </c>
      <c r="D26" s="79"/>
      <c r="E26" s="75">
        <v>10000</v>
      </c>
      <c r="F26" s="86">
        <f t="shared" si="1"/>
        <v>15</v>
      </c>
      <c r="G26" s="86">
        <f t="shared" si="2"/>
        <v>1</v>
      </c>
      <c r="H26" s="308">
        <f t="shared" si="2"/>
        <v>0</v>
      </c>
      <c r="I26" s="284">
        <f t="shared" si="3"/>
        <v>96.850000000000009</v>
      </c>
      <c r="J26" s="79"/>
      <c r="K26" s="316">
        <v>1000000</v>
      </c>
      <c r="L26" s="86">
        <f>F$2</f>
        <v>15</v>
      </c>
      <c r="M26" s="86">
        <f t="shared" ref="M26:M31" si="6">M$2</f>
        <v>1</v>
      </c>
      <c r="N26" s="87">
        <f>M26*0.1</f>
        <v>0.1</v>
      </c>
      <c r="O26" s="317">
        <f t="shared" ref="O26:O67" si="7">149*(L26/60+0.4*M26+0.7*N26)</f>
        <v>107.28</v>
      </c>
      <c r="P26" s="79"/>
    </row>
    <row r="27" spans="1:16" x14ac:dyDescent="0.25">
      <c r="A27" s="2">
        <f t="shared" si="0"/>
        <v>26</v>
      </c>
      <c r="B27" s="69" t="s">
        <v>64</v>
      </c>
      <c r="C27" s="64"/>
      <c r="D27" s="79"/>
      <c r="E27" s="75"/>
      <c r="F27" s="88">
        <v>30</v>
      </c>
      <c r="G27" s="86">
        <f t="shared" si="2"/>
        <v>1</v>
      </c>
      <c r="H27" s="308">
        <f t="shared" si="2"/>
        <v>0</v>
      </c>
      <c r="I27" s="284">
        <f t="shared" si="3"/>
        <v>134.1</v>
      </c>
      <c r="J27" s="93"/>
      <c r="K27" s="300" t="s">
        <v>234</v>
      </c>
      <c r="L27" s="293"/>
      <c r="M27" s="293"/>
      <c r="N27" s="293"/>
      <c r="O27" s="301"/>
      <c r="P27" s="94"/>
    </row>
    <row r="28" spans="1:16" x14ac:dyDescent="0.25">
      <c r="A28" s="2">
        <f t="shared" si="0"/>
        <v>27</v>
      </c>
      <c r="B28" s="69" t="s">
        <v>57</v>
      </c>
      <c r="C28" s="64"/>
      <c r="D28" s="79"/>
      <c r="E28" s="75"/>
      <c r="F28" s="86">
        <f>F$2</f>
        <v>15</v>
      </c>
      <c r="G28" s="86">
        <f t="shared" si="2"/>
        <v>1</v>
      </c>
      <c r="H28" s="308">
        <f t="shared" si="2"/>
        <v>0</v>
      </c>
      <c r="I28" s="284">
        <f t="shared" si="3"/>
        <v>96.850000000000009</v>
      </c>
      <c r="J28" s="79"/>
      <c r="K28" s="318"/>
      <c r="L28" s="86">
        <f>F$2</f>
        <v>15</v>
      </c>
      <c r="M28" s="86">
        <f t="shared" si="6"/>
        <v>1</v>
      </c>
      <c r="N28" s="87">
        <f>M28*0.1</f>
        <v>0.1</v>
      </c>
      <c r="O28" s="317">
        <f t="shared" si="7"/>
        <v>107.28</v>
      </c>
      <c r="P28" s="79"/>
    </row>
    <row r="29" spans="1:16" x14ac:dyDescent="0.25">
      <c r="A29" s="2">
        <f t="shared" si="0"/>
        <v>28</v>
      </c>
      <c r="B29" s="69" t="s">
        <v>60</v>
      </c>
      <c r="C29" s="64" t="s">
        <v>225</v>
      </c>
      <c r="D29" s="79"/>
      <c r="E29" s="74">
        <v>1000</v>
      </c>
      <c r="F29" s="86">
        <f t="shared" si="4"/>
        <v>15</v>
      </c>
      <c r="G29" s="86">
        <f t="shared" si="2"/>
        <v>1</v>
      </c>
      <c r="H29" s="308">
        <f t="shared" si="2"/>
        <v>0</v>
      </c>
      <c r="I29" s="284">
        <f t="shared" si="3"/>
        <v>96.850000000000009</v>
      </c>
      <c r="J29" s="79"/>
      <c r="K29" s="316">
        <v>100000</v>
      </c>
      <c r="L29" s="88">
        <v>300</v>
      </c>
      <c r="M29" s="86">
        <v>5</v>
      </c>
      <c r="N29" s="89">
        <f>M29*0.1</f>
        <v>0.5</v>
      </c>
      <c r="O29" s="317">
        <f t="shared" si="7"/>
        <v>1095.1499999999999</v>
      </c>
      <c r="P29" s="79"/>
    </row>
    <row r="30" spans="1:16" x14ac:dyDescent="0.25">
      <c r="A30" s="2">
        <f t="shared" si="0"/>
        <v>29</v>
      </c>
      <c r="B30" s="69" t="s">
        <v>58</v>
      </c>
      <c r="C30" s="64" t="s">
        <v>229</v>
      </c>
      <c r="D30" s="79"/>
      <c r="E30" s="76">
        <f>240*200</f>
        <v>48000</v>
      </c>
      <c r="F30" s="86">
        <f>F$2</f>
        <v>15</v>
      </c>
      <c r="G30" s="86">
        <f>G$2</f>
        <v>1</v>
      </c>
      <c r="H30" s="308">
        <f t="shared" si="2"/>
        <v>0</v>
      </c>
      <c r="I30" s="284">
        <f t="shared" si="3"/>
        <v>96.850000000000009</v>
      </c>
      <c r="J30" s="93"/>
      <c r="K30" s="300" t="s">
        <v>234</v>
      </c>
      <c r="L30" s="293"/>
      <c r="M30" s="293"/>
      <c r="N30" s="293"/>
      <c r="O30" s="301"/>
      <c r="P30" s="94"/>
    </row>
    <row r="31" spans="1:16" x14ac:dyDescent="0.25">
      <c r="A31" s="2">
        <f t="shared" si="0"/>
        <v>30</v>
      </c>
      <c r="B31" s="69" t="s">
        <v>56</v>
      </c>
      <c r="C31" s="64" t="s">
        <v>225</v>
      </c>
      <c r="D31" s="79"/>
      <c r="E31" s="74">
        <v>500</v>
      </c>
      <c r="F31" s="86">
        <f t="shared" si="4"/>
        <v>15</v>
      </c>
      <c r="G31" s="86">
        <f t="shared" si="2"/>
        <v>1</v>
      </c>
      <c r="H31" s="308">
        <f t="shared" si="2"/>
        <v>0</v>
      </c>
      <c r="I31" s="284">
        <f t="shared" si="3"/>
        <v>96.850000000000009</v>
      </c>
      <c r="J31" s="79"/>
      <c r="K31" s="316">
        <v>500</v>
      </c>
      <c r="L31" s="86">
        <f>F$2</f>
        <v>15</v>
      </c>
      <c r="M31" s="86">
        <f t="shared" si="6"/>
        <v>1</v>
      </c>
      <c r="N31" s="89">
        <f>M31*0.1</f>
        <v>0.1</v>
      </c>
      <c r="O31" s="317">
        <f t="shared" si="7"/>
        <v>107.28</v>
      </c>
      <c r="P31" s="79"/>
    </row>
    <row r="32" spans="1:16" x14ac:dyDescent="0.25">
      <c r="A32" s="2">
        <f t="shared" si="0"/>
        <v>31</v>
      </c>
      <c r="B32" s="69" t="s">
        <v>61</v>
      </c>
      <c r="C32" s="64" t="s">
        <v>226</v>
      </c>
      <c r="D32" s="79"/>
      <c r="E32" s="77">
        <v>15</v>
      </c>
      <c r="F32" s="86">
        <f t="shared" si="4"/>
        <v>15</v>
      </c>
      <c r="G32" s="86">
        <f t="shared" si="2"/>
        <v>1</v>
      </c>
      <c r="H32" s="308">
        <f t="shared" si="2"/>
        <v>0</v>
      </c>
      <c r="I32" s="284">
        <f t="shared" si="3"/>
        <v>96.850000000000009</v>
      </c>
      <c r="J32" s="79"/>
      <c r="K32" s="319">
        <v>15</v>
      </c>
      <c r="L32" s="86">
        <f>F$2</f>
        <v>15</v>
      </c>
      <c r="M32" s="86">
        <f t="shared" ref="M32" si="8">M$2</f>
        <v>1</v>
      </c>
      <c r="N32" s="89">
        <f>M32*0.1</f>
        <v>0.1</v>
      </c>
      <c r="O32" s="317">
        <f t="shared" si="7"/>
        <v>107.28</v>
      </c>
      <c r="P32" s="79"/>
    </row>
    <row r="33" spans="1:16" x14ac:dyDescent="0.25">
      <c r="A33" s="2">
        <f t="shared" si="0"/>
        <v>32</v>
      </c>
      <c r="B33" s="69" t="s">
        <v>62</v>
      </c>
      <c r="C33" s="64"/>
      <c r="D33" s="79"/>
      <c r="E33" s="75"/>
      <c r="F33" s="86">
        <f t="shared" si="4"/>
        <v>15</v>
      </c>
      <c r="G33" s="86">
        <f t="shared" si="5"/>
        <v>1</v>
      </c>
      <c r="H33" s="308">
        <f t="shared" si="5"/>
        <v>0</v>
      </c>
      <c r="I33" s="284">
        <f t="shared" si="3"/>
        <v>96.850000000000009</v>
      </c>
      <c r="J33" s="93"/>
      <c r="K33" s="300" t="s">
        <v>234</v>
      </c>
      <c r="L33" s="293"/>
      <c r="M33" s="293"/>
      <c r="N33" s="293"/>
      <c r="O33" s="301"/>
      <c r="P33" s="94"/>
    </row>
    <row r="34" spans="1:16" x14ac:dyDescent="0.25">
      <c r="A34" s="2">
        <f t="shared" si="0"/>
        <v>33</v>
      </c>
      <c r="B34" s="69" t="s">
        <v>71</v>
      </c>
      <c r="C34" s="64"/>
      <c r="D34" s="79"/>
      <c r="E34" s="75"/>
      <c r="F34" s="86">
        <f t="shared" si="4"/>
        <v>15</v>
      </c>
      <c r="G34" s="86">
        <f t="shared" si="5"/>
        <v>1</v>
      </c>
      <c r="H34" s="308">
        <f t="shared" si="5"/>
        <v>0</v>
      </c>
      <c r="I34" s="284">
        <f t="shared" si="3"/>
        <v>96.850000000000009</v>
      </c>
      <c r="J34" s="93"/>
      <c r="K34" s="300" t="s">
        <v>234</v>
      </c>
      <c r="L34" s="293"/>
      <c r="M34" s="293"/>
      <c r="N34" s="293"/>
      <c r="O34" s="301"/>
      <c r="P34" s="94"/>
    </row>
    <row r="35" spans="1:16" x14ac:dyDescent="0.25">
      <c r="A35" s="2">
        <f t="shared" si="0"/>
        <v>34</v>
      </c>
      <c r="B35" s="70" t="s">
        <v>47</v>
      </c>
      <c r="C35" s="64"/>
      <c r="D35" s="79"/>
      <c r="E35" s="75"/>
      <c r="F35" s="88">
        <v>60</v>
      </c>
      <c r="G35" s="86">
        <f t="shared" si="5"/>
        <v>1</v>
      </c>
      <c r="H35" s="308">
        <f t="shared" si="5"/>
        <v>0</v>
      </c>
      <c r="I35" s="284">
        <f t="shared" si="3"/>
        <v>208.6</v>
      </c>
      <c r="J35" s="93"/>
      <c r="K35" s="300" t="s">
        <v>234</v>
      </c>
      <c r="L35" s="293"/>
      <c r="M35" s="293"/>
      <c r="N35" s="293"/>
      <c r="O35" s="301"/>
      <c r="P35" s="94"/>
    </row>
    <row r="36" spans="1:16" x14ac:dyDescent="0.25">
      <c r="A36" s="2">
        <f t="shared" si="0"/>
        <v>35</v>
      </c>
      <c r="B36" s="70" t="s">
        <v>46</v>
      </c>
      <c r="C36" s="64"/>
      <c r="D36" s="79"/>
      <c r="E36" s="75"/>
      <c r="F36" s="88">
        <v>60</v>
      </c>
      <c r="G36" s="86">
        <f t="shared" si="5"/>
        <v>1</v>
      </c>
      <c r="H36" s="308">
        <f t="shared" si="5"/>
        <v>0</v>
      </c>
      <c r="I36" s="284">
        <f t="shared" si="3"/>
        <v>208.6</v>
      </c>
      <c r="J36" s="93"/>
      <c r="K36" s="300" t="s">
        <v>234</v>
      </c>
      <c r="L36" s="293"/>
      <c r="M36" s="293"/>
      <c r="N36" s="293"/>
      <c r="O36" s="301"/>
      <c r="P36" s="94"/>
    </row>
    <row r="37" spans="1:16" x14ac:dyDescent="0.25">
      <c r="A37" s="2">
        <f t="shared" si="0"/>
        <v>36</v>
      </c>
      <c r="B37" s="68" t="s">
        <v>50</v>
      </c>
      <c r="C37" s="64" t="s">
        <v>232</v>
      </c>
      <c r="D37" s="79"/>
      <c r="E37" s="85">
        <v>0.5</v>
      </c>
      <c r="F37" s="86">
        <f>F$2</f>
        <v>15</v>
      </c>
      <c r="G37" s="86">
        <f t="shared" si="5"/>
        <v>1</v>
      </c>
      <c r="H37" s="308">
        <f t="shared" si="5"/>
        <v>0</v>
      </c>
      <c r="I37" s="284">
        <f t="shared" si="3"/>
        <v>96.850000000000009</v>
      </c>
      <c r="J37" s="79"/>
      <c r="K37" s="319">
        <v>100</v>
      </c>
      <c r="L37" s="88" t="s">
        <v>87</v>
      </c>
      <c r="M37" s="90">
        <v>5</v>
      </c>
      <c r="N37" s="89">
        <f>M37*0.1</f>
        <v>0.5</v>
      </c>
      <c r="O37" s="317" t="e">
        <f t="shared" si="7"/>
        <v>#VALUE!</v>
      </c>
      <c r="P37" s="79"/>
    </row>
    <row r="38" spans="1:16" x14ac:dyDescent="0.25">
      <c r="A38" s="2">
        <f t="shared" si="0"/>
        <v>37</v>
      </c>
      <c r="B38" s="68" t="s">
        <v>49</v>
      </c>
      <c r="C38" s="64" t="s">
        <v>233</v>
      </c>
      <c r="D38" s="79"/>
      <c r="E38" s="76">
        <v>1000</v>
      </c>
      <c r="F38" s="86">
        <v>0</v>
      </c>
      <c r="G38" s="86">
        <v>0</v>
      </c>
      <c r="H38" s="308">
        <f t="shared" si="5"/>
        <v>0</v>
      </c>
      <c r="I38" s="284">
        <f t="shared" si="3"/>
        <v>0</v>
      </c>
      <c r="J38" s="79"/>
      <c r="K38" s="320">
        <v>100000</v>
      </c>
      <c r="L38" s="88" t="s">
        <v>88</v>
      </c>
      <c r="M38" s="90">
        <v>5</v>
      </c>
      <c r="N38" s="89">
        <f>M38*0.1</f>
        <v>0.5</v>
      </c>
      <c r="O38" s="317" t="e">
        <f t="shared" si="7"/>
        <v>#VALUE!</v>
      </c>
      <c r="P38" s="79"/>
    </row>
    <row r="39" spans="1:16" x14ac:dyDescent="0.25">
      <c r="A39" s="2">
        <f t="shared" si="0"/>
        <v>38</v>
      </c>
      <c r="B39" s="68" t="s">
        <v>48</v>
      </c>
      <c r="C39" s="64" t="s">
        <v>232</v>
      </c>
      <c r="D39" s="79"/>
      <c r="E39" s="85">
        <v>0.5</v>
      </c>
      <c r="F39" s="86">
        <f>F$2</f>
        <v>15</v>
      </c>
      <c r="G39" s="86">
        <f t="shared" si="5"/>
        <v>1</v>
      </c>
      <c r="H39" s="308">
        <f t="shared" si="5"/>
        <v>0</v>
      </c>
      <c r="I39" s="284">
        <f t="shared" si="3"/>
        <v>96.850000000000009</v>
      </c>
      <c r="J39" s="79"/>
      <c r="K39" s="319">
        <v>100</v>
      </c>
      <c r="L39" s="88" t="s">
        <v>87</v>
      </c>
      <c r="M39" s="90">
        <v>5</v>
      </c>
      <c r="N39" s="89">
        <f>M39*0.1</f>
        <v>0.5</v>
      </c>
      <c r="O39" s="317" t="e">
        <f t="shared" si="7"/>
        <v>#VALUE!</v>
      </c>
      <c r="P39" s="79"/>
    </row>
    <row r="40" spans="1:16" x14ac:dyDescent="0.25">
      <c r="A40" s="2">
        <f t="shared" si="0"/>
        <v>39</v>
      </c>
      <c r="B40" s="71" t="s">
        <v>69</v>
      </c>
      <c r="C40" s="64"/>
      <c r="D40" s="79"/>
      <c r="E40" s="75"/>
      <c r="F40" s="86">
        <f>F$2</f>
        <v>15</v>
      </c>
      <c r="G40" s="86">
        <f t="shared" si="5"/>
        <v>1</v>
      </c>
      <c r="H40" s="308">
        <f t="shared" si="5"/>
        <v>0</v>
      </c>
      <c r="I40" s="284">
        <f t="shared" si="3"/>
        <v>96.850000000000009</v>
      </c>
      <c r="J40" s="79"/>
      <c r="K40" s="319">
        <v>100</v>
      </c>
      <c r="L40" s="88">
        <v>20</v>
      </c>
      <c r="M40" s="90">
        <v>3</v>
      </c>
      <c r="N40" s="89">
        <f>M40*0.1</f>
        <v>0.30000000000000004</v>
      </c>
      <c r="O40" s="317">
        <f t="shared" ref="O40" si="9">149*(L40/60+0.4*M40+0.7*N40)</f>
        <v>259.75666666666666</v>
      </c>
      <c r="P40" s="79"/>
    </row>
    <row r="41" spans="1:16" x14ac:dyDescent="0.25">
      <c r="A41" s="2">
        <f t="shared" si="0"/>
        <v>40</v>
      </c>
      <c r="B41" s="71" t="s">
        <v>68</v>
      </c>
      <c r="C41" s="64"/>
      <c r="D41" s="79"/>
      <c r="E41" s="75"/>
      <c r="F41" s="88">
        <v>60</v>
      </c>
      <c r="G41" s="86">
        <f t="shared" si="5"/>
        <v>1</v>
      </c>
      <c r="H41" s="308">
        <f t="shared" si="5"/>
        <v>0</v>
      </c>
      <c r="I41" s="284">
        <f t="shared" si="3"/>
        <v>208.6</v>
      </c>
      <c r="J41" s="93"/>
      <c r="K41" s="300" t="s">
        <v>234</v>
      </c>
      <c r="L41" s="293"/>
      <c r="M41" s="293"/>
      <c r="N41" s="293"/>
      <c r="O41" s="301"/>
      <c r="P41" s="94"/>
    </row>
    <row r="42" spans="1:16" x14ac:dyDescent="0.25">
      <c r="A42" s="2">
        <f t="shared" si="0"/>
        <v>41</v>
      </c>
      <c r="B42" s="71" t="s">
        <v>67</v>
      </c>
      <c r="C42" s="64"/>
      <c r="D42" s="79"/>
      <c r="E42" s="75"/>
      <c r="F42" s="86">
        <f t="shared" ref="F42:F50" si="10">F$2</f>
        <v>15</v>
      </c>
      <c r="G42" s="86">
        <f t="shared" si="5"/>
        <v>1</v>
      </c>
      <c r="H42" s="308">
        <f t="shared" si="5"/>
        <v>0</v>
      </c>
      <c r="I42" s="284">
        <f t="shared" si="3"/>
        <v>96.850000000000009</v>
      </c>
      <c r="J42" s="93"/>
      <c r="K42" s="300" t="s">
        <v>234</v>
      </c>
      <c r="L42" s="293"/>
      <c r="M42" s="293"/>
      <c r="N42" s="293"/>
      <c r="O42" s="301"/>
      <c r="P42" s="94"/>
    </row>
    <row r="43" spans="1:16" x14ac:dyDescent="0.25">
      <c r="A43" s="2">
        <f t="shared" si="0"/>
        <v>42</v>
      </c>
      <c r="B43" s="71" t="s">
        <v>66</v>
      </c>
      <c r="C43" s="64"/>
      <c r="D43" s="79"/>
      <c r="E43" s="75"/>
      <c r="F43" s="86">
        <f t="shared" si="10"/>
        <v>15</v>
      </c>
      <c r="G43" s="86">
        <f t="shared" si="5"/>
        <v>1</v>
      </c>
      <c r="H43" s="308">
        <f t="shared" si="5"/>
        <v>0</v>
      </c>
      <c r="I43" s="284">
        <f t="shared" si="3"/>
        <v>96.850000000000009</v>
      </c>
      <c r="J43" s="79"/>
      <c r="K43" s="318"/>
      <c r="L43" s="86">
        <f>F$2</f>
        <v>15</v>
      </c>
      <c r="M43" s="86">
        <f t="shared" ref="M43:M47" si="11">M$2</f>
        <v>1</v>
      </c>
      <c r="N43" s="89">
        <f>M43*0.1</f>
        <v>0.1</v>
      </c>
      <c r="O43" s="317">
        <f t="shared" si="7"/>
        <v>107.28</v>
      </c>
      <c r="P43" s="79"/>
    </row>
    <row r="44" spans="1:16" x14ac:dyDescent="0.25">
      <c r="A44" s="2">
        <f t="shared" si="0"/>
        <v>43</v>
      </c>
      <c r="B44" s="71" t="s">
        <v>65</v>
      </c>
      <c r="C44" s="64"/>
      <c r="D44" s="79"/>
      <c r="E44" s="75"/>
      <c r="F44" s="86">
        <f t="shared" si="10"/>
        <v>15</v>
      </c>
      <c r="G44" s="86">
        <f t="shared" si="5"/>
        <v>1</v>
      </c>
      <c r="H44" s="308">
        <f t="shared" si="5"/>
        <v>0</v>
      </c>
      <c r="I44" s="284">
        <f t="shared" si="3"/>
        <v>96.850000000000009</v>
      </c>
      <c r="J44" s="79"/>
      <c r="K44" s="318"/>
      <c r="L44" s="86">
        <f>F$2</f>
        <v>15</v>
      </c>
      <c r="M44" s="86">
        <f t="shared" si="11"/>
        <v>1</v>
      </c>
      <c r="N44" s="89">
        <f>M44*0.1</f>
        <v>0.1</v>
      </c>
      <c r="O44" s="317">
        <f t="shared" si="7"/>
        <v>107.28</v>
      </c>
      <c r="P44" s="79"/>
    </row>
    <row r="45" spans="1:16" x14ac:dyDescent="0.25">
      <c r="A45" s="2">
        <f t="shared" si="0"/>
        <v>44</v>
      </c>
      <c r="B45" s="68" t="s">
        <v>77</v>
      </c>
      <c r="C45" s="64"/>
      <c r="D45" s="79"/>
      <c r="E45" s="75"/>
      <c r="F45" s="86">
        <f t="shared" si="10"/>
        <v>15</v>
      </c>
      <c r="G45" s="86">
        <f t="shared" si="5"/>
        <v>1</v>
      </c>
      <c r="H45" s="308">
        <f t="shared" si="5"/>
        <v>0</v>
      </c>
      <c r="I45" s="284">
        <f t="shared" si="3"/>
        <v>96.850000000000009</v>
      </c>
      <c r="J45" s="93"/>
      <c r="K45" s="300" t="s">
        <v>234</v>
      </c>
      <c r="L45" s="293"/>
      <c r="M45" s="293"/>
      <c r="N45" s="293"/>
      <c r="O45" s="301"/>
      <c r="P45" s="94"/>
    </row>
    <row r="46" spans="1:16" x14ac:dyDescent="0.25">
      <c r="A46" s="2">
        <f t="shared" si="0"/>
        <v>45</v>
      </c>
      <c r="B46" s="68" t="s">
        <v>76</v>
      </c>
      <c r="C46" s="64"/>
      <c r="D46" s="79"/>
      <c r="E46" s="75"/>
      <c r="F46" s="86">
        <f t="shared" si="10"/>
        <v>15</v>
      </c>
      <c r="G46" s="86">
        <f t="shared" si="5"/>
        <v>1</v>
      </c>
      <c r="H46" s="308">
        <f t="shared" si="5"/>
        <v>0</v>
      </c>
      <c r="I46" s="284">
        <f t="shared" si="3"/>
        <v>96.850000000000009</v>
      </c>
      <c r="J46" s="93"/>
      <c r="K46" s="300" t="s">
        <v>234</v>
      </c>
      <c r="L46" s="293"/>
      <c r="M46" s="293"/>
      <c r="N46" s="293"/>
      <c r="O46" s="301"/>
      <c r="P46" s="94"/>
    </row>
    <row r="47" spans="1:16" x14ac:dyDescent="0.25">
      <c r="A47" s="2">
        <f t="shared" si="0"/>
        <v>46</v>
      </c>
      <c r="B47" s="68" t="s">
        <v>70</v>
      </c>
      <c r="C47" s="64"/>
      <c r="D47" s="79"/>
      <c r="E47" s="75"/>
      <c r="F47" s="86">
        <f t="shared" si="10"/>
        <v>15</v>
      </c>
      <c r="G47" s="86">
        <f t="shared" si="5"/>
        <v>1</v>
      </c>
      <c r="H47" s="308">
        <f t="shared" si="5"/>
        <v>0</v>
      </c>
      <c r="I47" s="284">
        <f t="shared" si="3"/>
        <v>96.850000000000009</v>
      </c>
      <c r="J47" s="79"/>
      <c r="K47" s="318"/>
      <c r="L47" s="86">
        <f>F$2</f>
        <v>15</v>
      </c>
      <c r="M47" s="86">
        <f t="shared" si="11"/>
        <v>1</v>
      </c>
      <c r="N47" s="89">
        <f t="shared" ref="N47" si="12">M47*0.1</f>
        <v>0.1</v>
      </c>
      <c r="O47" s="317">
        <f t="shared" si="7"/>
        <v>107.28</v>
      </c>
      <c r="P47" s="79"/>
    </row>
    <row r="48" spans="1:16" x14ac:dyDescent="0.25">
      <c r="A48" s="2">
        <f t="shared" si="0"/>
        <v>47</v>
      </c>
      <c r="B48" s="68" t="s">
        <v>72</v>
      </c>
      <c r="C48" s="64"/>
      <c r="D48" s="79"/>
      <c r="E48" s="75"/>
      <c r="F48" s="86">
        <f t="shared" si="10"/>
        <v>15</v>
      </c>
      <c r="G48" s="86">
        <f t="shared" si="5"/>
        <v>1</v>
      </c>
      <c r="H48" s="308">
        <f t="shared" si="5"/>
        <v>0</v>
      </c>
      <c r="I48" s="284">
        <f t="shared" si="3"/>
        <v>96.850000000000009</v>
      </c>
      <c r="J48" s="93"/>
      <c r="K48" s="300" t="s">
        <v>234</v>
      </c>
      <c r="L48" s="293"/>
      <c r="M48" s="293"/>
      <c r="N48" s="293"/>
      <c r="O48" s="301"/>
      <c r="P48" s="94"/>
    </row>
    <row r="49" spans="1:16" x14ac:dyDescent="0.25">
      <c r="A49" s="2">
        <f t="shared" si="0"/>
        <v>48</v>
      </c>
      <c r="B49" s="68" t="s">
        <v>74</v>
      </c>
      <c r="C49" s="64" t="s">
        <v>358</v>
      </c>
      <c r="D49" s="79"/>
      <c r="E49" s="75"/>
      <c r="F49" s="86">
        <f t="shared" si="10"/>
        <v>15</v>
      </c>
      <c r="G49" s="86">
        <f t="shared" si="5"/>
        <v>1</v>
      </c>
      <c r="H49" s="308">
        <f t="shared" si="5"/>
        <v>0</v>
      </c>
      <c r="I49" s="284">
        <f t="shared" si="3"/>
        <v>96.850000000000009</v>
      </c>
      <c r="J49" s="93"/>
      <c r="K49" s="300" t="s">
        <v>234</v>
      </c>
      <c r="L49" s="293"/>
      <c r="M49" s="293"/>
      <c r="N49" s="293"/>
      <c r="O49" s="301"/>
      <c r="P49" s="94"/>
    </row>
    <row r="50" spans="1:16" x14ac:dyDescent="0.25">
      <c r="A50" s="2">
        <f t="shared" si="0"/>
        <v>49</v>
      </c>
      <c r="B50" s="68" t="s">
        <v>73</v>
      </c>
      <c r="C50" s="64" t="s">
        <v>358</v>
      </c>
      <c r="D50" s="79"/>
      <c r="E50" s="75"/>
      <c r="F50" s="86">
        <f t="shared" si="10"/>
        <v>15</v>
      </c>
      <c r="G50" s="86">
        <f t="shared" si="5"/>
        <v>1</v>
      </c>
      <c r="H50" s="308">
        <f t="shared" si="5"/>
        <v>0</v>
      </c>
      <c r="I50" s="284">
        <f t="shared" si="3"/>
        <v>96.850000000000009</v>
      </c>
      <c r="J50" s="93"/>
      <c r="K50" s="300" t="s">
        <v>234</v>
      </c>
      <c r="L50" s="293"/>
      <c r="M50" s="293"/>
      <c r="N50" s="293"/>
      <c r="O50" s="301"/>
      <c r="P50" s="94"/>
    </row>
    <row r="51" spans="1:16" x14ac:dyDescent="0.25">
      <c r="A51" s="2">
        <f t="shared" si="0"/>
        <v>50</v>
      </c>
      <c r="B51" s="68" t="s">
        <v>75</v>
      </c>
      <c r="C51" s="64" t="s">
        <v>358</v>
      </c>
      <c r="D51" s="79"/>
      <c r="E51" s="75"/>
      <c r="F51" s="88">
        <v>30</v>
      </c>
      <c r="G51" s="86">
        <f t="shared" si="5"/>
        <v>1</v>
      </c>
      <c r="H51" s="308">
        <f t="shared" si="5"/>
        <v>0</v>
      </c>
      <c r="I51" s="284">
        <f t="shared" si="3"/>
        <v>134.1</v>
      </c>
      <c r="J51" s="93"/>
      <c r="K51" s="300" t="s">
        <v>234</v>
      </c>
      <c r="L51" s="293"/>
      <c r="M51" s="293"/>
      <c r="N51" s="293"/>
      <c r="O51" s="301"/>
      <c r="P51" s="94"/>
    </row>
    <row r="52" spans="1:16" x14ac:dyDescent="0.25">
      <c r="A52" s="2">
        <f t="shared" si="0"/>
        <v>51</v>
      </c>
      <c r="B52" s="72" t="s">
        <v>54</v>
      </c>
      <c r="C52" s="64" t="s">
        <v>358</v>
      </c>
      <c r="D52" s="79"/>
      <c r="E52" s="75"/>
      <c r="F52" s="86">
        <f t="shared" ref="F52:F65" si="13">F$2</f>
        <v>15</v>
      </c>
      <c r="G52" s="86">
        <f t="shared" si="5"/>
        <v>1</v>
      </c>
      <c r="H52" s="308">
        <f t="shared" si="5"/>
        <v>0</v>
      </c>
      <c r="I52" s="284">
        <f t="shared" si="3"/>
        <v>96.850000000000009</v>
      </c>
      <c r="J52" s="93"/>
      <c r="K52" s="300" t="s">
        <v>234</v>
      </c>
      <c r="L52" s="293"/>
      <c r="M52" s="293"/>
      <c r="N52" s="293"/>
      <c r="O52" s="301"/>
      <c r="P52" s="94"/>
    </row>
    <row r="53" spans="1:16" x14ac:dyDescent="0.25">
      <c r="A53" s="2">
        <f t="shared" si="0"/>
        <v>52</v>
      </c>
      <c r="B53" s="72" t="s">
        <v>52</v>
      </c>
      <c r="C53" s="64" t="s">
        <v>358</v>
      </c>
      <c r="D53" s="79"/>
      <c r="E53" s="75"/>
      <c r="F53" s="86">
        <f t="shared" si="13"/>
        <v>15</v>
      </c>
      <c r="G53" s="86">
        <f t="shared" si="5"/>
        <v>1</v>
      </c>
      <c r="H53" s="308">
        <f t="shared" si="5"/>
        <v>0</v>
      </c>
      <c r="I53" s="284">
        <f t="shared" si="3"/>
        <v>96.850000000000009</v>
      </c>
      <c r="J53" s="93"/>
      <c r="K53" s="300" t="s">
        <v>234</v>
      </c>
      <c r="L53" s="293"/>
      <c r="M53" s="293"/>
      <c r="N53" s="293"/>
      <c r="O53" s="301"/>
      <c r="P53" s="94"/>
    </row>
    <row r="54" spans="1:16" x14ac:dyDescent="0.25">
      <c r="A54" s="2">
        <f t="shared" si="0"/>
        <v>53</v>
      </c>
      <c r="B54" s="72" t="s">
        <v>51</v>
      </c>
      <c r="C54" s="64" t="s">
        <v>358</v>
      </c>
      <c r="D54" s="79"/>
      <c r="E54" s="75"/>
      <c r="F54" s="86">
        <f t="shared" si="13"/>
        <v>15</v>
      </c>
      <c r="G54" s="86">
        <f t="shared" si="5"/>
        <v>1</v>
      </c>
      <c r="H54" s="308">
        <f t="shared" si="5"/>
        <v>0</v>
      </c>
      <c r="I54" s="284">
        <f t="shared" si="3"/>
        <v>96.850000000000009</v>
      </c>
      <c r="J54" s="93"/>
      <c r="K54" s="300" t="s">
        <v>234</v>
      </c>
      <c r="L54" s="293"/>
      <c r="M54" s="293"/>
      <c r="N54" s="293"/>
      <c r="O54" s="301"/>
      <c r="P54" s="94"/>
    </row>
    <row r="55" spans="1:16" x14ac:dyDescent="0.25">
      <c r="A55" s="2">
        <f t="shared" si="0"/>
        <v>54</v>
      </c>
      <c r="B55" s="72" t="s">
        <v>53</v>
      </c>
      <c r="C55" s="64" t="s">
        <v>358</v>
      </c>
      <c r="D55" s="79"/>
      <c r="E55" s="75"/>
      <c r="F55" s="86">
        <f t="shared" si="13"/>
        <v>15</v>
      </c>
      <c r="G55" s="86">
        <f t="shared" si="5"/>
        <v>1</v>
      </c>
      <c r="H55" s="308">
        <f t="shared" si="5"/>
        <v>0</v>
      </c>
      <c r="I55" s="284">
        <f t="shared" si="3"/>
        <v>96.850000000000009</v>
      </c>
      <c r="J55" s="93"/>
      <c r="K55" s="300" t="s">
        <v>234</v>
      </c>
      <c r="L55" s="293"/>
      <c r="M55" s="293"/>
      <c r="N55" s="293"/>
      <c r="O55" s="301"/>
      <c r="P55" s="94"/>
    </row>
    <row r="56" spans="1:16" x14ac:dyDescent="0.25">
      <c r="A56" s="2">
        <f t="shared" si="0"/>
        <v>55</v>
      </c>
      <c r="B56" s="73" t="s">
        <v>97</v>
      </c>
      <c r="C56" s="64" t="s">
        <v>358</v>
      </c>
      <c r="D56" s="79"/>
      <c r="E56" s="75"/>
      <c r="F56" s="86">
        <f t="shared" si="13"/>
        <v>15</v>
      </c>
      <c r="G56" s="86">
        <f t="shared" si="5"/>
        <v>1</v>
      </c>
      <c r="H56" s="308">
        <f t="shared" si="5"/>
        <v>0</v>
      </c>
      <c r="I56" s="284">
        <f t="shared" si="3"/>
        <v>96.850000000000009</v>
      </c>
      <c r="J56" s="93"/>
      <c r="K56" s="300" t="s">
        <v>234</v>
      </c>
      <c r="L56" s="293"/>
      <c r="M56" s="293"/>
      <c r="N56" s="293"/>
      <c r="O56" s="301"/>
      <c r="P56" s="94"/>
    </row>
    <row r="57" spans="1:16" x14ac:dyDescent="0.25">
      <c r="A57" s="2">
        <f t="shared" si="0"/>
        <v>56</v>
      </c>
      <c r="B57" s="73" t="s">
        <v>99</v>
      </c>
      <c r="C57" s="64" t="s">
        <v>358</v>
      </c>
      <c r="D57" s="79"/>
      <c r="E57" s="75"/>
      <c r="F57" s="86">
        <f t="shared" si="13"/>
        <v>15</v>
      </c>
      <c r="G57" s="86">
        <f t="shared" si="5"/>
        <v>1</v>
      </c>
      <c r="H57" s="308">
        <f t="shared" si="5"/>
        <v>0</v>
      </c>
      <c r="I57" s="284">
        <f t="shared" si="3"/>
        <v>96.850000000000009</v>
      </c>
      <c r="J57" s="93"/>
      <c r="K57" s="300" t="s">
        <v>234</v>
      </c>
      <c r="L57" s="293"/>
      <c r="M57" s="293"/>
      <c r="N57" s="293"/>
      <c r="O57" s="301"/>
      <c r="P57" s="94"/>
    </row>
    <row r="58" spans="1:16" x14ac:dyDescent="0.25">
      <c r="A58" s="2">
        <f t="shared" si="0"/>
        <v>57</v>
      </c>
      <c r="B58" s="68" t="s">
        <v>555</v>
      </c>
      <c r="C58" s="64" t="s">
        <v>225</v>
      </c>
      <c r="D58" s="79"/>
      <c r="E58" s="74">
        <v>1000</v>
      </c>
      <c r="F58" s="86">
        <f t="shared" si="13"/>
        <v>15</v>
      </c>
      <c r="G58" s="86">
        <f t="shared" si="5"/>
        <v>1</v>
      </c>
      <c r="H58" s="308">
        <f t="shared" si="5"/>
        <v>0</v>
      </c>
      <c r="I58" s="284">
        <f t="shared" si="3"/>
        <v>96.850000000000009</v>
      </c>
      <c r="J58" s="79"/>
      <c r="K58" s="316">
        <v>1000000</v>
      </c>
      <c r="L58" s="90">
        <v>240</v>
      </c>
      <c r="M58" s="90">
        <v>5</v>
      </c>
      <c r="N58" s="89">
        <f>M58*0.1</f>
        <v>0.5</v>
      </c>
      <c r="O58" s="317">
        <f t="shared" si="7"/>
        <v>946.15</v>
      </c>
      <c r="P58" s="79"/>
    </row>
    <row r="59" spans="1:16" x14ac:dyDescent="0.25">
      <c r="A59" s="2">
        <f t="shared" si="0"/>
        <v>58</v>
      </c>
      <c r="B59" s="68" t="s">
        <v>44</v>
      </c>
      <c r="C59" s="64" t="s">
        <v>225</v>
      </c>
      <c r="D59" s="79"/>
      <c r="E59" s="74">
        <v>1000</v>
      </c>
      <c r="F59" s="86">
        <f t="shared" si="13"/>
        <v>15</v>
      </c>
      <c r="G59" s="86">
        <f t="shared" si="5"/>
        <v>1</v>
      </c>
      <c r="H59" s="308">
        <f t="shared" si="5"/>
        <v>0</v>
      </c>
      <c r="I59" s="284">
        <f t="shared" si="3"/>
        <v>96.850000000000009</v>
      </c>
      <c r="J59" s="79"/>
      <c r="K59" s="316">
        <v>1000000</v>
      </c>
      <c r="L59" s="90">
        <v>240</v>
      </c>
      <c r="M59" s="90">
        <v>5</v>
      </c>
      <c r="N59" s="89">
        <f>M59*0.1</f>
        <v>0.5</v>
      </c>
      <c r="O59" s="317">
        <f t="shared" si="7"/>
        <v>946.15</v>
      </c>
      <c r="P59" s="79"/>
    </row>
    <row r="60" spans="1:16" x14ac:dyDescent="0.25">
      <c r="A60" s="2">
        <f t="shared" si="0"/>
        <v>59</v>
      </c>
      <c r="B60" s="68" t="s">
        <v>45</v>
      </c>
      <c r="C60" s="64" t="s">
        <v>225</v>
      </c>
      <c r="D60" s="79"/>
      <c r="E60" s="74">
        <v>1000</v>
      </c>
      <c r="F60" s="86">
        <f t="shared" si="13"/>
        <v>15</v>
      </c>
      <c r="G60" s="86">
        <f t="shared" si="5"/>
        <v>1</v>
      </c>
      <c r="H60" s="308">
        <f t="shared" si="5"/>
        <v>0</v>
      </c>
      <c r="I60" s="284">
        <f t="shared" si="3"/>
        <v>96.850000000000009</v>
      </c>
      <c r="J60" s="79"/>
      <c r="K60" s="316">
        <v>1000000</v>
      </c>
      <c r="L60" s="90">
        <v>240</v>
      </c>
      <c r="M60" s="90">
        <v>5</v>
      </c>
      <c r="N60" s="89">
        <f>M60*0.1</f>
        <v>0.5</v>
      </c>
      <c r="O60" s="317">
        <f t="shared" si="7"/>
        <v>946.15</v>
      </c>
      <c r="P60" s="79"/>
    </row>
    <row r="61" spans="1:16" x14ac:dyDescent="0.25">
      <c r="A61" s="2">
        <f t="shared" si="0"/>
        <v>60</v>
      </c>
      <c r="B61" s="68" t="s">
        <v>55</v>
      </c>
      <c r="C61" s="64" t="s">
        <v>225</v>
      </c>
      <c r="D61" s="79"/>
      <c r="E61" s="74">
        <v>1000</v>
      </c>
      <c r="F61" s="86">
        <f t="shared" si="13"/>
        <v>15</v>
      </c>
      <c r="G61" s="86">
        <f t="shared" si="5"/>
        <v>1</v>
      </c>
      <c r="H61" s="308">
        <f t="shared" si="5"/>
        <v>0</v>
      </c>
      <c r="I61" s="284">
        <f t="shared" si="3"/>
        <v>96.850000000000009</v>
      </c>
      <c r="J61" s="93"/>
      <c r="K61" s="300" t="s">
        <v>234</v>
      </c>
      <c r="L61" s="293"/>
      <c r="M61" s="293"/>
      <c r="N61" s="293"/>
      <c r="O61" s="301"/>
      <c r="P61" s="94"/>
    </row>
    <row r="62" spans="1:16" x14ac:dyDescent="0.25">
      <c r="A62" s="2">
        <f t="shared" si="0"/>
        <v>61</v>
      </c>
      <c r="B62" s="68" t="s">
        <v>82</v>
      </c>
      <c r="C62" s="64" t="s">
        <v>225</v>
      </c>
      <c r="D62" s="79"/>
      <c r="E62" s="74">
        <v>1000</v>
      </c>
      <c r="F62" s="86">
        <f t="shared" si="13"/>
        <v>15</v>
      </c>
      <c r="G62" s="86">
        <f t="shared" si="5"/>
        <v>1</v>
      </c>
      <c r="H62" s="308">
        <f t="shared" si="5"/>
        <v>0</v>
      </c>
      <c r="I62" s="284">
        <f t="shared" si="3"/>
        <v>96.850000000000009</v>
      </c>
      <c r="J62" s="93"/>
      <c r="K62" s="300" t="s">
        <v>234</v>
      </c>
      <c r="L62" s="293"/>
      <c r="M62" s="293"/>
      <c r="N62" s="293"/>
      <c r="O62" s="301"/>
      <c r="P62" s="94"/>
    </row>
    <row r="63" spans="1:16" x14ac:dyDescent="0.25">
      <c r="A63" s="2">
        <f t="shared" si="0"/>
        <v>62</v>
      </c>
      <c r="B63" s="68" t="s">
        <v>83</v>
      </c>
      <c r="C63" s="64" t="s">
        <v>225</v>
      </c>
      <c r="D63" s="79"/>
      <c r="E63" s="74">
        <v>1000</v>
      </c>
      <c r="F63" s="86">
        <f t="shared" si="13"/>
        <v>15</v>
      </c>
      <c r="G63" s="86">
        <f t="shared" si="5"/>
        <v>1</v>
      </c>
      <c r="H63" s="308">
        <f t="shared" si="5"/>
        <v>0</v>
      </c>
      <c r="I63" s="284">
        <f t="shared" si="3"/>
        <v>96.850000000000009</v>
      </c>
      <c r="J63" s="93"/>
      <c r="K63" s="300" t="s">
        <v>234</v>
      </c>
      <c r="L63" s="293"/>
      <c r="M63" s="293"/>
      <c r="N63" s="293"/>
      <c r="O63" s="301"/>
      <c r="P63" s="94"/>
    </row>
    <row r="64" spans="1:16" x14ac:dyDescent="0.25">
      <c r="A64" s="2">
        <f t="shared" si="0"/>
        <v>63</v>
      </c>
      <c r="B64" s="68" t="s">
        <v>81</v>
      </c>
      <c r="C64" s="64" t="s">
        <v>225</v>
      </c>
      <c r="D64" s="79"/>
      <c r="E64" s="74">
        <v>1000</v>
      </c>
      <c r="F64" s="86">
        <f t="shared" si="13"/>
        <v>15</v>
      </c>
      <c r="G64" s="86">
        <f t="shared" si="5"/>
        <v>1</v>
      </c>
      <c r="H64" s="308">
        <f t="shared" si="5"/>
        <v>0</v>
      </c>
      <c r="I64" s="284">
        <f t="shared" si="3"/>
        <v>96.850000000000009</v>
      </c>
      <c r="J64" s="93"/>
      <c r="K64" s="300" t="s">
        <v>234</v>
      </c>
      <c r="L64" s="293"/>
      <c r="M64" s="293"/>
      <c r="N64" s="293"/>
      <c r="O64" s="301"/>
      <c r="P64" s="94"/>
    </row>
    <row r="65" spans="1:16" x14ac:dyDescent="0.25">
      <c r="A65" s="2">
        <f t="shared" si="0"/>
        <v>64</v>
      </c>
      <c r="B65" s="68" t="s">
        <v>95</v>
      </c>
      <c r="C65" s="64" t="s">
        <v>225</v>
      </c>
      <c r="D65" s="79"/>
      <c r="E65" s="74">
        <v>1000</v>
      </c>
      <c r="F65" s="86">
        <f t="shared" si="13"/>
        <v>15</v>
      </c>
      <c r="G65" s="86">
        <f t="shared" si="5"/>
        <v>1</v>
      </c>
      <c r="H65" s="308">
        <f t="shared" si="5"/>
        <v>0</v>
      </c>
      <c r="I65" s="284">
        <f t="shared" si="3"/>
        <v>96.850000000000009</v>
      </c>
      <c r="J65" s="79"/>
      <c r="K65" s="316">
        <v>1000000</v>
      </c>
      <c r="L65" s="90">
        <v>240</v>
      </c>
      <c r="M65" s="90">
        <v>5</v>
      </c>
      <c r="N65" s="89">
        <f>M65*0.1</f>
        <v>0.5</v>
      </c>
      <c r="O65" s="317">
        <f t="shared" si="7"/>
        <v>946.15</v>
      </c>
      <c r="P65" s="79"/>
    </row>
    <row r="66" spans="1:16" x14ac:dyDescent="0.25">
      <c r="A66" s="2">
        <f t="shared" si="0"/>
        <v>65</v>
      </c>
      <c r="B66" s="68" t="s">
        <v>96</v>
      </c>
      <c r="C66" s="64" t="s">
        <v>225</v>
      </c>
      <c r="D66" s="79"/>
      <c r="E66" s="74">
        <v>1000</v>
      </c>
      <c r="F66" s="88">
        <v>20</v>
      </c>
      <c r="G66" s="86">
        <f t="shared" si="5"/>
        <v>1</v>
      </c>
      <c r="H66" s="308">
        <f t="shared" si="5"/>
        <v>0</v>
      </c>
      <c r="I66" s="284">
        <f t="shared" si="3"/>
        <v>109.26666666666668</v>
      </c>
      <c r="J66" s="79"/>
      <c r="K66" s="316">
        <v>1000000</v>
      </c>
      <c r="L66" s="90">
        <v>1200</v>
      </c>
      <c r="M66" s="90">
        <v>10</v>
      </c>
      <c r="N66" s="89">
        <f>M66*0.1</f>
        <v>1</v>
      </c>
      <c r="O66" s="317">
        <f t="shared" si="7"/>
        <v>3680.2999999999997</v>
      </c>
      <c r="P66" s="79"/>
    </row>
    <row r="67" spans="1:16" x14ac:dyDescent="0.25">
      <c r="A67" s="2">
        <f t="shared" si="0"/>
        <v>66</v>
      </c>
      <c r="B67" s="68" t="s">
        <v>98</v>
      </c>
      <c r="C67" s="64" t="s">
        <v>225</v>
      </c>
      <c r="D67" s="79"/>
      <c r="E67" s="74">
        <v>1000</v>
      </c>
      <c r="F67" s="88">
        <v>30</v>
      </c>
      <c r="G67" s="86">
        <f t="shared" si="5"/>
        <v>1</v>
      </c>
      <c r="H67" s="308">
        <f t="shared" si="5"/>
        <v>0</v>
      </c>
      <c r="I67" s="284">
        <f t="shared" si="3"/>
        <v>134.1</v>
      </c>
      <c r="J67" s="79"/>
      <c r="K67" s="316">
        <v>1000000</v>
      </c>
      <c r="L67" s="88">
        <v>2400</v>
      </c>
      <c r="M67" s="88">
        <v>20</v>
      </c>
      <c r="N67" s="89">
        <f t="shared" ref="N67" si="14">M67*0.1</f>
        <v>2</v>
      </c>
      <c r="O67" s="317">
        <f t="shared" si="7"/>
        <v>7360.5999999999995</v>
      </c>
      <c r="P67" s="79"/>
    </row>
    <row r="68" spans="1:16" x14ac:dyDescent="0.25">
      <c r="A68" s="2">
        <f t="shared" ref="A68:A73" si="15">A67+1</f>
        <v>67</v>
      </c>
      <c r="B68" s="65" t="s">
        <v>553</v>
      </c>
      <c r="C68" s="64" t="s">
        <v>358</v>
      </c>
      <c r="D68" s="79"/>
      <c r="E68" s="75"/>
      <c r="F68" s="86">
        <f t="shared" ref="F68:F73" si="16">F$2</f>
        <v>15</v>
      </c>
      <c r="G68" s="86">
        <f t="shared" ref="G68:H73" si="17">G$2</f>
        <v>1</v>
      </c>
      <c r="H68" s="308">
        <f t="shared" si="17"/>
        <v>0</v>
      </c>
      <c r="I68" s="284">
        <f t="shared" si="3"/>
        <v>96.850000000000009</v>
      </c>
      <c r="J68" s="93"/>
      <c r="K68" s="300" t="s">
        <v>234</v>
      </c>
      <c r="L68" s="293"/>
      <c r="M68" s="293"/>
      <c r="N68" s="293"/>
      <c r="O68" s="301"/>
      <c r="P68" s="94"/>
    </row>
    <row r="69" spans="1:16" x14ac:dyDescent="0.25">
      <c r="A69" s="2">
        <f t="shared" si="15"/>
        <v>68</v>
      </c>
      <c r="B69" s="65" t="s">
        <v>554</v>
      </c>
      <c r="C69" s="64" t="s">
        <v>358</v>
      </c>
      <c r="D69" s="79"/>
      <c r="E69" s="75"/>
      <c r="F69" s="86">
        <f t="shared" si="16"/>
        <v>15</v>
      </c>
      <c r="G69" s="86">
        <f t="shared" si="17"/>
        <v>1</v>
      </c>
      <c r="H69" s="308">
        <f t="shared" si="17"/>
        <v>0</v>
      </c>
      <c r="I69" s="284">
        <f t="shared" si="3"/>
        <v>96.850000000000009</v>
      </c>
      <c r="J69" s="93"/>
      <c r="K69" s="300" t="s">
        <v>234</v>
      </c>
      <c r="L69" s="293"/>
      <c r="M69" s="293"/>
      <c r="N69" s="293"/>
      <c r="O69" s="301"/>
      <c r="P69" s="94"/>
    </row>
    <row r="70" spans="1:16" x14ac:dyDescent="0.25">
      <c r="A70" s="2">
        <f t="shared" si="15"/>
        <v>69</v>
      </c>
      <c r="B70" s="65" t="s">
        <v>102</v>
      </c>
      <c r="C70" s="64" t="s">
        <v>358</v>
      </c>
      <c r="D70" s="79"/>
      <c r="E70" s="75"/>
      <c r="F70" s="86">
        <f t="shared" si="16"/>
        <v>15</v>
      </c>
      <c r="G70" s="86">
        <f t="shared" si="17"/>
        <v>1</v>
      </c>
      <c r="H70" s="308">
        <f t="shared" si="17"/>
        <v>0</v>
      </c>
      <c r="I70" s="284">
        <f t="shared" si="3"/>
        <v>96.850000000000009</v>
      </c>
      <c r="J70" s="93"/>
      <c r="K70" s="300" t="s">
        <v>234</v>
      </c>
      <c r="L70" s="293"/>
      <c r="M70" s="293"/>
      <c r="N70" s="293"/>
      <c r="O70" s="301"/>
      <c r="P70" s="94"/>
    </row>
    <row r="71" spans="1:16" x14ac:dyDescent="0.25">
      <c r="A71" s="2">
        <f t="shared" si="15"/>
        <v>70</v>
      </c>
      <c r="B71" s="65" t="s">
        <v>101</v>
      </c>
      <c r="C71" s="64" t="s">
        <v>358</v>
      </c>
      <c r="D71" s="79"/>
      <c r="E71" s="75"/>
      <c r="F71" s="86">
        <f t="shared" si="16"/>
        <v>15</v>
      </c>
      <c r="G71" s="86">
        <f t="shared" si="17"/>
        <v>1</v>
      </c>
      <c r="H71" s="308">
        <f t="shared" si="17"/>
        <v>0</v>
      </c>
      <c r="I71" s="284">
        <f t="shared" si="3"/>
        <v>96.850000000000009</v>
      </c>
      <c r="J71" s="93"/>
      <c r="K71" s="300" t="s">
        <v>234</v>
      </c>
      <c r="L71" s="293"/>
      <c r="M71" s="293"/>
      <c r="N71" s="293"/>
      <c r="O71" s="301"/>
      <c r="P71" s="94"/>
    </row>
    <row r="72" spans="1:16" x14ac:dyDescent="0.25">
      <c r="A72" s="2">
        <f t="shared" si="15"/>
        <v>71</v>
      </c>
      <c r="B72" s="65" t="s">
        <v>100</v>
      </c>
      <c r="C72" s="64" t="s">
        <v>358</v>
      </c>
      <c r="D72" s="79"/>
      <c r="E72" s="75"/>
      <c r="F72" s="86">
        <f t="shared" si="16"/>
        <v>15</v>
      </c>
      <c r="G72" s="86">
        <f t="shared" si="17"/>
        <v>1</v>
      </c>
      <c r="H72" s="308">
        <f t="shared" si="17"/>
        <v>0</v>
      </c>
      <c r="I72" s="284">
        <f t="shared" si="3"/>
        <v>96.850000000000009</v>
      </c>
      <c r="J72" s="93"/>
      <c r="K72" s="300" t="s">
        <v>234</v>
      </c>
      <c r="L72" s="293"/>
      <c r="M72" s="293"/>
      <c r="N72" s="293"/>
      <c r="O72" s="301"/>
      <c r="P72" s="94"/>
    </row>
    <row r="73" spans="1:16" x14ac:dyDescent="0.25">
      <c r="A73" s="2">
        <f t="shared" si="15"/>
        <v>72</v>
      </c>
      <c r="B73" s="68" t="s">
        <v>245</v>
      </c>
      <c r="C73" s="64" t="s">
        <v>358</v>
      </c>
      <c r="D73" s="79"/>
      <c r="E73" s="75"/>
      <c r="F73" s="86">
        <f t="shared" si="16"/>
        <v>15</v>
      </c>
      <c r="G73" s="86">
        <f t="shared" si="17"/>
        <v>1</v>
      </c>
      <c r="H73" s="308">
        <f t="shared" si="17"/>
        <v>0</v>
      </c>
      <c r="I73" s="284">
        <f t="shared" ref="I73" si="18">149*(F73/60+0.4*G73+0.7*H73)</f>
        <v>96.850000000000009</v>
      </c>
      <c r="J73" s="93"/>
      <c r="K73" s="302" t="s">
        <v>234</v>
      </c>
      <c r="L73" s="303"/>
      <c r="M73" s="303"/>
      <c r="N73" s="303"/>
      <c r="O73" s="304"/>
      <c r="P73" s="94"/>
    </row>
    <row r="74" spans="1:16" x14ac:dyDescent="0.25">
      <c r="A74" s="190"/>
      <c r="B74" s="81"/>
      <c r="C74" s="81"/>
      <c r="D74" s="84"/>
      <c r="E74" s="82"/>
      <c r="F74" s="82"/>
      <c r="G74" s="82"/>
      <c r="H74" s="309"/>
      <c r="I74" s="282"/>
      <c r="J74" s="84"/>
      <c r="K74" s="305"/>
      <c r="L74" s="305"/>
      <c r="M74" s="305"/>
      <c r="N74" s="282"/>
      <c r="O74" s="282"/>
      <c r="P74" s="83"/>
    </row>
    <row r="75" spans="1:16" x14ac:dyDescent="0.25">
      <c r="G75" s="3"/>
      <c r="M75" s="3"/>
    </row>
    <row r="76" spans="1:16" x14ac:dyDescent="0.25">
      <c r="G76" s="3"/>
      <c r="M76" s="3"/>
    </row>
    <row r="77" spans="1:16" x14ac:dyDescent="0.25">
      <c r="G77" s="3"/>
      <c r="M77" s="3"/>
    </row>
    <row r="78" spans="1:16" x14ac:dyDescent="0.25">
      <c r="G78" s="3"/>
      <c r="M78" s="3"/>
    </row>
    <row r="79" spans="1:16" x14ac:dyDescent="0.25">
      <c r="G79" s="4"/>
      <c r="M79" s="4"/>
    </row>
  </sheetData>
  <sortState xmlns:xlrd2="http://schemas.microsoft.com/office/spreadsheetml/2017/richdata2" ref="B3:H79">
    <sortCondition ref="B3:B7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C955-448F-4583-9A9C-0A644864E6EF}">
  <dimension ref="A1:BB160"/>
  <sheetViews>
    <sheetView showGridLines="0" zoomScaleNormal="150" zoomScaleSheetLayoutView="100" workbookViewId="0">
      <pane ySplit="1" topLeftCell="A2" activePane="bottomLeft" state="frozen"/>
      <selection pane="bottomLeft" activeCell="Q46" sqref="Q46"/>
    </sheetView>
  </sheetViews>
  <sheetFormatPr defaultColWidth="8.5703125" defaultRowHeight="15" x14ac:dyDescent="0.25"/>
  <cols>
    <col min="1" max="1" width="5.140625" style="339" customWidth="1"/>
    <col min="2" max="2" width="8.5703125" style="15"/>
    <col min="3" max="3" width="7.85546875" style="7" customWidth="1"/>
    <col min="4" max="4" width="13.85546875" style="7" customWidth="1"/>
    <col min="5" max="5" width="12.140625" style="7" customWidth="1"/>
    <col min="6" max="6" width="12" style="7" customWidth="1"/>
    <col min="7" max="7" width="13.140625" style="7" customWidth="1"/>
    <col min="8" max="8" width="10.5703125" style="7" customWidth="1"/>
    <col min="9" max="9" width="54.5703125" style="7" customWidth="1"/>
    <col min="10" max="10" width="56.5703125" style="7" customWidth="1"/>
    <col min="11" max="12" width="8.5703125" style="17"/>
    <col min="13" max="13" width="10.28515625" style="15" bestFit="1" customWidth="1"/>
    <col min="14" max="17" width="8.5703125" style="15"/>
    <col min="18" max="18" width="10.7109375" style="15" bestFit="1" customWidth="1"/>
    <col min="19" max="19" width="13.5703125" style="15" customWidth="1"/>
    <col min="20" max="20" width="8.5703125" style="17"/>
    <col min="21" max="21" width="13.5703125" style="15" customWidth="1"/>
    <col min="22" max="22" width="10.85546875" style="15" customWidth="1"/>
    <col min="23" max="24" width="13.5703125" style="15" customWidth="1"/>
    <col min="25" max="25" width="60.7109375" style="7" customWidth="1"/>
    <col min="26" max="26" width="3.85546875" style="7" customWidth="1"/>
    <col min="27" max="28" width="16.28515625" style="7" customWidth="1"/>
    <col min="29" max="29" width="24" style="7" customWidth="1"/>
    <col min="30" max="37" width="13.140625" style="15" customWidth="1"/>
    <col min="38" max="38" width="28.7109375" style="7" customWidth="1"/>
    <col min="39" max="39" width="32.28515625" style="7" customWidth="1"/>
    <col min="40" max="40" width="8.5703125" style="7"/>
    <col min="41" max="41" width="13" style="7" customWidth="1"/>
    <col min="42" max="42" width="12" style="7" customWidth="1"/>
    <col min="43" max="43" width="19" style="7" customWidth="1"/>
    <col min="44" max="51" width="13.140625" style="15" customWidth="1"/>
    <col min="52" max="53" width="24.140625" style="7" customWidth="1"/>
    <col min="54" max="54" width="4.140625" style="7" customWidth="1"/>
    <col min="55" max="16384" width="8.5703125" style="7"/>
  </cols>
  <sheetData>
    <row r="1" spans="1:54" s="30" customFormat="1" ht="54" customHeight="1" x14ac:dyDescent="0.25">
      <c r="A1" s="334"/>
      <c r="B1" s="149" t="s">
        <v>184</v>
      </c>
      <c r="C1" s="327" t="s">
        <v>325</v>
      </c>
      <c r="D1" s="327" t="s">
        <v>600</v>
      </c>
      <c r="E1" s="327" t="s">
        <v>601</v>
      </c>
      <c r="F1" s="327" t="s">
        <v>602</v>
      </c>
      <c r="G1" s="327" t="s">
        <v>603</v>
      </c>
      <c r="H1" s="327" t="s">
        <v>227</v>
      </c>
      <c r="I1" s="232" t="s">
        <v>191</v>
      </c>
      <c r="J1" s="342" t="s">
        <v>611</v>
      </c>
      <c r="K1" s="233" t="s">
        <v>604</v>
      </c>
      <c r="L1" s="233" t="s">
        <v>605</v>
      </c>
      <c r="M1" s="234" t="s">
        <v>194</v>
      </c>
      <c r="N1" s="234" t="s">
        <v>615</v>
      </c>
      <c r="O1" s="234" t="s">
        <v>617</v>
      </c>
      <c r="P1" s="234" t="s">
        <v>616</v>
      </c>
      <c r="Q1" s="234" t="s">
        <v>618</v>
      </c>
      <c r="R1" s="234" t="s">
        <v>192</v>
      </c>
      <c r="S1" s="234" t="s">
        <v>193</v>
      </c>
      <c r="T1" s="233" t="s">
        <v>204</v>
      </c>
      <c r="U1" s="234" t="s">
        <v>207</v>
      </c>
      <c r="V1" s="234" t="s">
        <v>198</v>
      </c>
      <c r="W1" s="234" t="s">
        <v>199</v>
      </c>
      <c r="X1" s="234" t="s">
        <v>223</v>
      </c>
      <c r="Y1" s="235" t="s">
        <v>196</v>
      </c>
      <c r="Z1" s="31"/>
      <c r="AA1" s="237" t="s">
        <v>201</v>
      </c>
      <c r="AB1" s="238" t="s">
        <v>202</v>
      </c>
      <c r="AC1" s="238" t="s">
        <v>200</v>
      </c>
      <c r="AD1" s="238" t="s">
        <v>197</v>
      </c>
      <c r="AE1" s="238" t="s">
        <v>208</v>
      </c>
      <c r="AF1" s="238" t="s">
        <v>209</v>
      </c>
      <c r="AG1" s="238" t="s">
        <v>210</v>
      </c>
      <c r="AH1" s="238" t="s">
        <v>211</v>
      </c>
      <c r="AI1" s="238" t="s">
        <v>212</v>
      </c>
      <c r="AJ1" s="238" t="s">
        <v>213</v>
      </c>
      <c r="AK1" s="238" t="s">
        <v>214</v>
      </c>
      <c r="AL1" s="238" t="s">
        <v>215</v>
      </c>
      <c r="AM1" s="238" t="s">
        <v>216</v>
      </c>
      <c r="AN1" s="31"/>
      <c r="AO1" s="236" t="s">
        <v>201</v>
      </c>
      <c r="AP1" s="236" t="s">
        <v>202</v>
      </c>
      <c r="AQ1" s="236" t="s">
        <v>200</v>
      </c>
      <c r="AR1" s="236" t="s">
        <v>197</v>
      </c>
      <c r="AS1" s="236" t="s">
        <v>208</v>
      </c>
      <c r="AT1" s="236" t="s">
        <v>209</v>
      </c>
      <c r="AU1" s="236" t="s">
        <v>210</v>
      </c>
      <c r="AV1" s="236" t="s">
        <v>211</v>
      </c>
      <c r="AW1" s="236" t="s">
        <v>212</v>
      </c>
      <c r="AX1" s="236" t="s">
        <v>213</v>
      </c>
      <c r="AY1" s="236" t="s">
        <v>214</v>
      </c>
      <c r="AZ1" s="236" t="s">
        <v>215</v>
      </c>
      <c r="BA1" s="236" t="s">
        <v>216</v>
      </c>
      <c r="BB1" s="149"/>
    </row>
    <row r="2" spans="1:54" x14ac:dyDescent="0.25">
      <c r="A2" s="335">
        <v>1</v>
      </c>
      <c r="B2" s="231">
        <v>1</v>
      </c>
      <c r="C2" s="161" t="s">
        <v>557</v>
      </c>
      <c r="D2" s="161" t="s">
        <v>593</v>
      </c>
      <c r="E2" s="161" t="s">
        <v>558</v>
      </c>
      <c r="F2" s="161"/>
      <c r="G2" s="161"/>
      <c r="H2" s="161" t="s">
        <v>225</v>
      </c>
      <c r="I2" s="18" t="str">
        <f t="shared" ref="I2:I33" si="0">_xlfn.CONCAT(C2:H2)</f>
        <v>CA.BldStd.Com.Valuation</v>
      </c>
      <c r="J2" s="18" t="s">
        <v>612</v>
      </c>
      <c r="K2" s="107">
        <v>0</v>
      </c>
      <c r="L2" s="107">
        <v>0</v>
      </c>
      <c r="M2" s="19">
        <v>130000</v>
      </c>
      <c r="N2" s="20"/>
      <c r="O2" s="20"/>
      <c r="P2" s="20"/>
      <c r="Q2" s="20"/>
      <c r="R2" s="21">
        <v>2.5000000000000001E-4</v>
      </c>
      <c r="S2" s="22">
        <f t="shared" ref="S2:S72" si="1">PRODUCT(K2:R2)</f>
        <v>0</v>
      </c>
      <c r="T2" s="107"/>
      <c r="U2" s="22">
        <f>X2*T2</f>
        <v>0</v>
      </c>
      <c r="V2" s="22"/>
      <c r="W2" s="22">
        <v>0</v>
      </c>
      <c r="X2" s="22">
        <f>S2-W2</f>
        <v>0</v>
      </c>
      <c r="Y2" s="98" t="s">
        <v>236</v>
      </c>
      <c r="Z2" s="32"/>
      <c r="AA2" s="207">
        <v>0.9</v>
      </c>
      <c r="AB2" s="42">
        <f t="shared" ref="AB2:AB72" si="2">AA2*U2</f>
        <v>0</v>
      </c>
      <c r="AC2" s="43" t="s">
        <v>205</v>
      </c>
      <c r="AD2" s="36"/>
      <c r="AE2" s="36"/>
      <c r="AF2" s="36"/>
      <c r="AG2" s="36"/>
      <c r="AH2" s="36"/>
      <c r="AI2" s="36"/>
      <c r="AJ2" s="36"/>
      <c r="AK2" s="36"/>
      <c r="AL2" s="37" t="str">
        <f t="shared" ref="AL2:AL14" si="3">CONCATENATE(AD2,AE2,AF2,AG2)</f>
        <v/>
      </c>
      <c r="AM2" s="37" t="str">
        <f t="shared" ref="AM2:AM14" si="4">CONCATENATE(AD2,AE2,AF2,AG2)</f>
        <v/>
      </c>
      <c r="AN2" s="32"/>
      <c r="AO2" s="48">
        <f>1-AA2</f>
        <v>9.9999999999999978E-2</v>
      </c>
      <c r="AP2" s="49">
        <f t="shared" ref="AP2:AP72" si="5">AO2*U2</f>
        <v>0</v>
      </c>
      <c r="AQ2" s="53" t="s">
        <v>108</v>
      </c>
      <c r="AR2" s="38">
        <v>6031</v>
      </c>
      <c r="AS2" s="38">
        <v>2975</v>
      </c>
      <c r="AT2" s="38">
        <v>120021</v>
      </c>
      <c r="AU2" s="38">
        <v>401310</v>
      </c>
      <c r="AV2" s="38"/>
      <c r="AW2" s="38" t="s">
        <v>217</v>
      </c>
      <c r="AX2" s="38"/>
      <c r="AY2" s="38"/>
      <c r="AZ2" s="39" t="str">
        <f t="shared" ref="AZ2:AZ6" si="6">CONCATENATE(AR2,AS2,AT2,AU2)</f>
        <v>60312975120021401310</v>
      </c>
      <c r="BA2" s="39" t="str">
        <f t="shared" ref="BA2:BA6" si="7">CONCATENATE(AR2,AS2,AT2,AU2)</f>
        <v>60312975120021401310</v>
      </c>
      <c r="BB2" s="147"/>
    </row>
    <row r="3" spans="1:54" x14ac:dyDescent="0.25">
      <c r="A3" s="336">
        <v>1</v>
      </c>
      <c r="B3" s="229">
        <f>SUM($A$2:$A3)</f>
        <v>2</v>
      </c>
      <c r="C3" s="161" t="s">
        <v>557</v>
      </c>
      <c r="D3" s="161" t="s">
        <v>593</v>
      </c>
      <c r="E3" s="161" t="s">
        <v>559</v>
      </c>
      <c r="F3" s="161"/>
      <c r="G3" s="161"/>
      <c r="H3" s="161" t="s">
        <v>225</v>
      </c>
      <c r="I3" s="23" t="str">
        <f t="shared" si="0"/>
        <v>CA.BldStd.Res.Valuation</v>
      </c>
      <c r="J3" s="23" t="s">
        <v>612</v>
      </c>
      <c r="K3" s="108"/>
      <c r="L3" s="108"/>
      <c r="M3" s="24">
        <v>130000</v>
      </c>
      <c r="N3" s="25"/>
      <c r="O3" s="25"/>
      <c r="P3" s="25"/>
      <c r="Q3" s="25"/>
      <c r="R3" s="26">
        <v>2.5000000000000001E-4</v>
      </c>
      <c r="S3" s="27">
        <f t="shared" si="1"/>
        <v>32.5</v>
      </c>
      <c r="T3" s="108"/>
      <c r="U3" s="27">
        <f t="shared" ref="U3:U72" si="8">X3*T3</f>
        <v>0</v>
      </c>
      <c r="V3" s="27"/>
      <c r="W3" s="27">
        <v>0</v>
      </c>
      <c r="X3" s="27">
        <f t="shared" ref="X3:X72" si="9">S3-W3</f>
        <v>32.5</v>
      </c>
      <c r="Y3" s="99" t="s">
        <v>243</v>
      </c>
      <c r="Z3" s="32"/>
      <c r="AA3" s="208">
        <v>0.9</v>
      </c>
      <c r="AB3" s="44">
        <f t="shared" si="2"/>
        <v>0</v>
      </c>
      <c r="AC3" s="45" t="s">
        <v>205</v>
      </c>
      <c r="AD3" s="38"/>
      <c r="AE3" s="38"/>
      <c r="AF3" s="38"/>
      <c r="AG3" s="38"/>
      <c r="AH3" s="38"/>
      <c r="AI3" s="38"/>
      <c r="AJ3" s="38"/>
      <c r="AK3" s="38"/>
      <c r="AL3" s="39" t="str">
        <f t="shared" si="3"/>
        <v/>
      </c>
      <c r="AM3" s="39" t="str">
        <f t="shared" si="4"/>
        <v/>
      </c>
      <c r="AN3" s="32"/>
      <c r="AO3" s="51">
        <f t="shared" ref="AO3:AO72" si="10">1-AA3</f>
        <v>9.9999999999999978E-2</v>
      </c>
      <c r="AP3" s="52">
        <f t="shared" si="5"/>
        <v>0</v>
      </c>
      <c r="AQ3" s="53" t="s">
        <v>108</v>
      </c>
      <c r="AR3" s="38">
        <v>6031</v>
      </c>
      <c r="AS3" s="38">
        <v>2975</v>
      </c>
      <c r="AT3" s="38">
        <v>120021</v>
      </c>
      <c r="AU3" s="38">
        <v>401310</v>
      </c>
      <c r="AV3" s="38"/>
      <c r="AW3" s="38" t="s">
        <v>217</v>
      </c>
      <c r="AX3" s="38"/>
      <c r="AY3" s="38"/>
      <c r="AZ3" s="39" t="str">
        <f t="shared" si="6"/>
        <v>60312975120021401310</v>
      </c>
      <c r="BA3" s="39" t="str">
        <f t="shared" si="7"/>
        <v>60312975120021401310</v>
      </c>
      <c r="BB3" s="147"/>
    </row>
    <row r="4" spans="1:54" ht="45" x14ac:dyDescent="0.25">
      <c r="A4" s="336">
        <v>1</v>
      </c>
      <c r="B4" s="229">
        <f>SUM($A$2:$A4)</f>
        <v>3</v>
      </c>
      <c r="C4" s="161" t="s">
        <v>557</v>
      </c>
      <c r="D4" s="161" t="s">
        <v>592</v>
      </c>
      <c r="E4" s="161" t="s">
        <v>558</v>
      </c>
      <c r="F4" s="161"/>
      <c r="G4" s="161"/>
      <c r="H4" s="161" t="s">
        <v>225</v>
      </c>
      <c r="I4" s="23" t="str">
        <f t="shared" si="0"/>
        <v>CA.Seismic.Com.Valuation</v>
      </c>
      <c r="J4" s="343" t="s">
        <v>613</v>
      </c>
      <c r="K4" s="108">
        <v>0</v>
      </c>
      <c r="L4" s="108">
        <v>0</v>
      </c>
      <c r="M4" s="24">
        <v>130000</v>
      </c>
      <c r="N4" s="25"/>
      <c r="O4" s="25"/>
      <c r="P4" s="25"/>
      <c r="Q4" s="25"/>
      <c r="R4" s="26">
        <v>2.5000000000000001E-4</v>
      </c>
      <c r="S4" s="27">
        <f t="shared" si="1"/>
        <v>0</v>
      </c>
      <c r="T4" s="108"/>
      <c r="U4" s="27">
        <f t="shared" si="8"/>
        <v>0</v>
      </c>
      <c r="V4" s="27"/>
      <c r="W4" s="27">
        <v>0</v>
      </c>
      <c r="X4" s="27">
        <f t="shared" si="9"/>
        <v>0</v>
      </c>
      <c r="Y4" s="99" t="s">
        <v>244</v>
      </c>
      <c r="Z4" s="32"/>
      <c r="AA4" s="208">
        <v>0.9</v>
      </c>
      <c r="AB4" s="44">
        <f t="shared" si="2"/>
        <v>0</v>
      </c>
      <c r="AC4" s="45" t="s">
        <v>206</v>
      </c>
      <c r="AD4" s="38"/>
      <c r="AE4" s="38"/>
      <c r="AF4" s="38"/>
      <c r="AG4" s="38"/>
      <c r="AH4" s="38"/>
      <c r="AI4" s="38"/>
      <c r="AJ4" s="38"/>
      <c r="AK4" s="38"/>
      <c r="AL4" s="39" t="str">
        <f t="shared" si="3"/>
        <v/>
      </c>
      <c r="AM4" s="39" t="str">
        <f t="shared" si="4"/>
        <v/>
      </c>
      <c r="AN4" s="32"/>
      <c r="AO4" s="51">
        <f t="shared" si="10"/>
        <v>9.9999999999999978E-2</v>
      </c>
      <c r="AP4" s="52">
        <f t="shared" si="5"/>
        <v>0</v>
      </c>
      <c r="AQ4" s="53" t="s">
        <v>108</v>
      </c>
      <c r="AR4" s="38">
        <v>6031</v>
      </c>
      <c r="AS4" s="38">
        <v>2975</v>
      </c>
      <c r="AT4" s="38">
        <v>120021</v>
      </c>
      <c r="AU4" s="38">
        <v>401310</v>
      </c>
      <c r="AV4" s="38"/>
      <c r="AW4" s="38" t="s">
        <v>217</v>
      </c>
      <c r="AX4" s="38"/>
      <c r="AY4" s="38"/>
      <c r="AZ4" s="39" t="str">
        <f t="shared" si="6"/>
        <v>60312975120021401310</v>
      </c>
      <c r="BA4" s="39" t="str">
        <f t="shared" si="7"/>
        <v>60312975120021401310</v>
      </c>
      <c r="BB4" s="147"/>
    </row>
    <row r="5" spans="1:54" ht="45" x14ac:dyDescent="0.25">
      <c r="A5" s="336">
        <v>1</v>
      </c>
      <c r="B5" s="229">
        <f>SUM($A$2:$A5)</f>
        <v>4</v>
      </c>
      <c r="C5" s="161" t="s">
        <v>557</v>
      </c>
      <c r="D5" s="161" t="s">
        <v>592</v>
      </c>
      <c r="E5" s="161" t="s">
        <v>559</v>
      </c>
      <c r="F5" s="161"/>
      <c r="G5" s="161"/>
      <c r="H5" s="161" t="s">
        <v>225</v>
      </c>
      <c r="I5" s="23" t="str">
        <f t="shared" si="0"/>
        <v>CA.Seismic.Res.Valuation</v>
      </c>
      <c r="J5" s="343" t="s">
        <v>613</v>
      </c>
      <c r="K5" s="108"/>
      <c r="L5" s="108"/>
      <c r="M5" s="24">
        <v>130000</v>
      </c>
      <c r="N5" s="25"/>
      <c r="O5" s="25"/>
      <c r="P5" s="25"/>
      <c r="Q5" s="25"/>
      <c r="R5" s="26">
        <v>2.5000000000000001E-4</v>
      </c>
      <c r="S5" s="27">
        <f t="shared" si="1"/>
        <v>32.5</v>
      </c>
      <c r="T5" s="108"/>
      <c r="U5" s="27">
        <f t="shared" si="8"/>
        <v>0</v>
      </c>
      <c r="V5" s="27"/>
      <c r="W5" s="27">
        <v>0</v>
      </c>
      <c r="X5" s="27">
        <f t="shared" si="9"/>
        <v>32.5</v>
      </c>
      <c r="Y5" s="239"/>
      <c r="Z5" s="32"/>
      <c r="AA5" s="208">
        <v>0.9</v>
      </c>
      <c r="AB5" s="44">
        <f t="shared" si="2"/>
        <v>0</v>
      </c>
      <c r="AC5" s="45" t="s">
        <v>206</v>
      </c>
      <c r="AD5" s="38"/>
      <c r="AE5" s="38"/>
      <c r="AF5" s="38"/>
      <c r="AG5" s="38"/>
      <c r="AH5" s="38"/>
      <c r="AI5" s="38"/>
      <c r="AJ5" s="38"/>
      <c r="AK5" s="38"/>
      <c r="AL5" s="39" t="str">
        <f t="shared" si="3"/>
        <v/>
      </c>
      <c r="AM5" s="39" t="str">
        <f t="shared" si="4"/>
        <v/>
      </c>
      <c r="AN5" s="32"/>
      <c r="AO5" s="51">
        <f t="shared" si="10"/>
        <v>9.9999999999999978E-2</v>
      </c>
      <c r="AP5" s="52">
        <f t="shared" si="5"/>
        <v>0</v>
      </c>
      <c r="AQ5" s="53" t="s">
        <v>108</v>
      </c>
      <c r="AR5" s="38">
        <v>6031</v>
      </c>
      <c r="AS5" s="38">
        <v>2975</v>
      </c>
      <c r="AT5" s="38">
        <v>120021</v>
      </c>
      <c r="AU5" s="38">
        <v>401310</v>
      </c>
      <c r="AV5" s="38"/>
      <c r="AW5" s="38" t="s">
        <v>217</v>
      </c>
      <c r="AX5" s="38"/>
      <c r="AY5" s="38"/>
      <c r="AZ5" s="39" t="str">
        <f t="shared" si="6"/>
        <v>60312975120021401310</v>
      </c>
      <c r="BA5" s="39" t="str">
        <f t="shared" si="7"/>
        <v>60312975120021401310</v>
      </c>
      <c r="BB5" s="147"/>
    </row>
    <row r="6" spans="1:54" x14ac:dyDescent="0.25">
      <c r="A6" s="336">
        <v>1</v>
      </c>
      <c r="B6" s="229">
        <f>SUM($A$2:$A6)</f>
        <v>5</v>
      </c>
      <c r="C6" s="161" t="s">
        <v>594</v>
      </c>
      <c r="D6" s="161" t="s">
        <v>575</v>
      </c>
      <c r="E6" s="161" t="s">
        <v>574</v>
      </c>
      <c r="F6" s="161" t="s">
        <v>608</v>
      </c>
      <c r="G6" s="161"/>
      <c r="H6" s="161" t="s">
        <v>580</v>
      </c>
      <c r="I6" s="45" t="str">
        <f t="shared" si="0"/>
        <v>DCS.Bldg.Admin.Addressing.each</v>
      </c>
      <c r="J6" s="45"/>
      <c r="K6" s="108"/>
      <c r="L6" s="108"/>
      <c r="M6" s="118">
        <v>1</v>
      </c>
      <c r="N6" s="119"/>
      <c r="O6" s="119"/>
      <c r="P6" s="119"/>
      <c r="Q6" s="119"/>
      <c r="R6" s="120">
        <v>5</v>
      </c>
      <c r="S6" s="120">
        <f t="shared" ref="S6" si="11">PRODUCT(K6:R6)</f>
        <v>5</v>
      </c>
      <c r="T6" s="108">
        <v>1</v>
      </c>
      <c r="U6" s="120">
        <f t="shared" ref="U6" si="12">X6*T6</f>
        <v>5</v>
      </c>
      <c r="V6" s="120"/>
      <c r="W6" s="120">
        <v>0</v>
      </c>
      <c r="X6" s="120">
        <f t="shared" ref="X6" si="13">S6-W6</f>
        <v>5</v>
      </c>
      <c r="Y6" s="239"/>
      <c r="Z6" s="32"/>
      <c r="AA6" s="208">
        <v>1</v>
      </c>
      <c r="AB6" s="44">
        <f t="shared" ref="AB6" si="14">AA6*U6</f>
        <v>5</v>
      </c>
      <c r="AC6" s="45" t="s">
        <v>108</v>
      </c>
      <c r="AD6" s="38"/>
      <c r="AE6" s="38"/>
      <c r="AF6" s="38"/>
      <c r="AG6" s="38"/>
      <c r="AH6" s="38"/>
      <c r="AI6" s="38"/>
      <c r="AJ6" s="38"/>
      <c r="AK6" s="38"/>
      <c r="AL6" s="39" t="str">
        <f t="shared" ref="AL6" si="15">CONCATENATE(AD6,AE6,AF6,AG6)</f>
        <v/>
      </c>
      <c r="AM6" s="39" t="str">
        <f t="shared" ref="AM6" si="16">CONCATENATE(AD6,AE6,AF6,AG6)</f>
        <v/>
      </c>
      <c r="AN6" s="32"/>
      <c r="AO6" s="51">
        <f t="shared" ref="AO6" si="17">1-AA6</f>
        <v>0</v>
      </c>
      <c r="AP6" s="52">
        <f t="shared" ref="AP6" si="18">AO6*U6</f>
        <v>0</v>
      </c>
      <c r="AQ6" s="53" t="s">
        <v>42</v>
      </c>
      <c r="AR6" s="38"/>
      <c r="AS6" s="38"/>
      <c r="AT6" s="38"/>
      <c r="AU6" s="38"/>
      <c r="AV6" s="38"/>
      <c r="AW6" s="38"/>
      <c r="AX6" s="38"/>
      <c r="AY6" s="38"/>
      <c r="AZ6" s="39" t="str">
        <f t="shared" si="6"/>
        <v/>
      </c>
      <c r="BA6" s="39" t="str">
        <f t="shared" si="7"/>
        <v/>
      </c>
      <c r="BB6" s="147"/>
    </row>
    <row r="7" spans="1:54" x14ac:dyDescent="0.25">
      <c r="A7" s="336">
        <v>1</v>
      </c>
      <c r="B7" s="229">
        <f>SUM($A$2:$A7)</f>
        <v>6</v>
      </c>
      <c r="C7" s="161" t="s">
        <v>594</v>
      </c>
      <c r="D7" s="161" t="s">
        <v>575</v>
      </c>
      <c r="E7" s="161" t="s">
        <v>574</v>
      </c>
      <c r="F7" s="161" t="s">
        <v>609</v>
      </c>
      <c r="G7" s="161"/>
      <c r="H7" s="161" t="s">
        <v>580</v>
      </c>
      <c r="I7" s="45" t="str">
        <f t="shared" si="0"/>
        <v>DCS.Bldg.Admin.AgExempt.each</v>
      </c>
      <c r="J7" s="45"/>
      <c r="K7" s="108"/>
      <c r="L7" s="108"/>
      <c r="M7" s="118">
        <v>1</v>
      </c>
      <c r="N7" s="119"/>
      <c r="O7" s="119"/>
      <c r="P7" s="119"/>
      <c r="Q7" s="119"/>
      <c r="R7" s="120">
        <v>5</v>
      </c>
      <c r="S7" s="120">
        <f t="shared" ref="S7" si="19">PRODUCT(K7:R7)</f>
        <v>5</v>
      </c>
      <c r="T7" s="108">
        <v>1</v>
      </c>
      <c r="U7" s="120">
        <f t="shared" ref="U7" si="20">X7*T7</f>
        <v>5</v>
      </c>
      <c r="V7" s="120"/>
      <c r="W7" s="120">
        <v>0</v>
      </c>
      <c r="X7" s="120">
        <f t="shared" ref="X7" si="21">S7-W7</f>
        <v>5</v>
      </c>
      <c r="Y7" s="239"/>
      <c r="Z7" s="32"/>
      <c r="AA7" s="208">
        <v>1</v>
      </c>
      <c r="AB7" s="44">
        <f t="shared" ref="AB7" si="22">AA7*U7</f>
        <v>5</v>
      </c>
      <c r="AC7" s="45" t="s">
        <v>108</v>
      </c>
      <c r="AD7" s="38"/>
      <c r="AE7" s="38"/>
      <c r="AF7" s="38"/>
      <c r="AG7" s="38"/>
      <c r="AH7" s="38"/>
      <c r="AI7" s="38"/>
      <c r="AJ7" s="38"/>
      <c r="AK7" s="38"/>
      <c r="AL7" s="39" t="str">
        <f t="shared" ref="AL7" si="23">CONCATENATE(AD7,AE7,AF7,AG7)</f>
        <v/>
      </c>
      <c r="AM7" s="39" t="str">
        <f t="shared" ref="AM7" si="24">CONCATENATE(AD7,AE7,AF7,AG7)</f>
        <v/>
      </c>
      <c r="AN7" s="32"/>
      <c r="AO7" s="51">
        <f t="shared" ref="AO7" si="25">1-AA7</f>
        <v>0</v>
      </c>
      <c r="AP7" s="52">
        <f t="shared" ref="AP7" si="26">AO7*U7</f>
        <v>0</v>
      </c>
      <c r="AQ7" s="53" t="s">
        <v>42</v>
      </c>
      <c r="AR7" s="38"/>
      <c r="AS7" s="38"/>
      <c r="AT7" s="38"/>
      <c r="AU7" s="38"/>
      <c r="AV7" s="38"/>
      <c r="AW7" s="38"/>
      <c r="AX7" s="38"/>
      <c r="AY7" s="38"/>
      <c r="AZ7" s="39" t="str">
        <f t="shared" ref="AZ7" si="27">CONCATENATE(AR7,AS7,AT7,AU7)</f>
        <v/>
      </c>
      <c r="BA7" s="39" t="str">
        <f t="shared" ref="BA7" si="28">CONCATENATE(AR7,AS7,AT7,AU7)</f>
        <v/>
      </c>
      <c r="BB7" s="147"/>
    </row>
    <row r="8" spans="1:54" x14ac:dyDescent="0.25">
      <c r="A8" s="336">
        <v>1</v>
      </c>
      <c r="B8" s="229">
        <f>SUM($A$2:$A8)</f>
        <v>7</v>
      </c>
      <c r="C8" s="161" t="s">
        <v>594</v>
      </c>
      <c r="D8" s="161" t="s">
        <v>575</v>
      </c>
      <c r="E8" s="161" t="s">
        <v>574</v>
      </c>
      <c r="F8" s="161" t="s">
        <v>610</v>
      </c>
      <c r="G8" s="161"/>
      <c r="H8" s="161" t="s">
        <v>580</v>
      </c>
      <c r="I8" s="45" t="str">
        <f t="shared" si="0"/>
        <v>DCS.Bldg.Admin.AMMR.each</v>
      </c>
      <c r="J8" s="45"/>
      <c r="K8" s="108"/>
      <c r="L8" s="108"/>
      <c r="M8" s="118">
        <v>1</v>
      </c>
      <c r="N8" s="119"/>
      <c r="O8" s="119"/>
      <c r="P8" s="119"/>
      <c r="Q8" s="119"/>
      <c r="R8" s="120">
        <v>5</v>
      </c>
      <c r="S8" s="120">
        <f t="shared" ref="S8" si="29">PRODUCT(K8:R8)</f>
        <v>5</v>
      </c>
      <c r="T8" s="108">
        <v>1</v>
      </c>
      <c r="U8" s="120">
        <f t="shared" ref="U8" si="30">X8*T8</f>
        <v>5</v>
      </c>
      <c r="V8" s="120"/>
      <c r="W8" s="120">
        <v>0</v>
      </c>
      <c r="X8" s="120">
        <f t="shared" ref="X8" si="31">S8-W8</f>
        <v>5</v>
      </c>
      <c r="Y8" s="239"/>
      <c r="Z8" s="32"/>
      <c r="AA8" s="208">
        <v>1</v>
      </c>
      <c r="AB8" s="44">
        <f t="shared" ref="AB8" si="32">AA8*U8</f>
        <v>5</v>
      </c>
      <c r="AC8" s="45" t="s">
        <v>108</v>
      </c>
      <c r="AD8" s="38"/>
      <c r="AE8" s="38"/>
      <c r="AF8" s="38"/>
      <c r="AG8" s="38"/>
      <c r="AH8" s="38"/>
      <c r="AI8" s="38"/>
      <c r="AJ8" s="38"/>
      <c r="AK8" s="38"/>
      <c r="AL8" s="39" t="str">
        <f t="shared" ref="AL8" si="33">CONCATENATE(AD8,AE8,AF8,AG8)</f>
        <v/>
      </c>
      <c r="AM8" s="39" t="str">
        <f t="shared" ref="AM8" si="34">CONCATENATE(AD8,AE8,AF8,AG8)</f>
        <v/>
      </c>
      <c r="AN8" s="32"/>
      <c r="AO8" s="51">
        <f t="shared" ref="AO8" si="35">1-AA8</f>
        <v>0</v>
      </c>
      <c r="AP8" s="52">
        <f t="shared" ref="AP8" si="36">AO8*U8</f>
        <v>0</v>
      </c>
      <c r="AQ8" s="53" t="s">
        <v>42</v>
      </c>
      <c r="AR8" s="38"/>
      <c r="AS8" s="38"/>
      <c r="AT8" s="38"/>
      <c r="AU8" s="38"/>
      <c r="AV8" s="38"/>
      <c r="AW8" s="38"/>
      <c r="AX8" s="38"/>
      <c r="AY8" s="38"/>
      <c r="AZ8" s="39" t="str">
        <f t="shared" ref="AZ8" si="37">CONCATENATE(AR8,AS8,AT8,AU8)</f>
        <v/>
      </c>
      <c r="BA8" s="39" t="str">
        <f t="shared" ref="BA8" si="38">CONCATENATE(AR8,AS8,AT8,AU8)</f>
        <v/>
      </c>
      <c r="BB8" s="147"/>
    </row>
    <row r="9" spans="1:54" x14ac:dyDescent="0.25">
      <c r="A9" s="336">
        <v>1</v>
      </c>
      <c r="B9" s="229">
        <f>SUM($A$2:$A9)</f>
        <v>8</v>
      </c>
      <c r="C9" s="161" t="s">
        <v>594</v>
      </c>
      <c r="D9" s="161" t="s">
        <v>575</v>
      </c>
      <c r="E9" s="161" t="s">
        <v>574</v>
      </c>
      <c r="F9" s="161" t="s">
        <v>606</v>
      </c>
      <c r="G9" s="161"/>
      <c r="H9" s="161" t="s">
        <v>560</v>
      </c>
      <c r="I9" s="45" t="str">
        <f t="shared" si="0"/>
        <v>DCS.Bldg.Admin.Print.perPage</v>
      </c>
      <c r="J9" s="45"/>
      <c r="K9" s="108"/>
      <c r="L9" s="108"/>
      <c r="M9" s="118">
        <v>1</v>
      </c>
      <c r="N9" s="119"/>
      <c r="O9" s="119"/>
      <c r="P9" s="119"/>
      <c r="Q9" s="119"/>
      <c r="R9" s="120">
        <v>5</v>
      </c>
      <c r="S9" s="120">
        <f t="shared" si="1"/>
        <v>5</v>
      </c>
      <c r="T9" s="108">
        <v>1</v>
      </c>
      <c r="U9" s="120">
        <f t="shared" si="8"/>
        <v>5</v>
      </c>
      <c r="V9" s="120"/>
      <c r="W9" s="120">
        <v>0</v>
      </c>
      <c r="X9" s="120">
        <f t="shared" si="9"/>
        <v>5</v>
      </c>
      <c r="Y9" s="239"/>
      <c r="Z9" s="32"/>
      <c r="AA9" s="208">
        <v>1</v>
      </c>
      <c r="AB9" s="44">
        <f t="shared" si="2"/>
        <v>5</v>
      </c>
      <c r="AC9" s="45" t="s">
        <v>108</v>
      </c>
      <c r="AD9" s="38"/>
      <c r="AE9" s="38"/>
      <c r="AF9" s="38"/>
      <c r="AG9" s="38"/>
      <c r="AH9" s="38"/>
      <c r="AI9" s="38"/>
      <c r="AJ9" s="38"/>
      <c r="AK9" s="38"/>
      <c r="AL9" s="39" t="str">
        <f t="shared" si="3"/>
        <v/>
      </c>
      <c r="AM9" s="39" t="str">
        <f t="shared" si="4"/>
        <v/>
      </c>
      <c r="AN9" s="32"/>
      <c r="AO9" s="51">
        <f t="shared" si="10"/>
        <v>0</v>
      </c>
      <c r="AP9" s="52">
        <f t="shared" si="5"/>
        <v>0</v>
      </c>
      <c r="AQ9" s="53" t="s">
        <v>42</v>
      </c>
      <c r="AR9" s="38"/>
      <c r="AS9" s="38"/>
      <c r="AT9" s="38"/>
      <c r="AU9" s="38"/>
      <c r="AV9" s="38"/>
      <c r="AW9" s="38"/>
      <c r="AX9" s="38"/>
      <c r="AY9" s="38"/>
      <c r="AZ9" s="39" t="str">
        <f t="shared" ref="AZ9:AZ14" si="39">CONCATENATE(AR9,AS9,AT9,AU9)</f>
        <v/>
      </c>
      <c r="BA9" s="39" t="str">
        <f t="shared" ref="BA9:BA14" si="40">CONCATENATE(AR9,AS9,AT9,AU9)</f>
        <v/>
      </c>
      <c r="BB9" s="147"/>
    </row>
    <row r="10" spans="1:54" x14ac:dyDescent="0.25">
      <c r="A10" s="336">
        <v>1</v>
      </c>
      <c r="B10" s="229">
        <f>SUM($A$2:$A10)</f>
        <v>9</v>
      </c>
      <c r="C10" s="161" t="s">
        <v>594</v>
      </c>
      <c r="D10" s="161" t="s">
        <v>575</v>
      </c>
      <c r="E10" s="161" t="s">
        <v>574</v>
      </c>
      <c r="F10" s="161" t="s">
        <v>606</v>
      </c>
      <c r="G10" s="161"/>
      <c r="H10" s="161" t="s">
        <v>560</v>
      </c>
      <c r="I10" s="45" t="str">
        <f t="shared" si="0"/>
        <v>DCS.Bldg.Admin.Print.perPage</v>
      </c>
      <c r="J10" s="45"/>
      <c r="K10" s="108"/>
      <c r="L10" s="108"/>
      <c r="M10" s="118">
        <v>1</v>
      </c>
      <c r="N10" s="119"/>
      <c r="O10" s="119"/>
      <c r="P10" s="119"/>
      <c r="Q10" s="119"/>
      <c r="R10" s="120">
        <v>1</v>
      </c>
      <c r="S10" s="120">
        <f t="shared" si="1"/>
        <v>1</v>
      </c>
      <c r="T10" s="108">
        <v>1</v>
      </c>
      <c r="U10" s="120">
        <f t="shared" si="8"/>
        <v>1</v>
      </c>
      <c r="V10" s="120"/>
      <c r="W10" s="120">
        <v>0</v>
      </c>
      <c r="X10" s="120">
        <f t="shared" si="9"/>
        <v>1</v>
      </c>
      <c r="Y10" s="239"/>
      <c r="Z10" s="32"/>
      <c r="AA10" s="208">
        <v>1</v>
      </c>
      <c r="AB10" s="44">
        <f t="shared" si="2"/>
        <v>1</v>
      </c>
      <c r="AC10" s="45" t="s">
        <v>108</v>
      </c>
      <c r="AD10" s="38"/>
      <c r="AE10" s="38"/>
      <c r="AF10" s="38"/>
      <c r="AG10" s="38"/>
      <c r="AH10" s="38"/>
      <c r="AI10" s="38"/>
      <c r="AJ10" s="38"/>
      <c r="AK10" s="38"/>
      <c r="AL10" s="39" t="str">
        <f t="shared" si="3"/>
        <v/>
      </c>
      <c r="AM10" s="39" t="str">
        <f t="shared" si="4"/>
        <v/>
      </c>
      <c r="AN10" s="32"/>
      <c r="AO10" s="51">
        <f t="shared" si="10"/>
        <v>0</v>
      </c>
      <c r="AP10" s="52">
        <f t="shared" si="5"/>
        <v>0</v>
      </c>
      <c r="AQ10" s="53" t="s">
        <v>42</v>
      </c>
      <c r="AR10" s="38"/>
      <c r="AS10" s="38"/>
      <c r="AT10" s="38"/>
      <c r="AU10" s="38"/>
      <c r="AV10" s="38"/>
      <c r="AW10" s="38"/>
      <c r="AX10" s="38"/>
      <c r="AY10" s="38"/>
      <c r="AZ10" s="39" t="str">
        <f t="shared" si="39"/>
        <v/>
      </c>
      <c r="BA10" s="39" t="str">
        <f t="shared" si="40"/>
        <v/>
      </c>
      <c r="BB10" s="147"/>
    </row>
    <row r="11" spans="1:54" x14ac:dyDescent="0.25">
      <c r="A11" s="336">
        <v>1</v>
      </c>
      <c r="B11" s="229">
        <f>SUM($A$2:$A11)</f>
        <v>10</v>
      </c>
      <c r="C11" s="161" t="s">
        <v>594</v>
      </c>
      <c r="D11" s="161" t="s">
        <v>575</v>
      </c>
      <c r="E11" s="161" t="s">
        <v>574</v>
      </c>
      <c r="F11" s="161" t="s">
        <v>606</v>
      </c>
      <c r="G11" s="161"/>
      <c r="H11" s="161" t="s">
        <v>560</v>
      </c>
      <c r="I11" s="45" t="str">
        <f t="shared" si="0"/>
        <v>DCS.Bldg.Admin.Print.perPage</v>
      </c>
      <c r="J11" s="45"/>
      <c r="K11" s="108"/>
      <c r="L11" s="108"/>
      <c r="M11" s="118">
        <v>1</v>
      </c>
      <c r="N11" s="119"/>
      <c r="O11" s="119"/>
      <c r="P11" s="119"/>
      <c r="Q11" s="119"/>
      <c r="R11" s="120">
        <v>0.5</v>
      </c>
      <c r="S11" s="120">
        <f t="shared" si="1"/>
        <v>0.5</v>
      </c>
      <c r="T11" s="108">
        <v>1</v>
      </c>
      <c r="U11" s="120">
        <f t="shared" si="8"/>
        <v>0.5</v>
      </c>
      <c r="V11" s="120"/>
      <c r="W11" s="120">
        <v>0</v>
      </c>
      <c r="X11" s="120">
        <f t="shared" si="9"/>
        <v>0.5</v>
      </c>
      <c r="Y11" s="239"/>
      <c r="Z11" s="32"/>
      <c r="AA11" s="208">
        <v>1</v>
      </c>
      <c r="AB11" s="44">
        <f t="shared" si="2"/>
        <v>0.5</v>
      </c>
      <c r="AC11" s="45" t="s">
        <v>108</v>
      </c>
      <c r="AD11" s="38"/>
      <c r="AE11" s="38"/>
      <c r="AF11" s="38"/>
      <c r="AG11" s="38"/>
      <c r="AH11" s="38"/>
      <c r="AI11" s="38"/>
      <c r="AJ11" s="38"/>
      <c r="AK11" s="38"/>
      <c r="AL11" s="39" t="str">
        <f t="shared" si="3"/>
        <v/>
      </c>
      <c r="AM11" s="39" t="str">
        <f t="shared" si="4"/>
        <v/>
      </c>
      <c r="AN11" s="32"/>
      <c r="AO11" s="51">
        <f t="shared" si="10"/>
        <v>0</v>
      </c>
      <c r="AP11" s="52">
        <f t="shared" si="5"/>
        <v>0</v>
      </c>
      <c r="AQ11" s="53" t="s">
        <v>42</v>
      </c>
      <c r="AR11" s="38"/>
      <c r="AS11" s="38"/>
      <c r="AT11" s="38"/>
      <c r="AU11" s="38"/>
      <c r="AV11" s="38"/>
      <c r="AW11" s="38"/>
      <c r="AX11" s="38"/>
      <c r="AY11" s="38"/>
      <c r="AZ11" s="39" t="str">
        <f t="shared" si="39"/>
        <v/>
      </c>
      <c r="BA11" s="39" t="str">
        <f t="shared" si="40"/>
        <v/>
      </c>
      <c r="BB11" s="147"/>
    </row>
    <row r="12" spans="1:54" x14ac:dyDescent="0.25">
      <c r="A12" s="336">
        <v>1</v>
      </c>
      <c r="B12" s="229">
        <f>SUM($A$2:$A12)</f>
        <v>11</v>
      </c>
      <c r="C12" s="161" t="s">
        <v>594</v>
      </c>
      <c r="D12" s="161" t="s">
        <v>575</v>
      </c>
      <c r="E12" s="161" t="s">
        <v>574</v>
      </c>
      <c r="F12" s="161" t="s">
        <v>607</v>
      </c>
      <c r="G12" s="161"/>
      <c r="H12" s="161" t="s">
        <v>560</v>
      </c>
      <c r="I12" s="45" t="str">
        <f t="shared" si="0"/>
        <v>DCS.Bldg.Admin.Scan.perPage</v>
      </c>
      <c r="J12" s="45"/>
      <c r="K12" s="108"/>
      <c r="L12" s="108"/>
      <c r="M12" s="118">
        <v>1</v>
      </c>
      <c r="N12" s="119"/>
      <c r="O12" s="119"/>
      <c r="P12" s="119"/>
      <c r="Q12" s="119"/>
      <c r="R12" s="120">
        <v>5</v>
      </c>
      <c r="S12" s="120">
        <f t="shared" si="1"/>
        <v>5</v>
      </c>
      <c r="T12" s="108">
        <v>1</v>
      </c>
      <c r="U12" s="120">
        <f t="shared" si="8"/>
        <v>5</v>
      </c>
      <c r="V12" s="120"/>
      <c r="W12" s="120">
        <v>0</v>
      </c>
      <c r="X12" s="120">
        <f t="shared" si="9"/>
        <v>5</v>
      </c>
      <c r="Y12" s="239"/>
      <c r="Z12" s="32"/>
      <c r="AA12" s="208">
        <v>1</v>
      </c>
      <c r="AB12" s="44">
        <f t="shared" si="2"/>
        <v>5</v>
      </c>
      <c r="AC12" s="45" t="s">
        <v>108</v>
      </c>
      <c r="AD12" s="38"/>
      <c r="AE12" s="38"/>
      <c r="AF12" s="38"/>
      <c r="AG12" s="38"/>
      <c r="AH12" s="38"/>
      <c r="AI12" s="38"/>
      <c r="AJ12" s="38"/>
      <c r="AK12" s="38"/>
      <c r="AL12" s="39" t="str">
        <f t="shared" si="3"/>
        <v/>
      </c>
      <c r="AM12" s="39" t="str">
        <f t="shared" si="4"/>
        <v/>
      </c>
      <c r="AN12" s="32"/>
      <c r="AO12" s="51">
        <f t="shared" si="10"/>
        <v>0</v>
      </c>
      <c r="AP12" s="52">
        <f t="shared" si="5"/>
        <v>0</v>
      </c>
      <c r="AQ12" s="53" t="s">
        <v>42</v>
      </c>
      <c r="AR12" s="38"/>
      <c r="AS12" s="38"/>
      <c r="AT12" s="38"/>
      <c r="AU12" s="38"/>
      <c r="AV12" s="38"/>
      <c r="AW12" s="38"/>
      <c r="AX12" s="38"/>
      <c r="AY12" s="38"/>
      <c r="AZ12" s="39" t="str">
        <f t="shared" si="39"/>
        <v/>
      </c>
      <c r="BA12" s="39" t="str">
        <f t="shared" si="40"/>
        <v/>
      </c>
      <c r="BB12" s="147"/>
    </row>
    <row r="13" spans="1:54" x14ac:dyDescent="0.25">
      <c r="A13" s="336">
        <v>1</v>
      </c>
      <c r="B13" s="229">
        <f>SUM($A$2:$A13)</f>
        <v>12</v>
      </c>
      <c r="C13" s="161" t="s">
        <v>594</v>
      </c>
      <c r="D13" s="161" t="s">
        <v>575</v>
      </c>
      <c r="E13" s="161" t="s">
        <v>574</v>
      </c>
      <c r="F13" s="161" t="s">
        <v>607</v>
      </c>
      <c r="G13" s="161"/>
      <c r="H13" s="161" t="s">
        <v>560</v>
      </c>
      <c r="I13" s="45" t="str">
        <f t="shared" si="0"/>
        <v>DCS.Bldg.Admin.Scan.perPage</v>
      </c>
      <c r="J13" s="45"/>
      <c r="K13" s="108"/>
      <c r="L13" s="108"/>
      <c r="M13" s="118">
        <v>1</v>
      </c>
      <c r="N13" s="119"/>
      <c r="O13" s="119"/>
      <c r="P13" s="119"/>
      <c r="Q13" s="119"/>
      <c r="R13" s="120">
        <v>1</v>
      </c>
      <c r="S13" s="120">
        <f t="shared" si="1"/>
        <v>1</v>
      </c>
      <c r="T13" s="108">
        <v>1</v>
      </c>
      <c r="U13" s="120">
        <f t="shared" si="8"/>
        <v>1</v>
      </c>
      <c r="V13" s="120"/>
      <c r="W13" s="120">
        <v>0</v>
      </c>
      <c r="X13" s="120">
        <f t="shared" si="9"/>
        <v>1</v>
      </c>
      <c r="Y13" s="239"/>
      <c r="Z13" s="32"/>
      <c r="AA13" s="208">
        <v>1</v>
      </c>
      <c r="AB13" s="44">
        <f t="shared" si="2"/>
        <v>1</v>
      </c>
      <c r="AC13" s="45" t="s">
        <v>108</v>
      </c>
      <c r="AD13" s="38"/>
      <c r="AE13" s="38"/>
      <c r="AF13" s="38"/>
      <c r="AG13" s="38"/>
      <c r="AH13" s="38"/>
      <c r="AI13" s="38"/>
      <c r="AJ13" s="38"/>
      <c r="AK13" s="38"/>
      <c r="AL13" s="39" t="str">
        <f t="shared" si="3"/>
        <v/>
      </c>
      <c r="AM13" s="39" t="str">
        <f t="shared" si="4"/>
        <v/>
      </c>
      <c r="AN13" s="32"/>
      <c r="AO13" s="51">
        <f t="shared" si="10"/>
        <v>0</v>
      </c>
      <c r="AP13" s="52">
        <f t="shared" si="5"/>
        <v>0</v>
      </c>
      <c r="AQ13" s="53" t="s">
        <v>42</v>
      </c>
      <c r="AR13" s="38"/>
      <c r="AS13" s="38"/>
      <c r="AT13" s="38"/>
      <c r="AU13" s="38"/>
      <c r="AV13" s="38"/>
      <c r="AW13" s="38"/>
      <c r="AX13" s="38"/>
      <c r="AY13" s="38"/>
      <c r="AZ13" s="39" t="str">
        <f t="shared" si="39"/>
        <v/>
      </c>
      <c r="BA13" s="39" t="str">
        <f t="shared" si="40"/>
        <v/>
      </c>
      <c r="BB13" s="147"/>
    </row>
    <row r="14" spans="1:54" x14ac:dyDescent="0.25">
      <c r="A14" s="336">
        <v>1</v>
      </c>
      <c r="B14" s="229">
        <f>SUM($A$2:$A14)</f>
        <v>13</v>
      </c>
      <c r="C14" s="161" t="s">
        <v>594</v>
      </c>
      <c r="D14" s="161" t="s">
        <v>575</v>
      </c>
      <c r="E14" s="161" t="s">
        <v>574</v>
      </c>
      <c r="F14" s="161" t="s">
        <v>607</v>
      </c>
      <c r="G14" s="161"/>
      <c r="H14" s="161" t="s">
        <v>560</v>
      </c>
      <c r="I14" s="45" t="str">
        <f t="shared" si="0"/>
        <v>DCS.Bldg.Admin.Scan.perPage</v>
      </c>
      <c r="J14" s="45"/>
      <c r="K14" s="108"/>
      <c r="L14" s="108"/>
      <c r="M14" s="118">
        <v>1</v>
      </c>
      <c r="N14" s="119"/>
      <c r="O14" s="119"/>
      <c r="P14" s="119"/>
      <c r="Q14" s="119"/>
      <c r="R14" s="120">
        <v>0.5</v>
      </c>
      <c r="S14" s="120">
        <f t="shared" si="1"/>
        <v>0.5</v>
      </c>
      <c r="T14" s="108">
        <v>1</v>
      </c>
      <c r="U14" s="120">
        <f t="shared" si="8"/>
        <v>0.5</v>
      </c>
      <c r="V14" s="120"/>
      <c r="W14" s="120">
        <v>0</v>
      </c>
      <c r="X14" s="120">
        <f t="shared" si="9"/>
        <v>0.5</v>
      </c>
      <c r="Y14" s="239"/>
      <c r="Z14" s="32"/>
      <c r="AA14" s="208">
        <v>1</v>
      </c>
      <c r="AB14" s="44">
        <f t="shared" si="2"/>
        <v>0.5</v>
      </c>
      <c r="AC14" s="45" t="s">
        <v>108</v>
      </c>
      <c r="AD14" s="38"/>
      <c r="AE14" s="38"/>
      <c r="AF14" s="38"/>
      <c r="AG14" s="38"/>
      <c r="AH14" s="38"/>
      <c r="AI14" s="38"/>
      <c r="AJ14" s="38"/>
      <c r="AK14" s="38"/>
      <c r="AL14" s="39" t="str">
        <f t="shared" si="3"/>
        <v/>
      </c>
      <c r="AM14" s="39" t="str">
        <f t="shared" si="4"/>
        <v/>
      </c>
      <c r="AN14" s="32"/>
      <c r="AO14" s="51">
        <f t="shared" si="10"/>
        <v>0</v>
      </c>
      <c r="AP14" s="52">
        <f t="shared" si="5"/>
        <v>0</v>
      </c>
      <c r="AQ14" s="53" t="s">
        <v>42</v>
      </c>
      <c r="AR14" s="38"/>
      <c r="AS14" s="38"/>
      <c r="AT14" s="38"/>
      <c r="AU14" s="38"/>
      <c r="AV14" s="38"/>
      <c r="AW14" s="38"/>
      <c r="AX14" s="38"/>
      <c r="AY14" s="38"/>
      <c r="AZ14" s="39" t="str">
        <f t="shared" si="39"/>
        <v/>
      </c>
      <c r="BA14" s="39" t="str">
        <f t="shared" si="40"/>
        <v/>
      </c>
      <c r="BB14" s="147"/>
    </row>
    <row r="15" spans="1:54" x14ac:dyDescent="0.25">
      <c r="A15" s="336">
        <v>1</v>
      </c>
      <c r="B15" s="229">
        <f>SUM($A$2:$A15)</f>
        <v>14</v>
      </c>
      <c r="C15" s="161" t="s">
        <v>594</v>
      </c>
      <c r="D15" s="161" t="s">
        <v>575</v>
      </c>
      <c r="E15" s="161" t="s">
        <v>574</v>
      </c>
      <c r="F15" s="161"/>
      <c r="G15" s="161"/>
      <c r="H15" s="161" t="s">
        <v>582</v>
      </c>
      <c r="I15" s="104" t="str">
        <f t="shared" si="0"/>
        <v>DCS.Bldg.Admin.Hrs</v>
      </c>
      <c r="J15" s="104"/>
      <c r="K15" s="108"/>
      <c r="L15" s="108"/>
      <c r="M15" s="121">
        <v>1</v>
      </c>
      <c r="N15" s="122">
        <v>1</v>
      </c>
      <c r="O15" s="122"/>
      <c r="P15" s="122"/>
      <c r="Q15" s="122"/>
      <c r="R15" s="123">
        <v>130</v>
      </c>
      <c r="S15" s="123">
        <f t="shared" si="1"/>
        <v>130</v>
      </c>
      <c r="T15" s="108">
        <v>1</v>
      </c>
      <c r="U15" s="123">
        <f t="shared" si="8"/>
        <v>130</v>
      </c>
      <c r="V15" s="123"/>
      <c r="W15" s="123">
        <v>0</v>
      </c>
      <c r="X15" s="123">
        <f t="shared" si="9"/>
        <v>130</v>
      </c>
      <c r="Y15" s="239"/>
      <c r="Z15" s="32"/>
      <c r="AA15" s="208">
        <v>1</v>
      </c>
      <c r="AB15" s="44">
        <f t="shared" si="2"/>
        <v>130</v>
      </c>
      <c r="AC15" s="45" t="s">
        <v>108</v>
      </c>
      <c r="AD15" s="38">
        <v>6031</v>
      </c>
      <c r="AE15" s="38">
        <v>2975</v>
      </c>
      <c r="AF15" s="38">
        <v>120021</v>
      </c>
      <c r="AG15" s="38">
        <v>401310</v>
      </c>
      <c r="AH15" s="38"/>
      <c r="AI15" s="38" t="s">
        <v>217</v>
      </c>
      <c r="AJ15" s="38"/>
      <c r="AK15" s="38"/>
      <c r="AL15" s="39" t="str">
        <f>CONCATENATE(AD15,AE15,AF15,AG15)</f>
        <v>60312975120021401310</v>
      </c>
      <c r="AM15" s="39" t="str">
        <f>CONCATENATE(AD15,AE15,AF15,AG15)</f>
        <v>60312975120021401310</v>
      </c>
      <c r="AN15" s="32"/>
      <c r="AO15" s="51">
        <f t="shared" si="10"/>
        <v>0</v>
      </c>
      <c r="AP15" s="52">
        <f t="shared" si="5"/>
        <v>0</v>
      </c>
      <c r="AQ15" s="53" t="s">
        <v>42</v>
      </c>
      <c r="AR15" s="38"/>
      <c r="AS15" s="38"/>
      <c r="AT15" s="38"/>
      <c r="AU15" s="38"/>
      <c r="AV15" s="38"/>
      <c r="AW15" s="38"/>
      <c r="AX15" s="38"/>
      <c r="AY15" s="38"/>
      <c r="AZ15" s="39"/>
      <c r="BA15" s="39"/>
      <c r="BB15" s="147"/>
    </row>
    <row r="16" spans="1:54" x14ac:dyDescent="0.25">
      <c r="A16" s="336">
        <v>1</v>
      </c>
      <c r="B16" s="229">
        <f>SUM($A$2:$A16)</f>
        <v>15</v>
      </c>
      <c r="C16" s="161" t="s">
        <v>594</v>
      </c>
      <c r="D16" s="161" t="s">
        <v>575</v>
      </c>
      <c r="E16" s="161" t="s">
        <v>576</v>
      </c>
      <c r="F16" s="161" t="s">
        <v>583</v>
      </c>
      <c r="G16" s="161"/>
      <c r="H16" s="161" t="s">
        <v>580</v>
      </c>
      <c r="I16" s="102" t="str">
        <f t="shared" si="0"/>
        <v>DCS.Bldg.Review.Demo.each</v>
      </c>
      <c r="J16" s="102"/>
      <c r="K16" s="108"/>
      <c r="L16" s="108"/>
      <c r="M16" s="115">
        <v>1</v>
      </c>
      <c r="N16" s="116">
        <v>0.2</v>
      </c>
      <c r="O16" s="116"/>
      <c r="P16" s="116"/>
      <c r="Q16" s="116"/>
      <c r="R16" s="117">
        <v>149</v>
      </c>
      <c r="S16" s="117">
        <f t="shared" si="1"/>
        <v>29.8</v>
      </c>
      <c r="T16" s="108">
        <v>1</v>
      </c>
      <c r="U16" s="117">
        <f t="shared" si="8"/>
        <v>29.8</v>
      </c>
      <c r="V16" s="117"/>
      <c r="W16" s="117">
        <v>0</v>
      </c>
      <c r="X16" s="117">
        <f t="shared" si="9"/>
        <v>29.8</v>
      </c>
      <c r="Y16" s="239"/>
      <c r="Z16" s="32"/>
      <c r="AA16" s="208">
        <v>1</v>
      </c>
      <c r="AB16" s="44">
        <f t="shared" si="2"/>
        <v>29.8</v>
      </c>
      <c r="AC16" s="45" t="s">
        <v>108</v>
      </c>
      <c r="AD16" s="38"/>
      <c r="AE16" s="38"/>
      <c r="AF16" s="38"/>
      <c r="AG16" s="38"/>
      <c r="AH16" s="38"/>
      <c r="AI16" s="38"/>
      <c r="AJ16" s="38"/>
      <c r="AK16" s="38"/>
      <c r="AL16" s="39" t="str">
        <f t="shared" ref="AL16:AL72" si="41">CONCATENATE(AD16,AE16,AF16,AG16)</f>
        <v/>
      </c>
      <c r="AM16" s="39" t="str">
        <f t="shared" ref="AM16:AM72" si="42">CONCATENATE(AD16,AE16,AF16,AG16)</f>
        <v/>
      </c>
      <c r="AN16" s="32"/>
      <c r="AO16" s="51">
        <f t="shared" si="10"/>
        <v>0</v>
      </c>
      <c r="AP16" s="52">
        <f t="shared" si="5"/>
        <v>0</v>
      </c>
      <c r="AQ16" s="53" t="s">
        <v>42</v>
      </c>
      <c r="AR16" s="38"/>
      <c r="AS16" s="38"/>
      <c r="AT16" s="38"/>
      <c r="AU16" s="38"/>
      <c r="AV16" s="38"/>
      <c r="AW16" s="38"/>
      <c r="AX16" s="38"/>
      <c r="AY16" s="38"/>
      <c r="AZ16" s="39" t="str">
        <f t="shared" ref="AZ16:AZ72" si="43">CONCATENATE(AR16,AS16,AT16,AU16)</f>
        <v/>
      </c>
      <c r="BA16" s="39" t="str">
        <f t="shared" ref="BA16:BA72" si="44">CONCATENATE(AR16,AS16,AT16,AU16)</f>
        <v/>
      </c>
      <c r="BB16" s="147"/>
    </row>
    <row r="17" spans="1:54" x14ac:dyDescent="0.25">
      <c r="A17" s="336">
        <v>1</v>
      </c>
      <c r="B17" s="229">
        <f>SUM($A$2:$A17)</f>
        <v>16</v>
      </c>
      <c r="C17" s="161" t="s">
        <v>594</v>
      </c>
      <c r="D17" s="161" t="s">
        <v>575</v>
      </c>
      <c r="E17" s="161" t="s">
        <v>576</v>
      </c>
      <c r="F17" s="161" t="s">
        <v>584</v>
      </c>
      <c r="G17" s="161"/>
      <c r="H17" s="161" t="s">
        <v>225</v>
      </c>
      <c r="I17" s="102" t="str">
        <f t="shared" si="0"/>
        <v>DCS.Bldg.Review.Grading.Valuation</v>
      </c>
      <c r="J17" s="102"/>
      <c r="K17" s="108"/>
      <c r="L17" s="108"/>
      <c r="M17" s="115">
        <v>1</v>
      </c>
      <c r="N17" s="116"/>
      <c r="O17" s="116"/>
      <c r="P17" s="116"/>
      <c r="Q17" s="116"/>
      <c r="R17" s="117">
        <v>149</v>
      </c>
      <c r="S17" s="117">
        <f t="shared" si="1"/>
        <v>149</v>
      </c>
      <c r="T17" s="108">
        <v>1</v>
      </c>
      <c r="U17" s="117">
        <f t="shared" si="8"/>
        <v>149</v>
      </c>
      <c r="V17" s="117"/>
      <c r="W17" s="117">
        <v>0</v>
      </c>
      <c r="X17" s="117">
        <f t="shared" si="9"/>
        <v>149</v>
      </c>
      <c r="Y17" s="239"/>
      <c r="Z17" s="32"/>
      <c r="AA17" s="208">
        <v>1</v>
      </c>
      <c r="AB17" s="44">
        <f t="shared" si="2"/>
        <v>149</v>
      </c>
      <c r="AC17" s="45" t="s">
        <v>108</v>
      </c>
      <c r="AD17" s="38"/>
      <c r="AE17" s="38"/>
      <c r="AF17" s="38"/>
      <c r="AG17" s="38"/>
      <c r="AH17" s="38"/>
      <c r="AI17" s="38"/>
      <c r="AJ17" s="38"/>
      <c r="AK17" s="38"/>
      <c r="AL17" s="39" t="str">
        <f t="shared" si="41"/>
        <v/>
      </c>
      <c r="AM17" s="39" t="str">
        <f t="shared" si="42"/>
        <v/>
      </c>
      <c r="AN17" s="32"/>
      <c r="AO17" s="51">
        <f t="shared" si="10"/>
        <v>0</v>
      </c>
      <c r="AP17" s="52">
        <f t="shared" si="5"/>
        <v>0</v>
      </c>
      <c r="AQ17" s="53" t="s">
        <v>42</v>
      </c>
      <c r="AR17" s="38"/>
      <c r="AS17" s="38"/>
      <c r="AT17" s="38"/>
      <c r="AU17" s="38"/>
      <c r="AV17" s="38"/>
      <c r="AW17" s="38"/>
      <c r="AX17" s="38"/>
      <c r="AY17" s="38"/>
      <c r="AZ17" s="39" t="str">
        <f t="shared" si="43"/>
        <v/>
      </c>
      <c r="BA17" s="39" t="str">
        <f t="shared" si="44"/>
        <v/>
      </c>
      <c r="BB17" s="147"/>
    </row>
    <row r="18" spans="1:54" x14ac:dyDescent="0.25">
      <c r="A18" s="336">
        <v>1</v>
      </c>
      <c r="B18" s="229">
        <f>SUM($A$2:$A18)</f>
        <v>17</v>
      </c>
      <c r="C18" s="161" t="s">
        <v>594</v>
      </c>
      <c r="D18" s="161" t="s">
        <v>575</v>
      </c>
      <c r="E18" s="161" t="s">
        <v>576</v>
      </c>
      <c r="F18" s="161" t="s">
        <v>585</v>
      </c>
      <c r="G18" s="161"/>
      <c r="H18" s="161" t="s">
        <v>580</v>
      </c>
      <c r="I18" s="102" t="str">
        <f t="shared" si="0"/>
        <v>DCS.Bldg.Review.Pool.each</v>
      </c>
      <c r="J18" s="102"/>
      <c r="K18" s="108"/>
      <c r="L18" s="108"/>
      <c r="M18" s="115">
        <v>1</v>
      </c>
      <c r="N18" s="116"/>
      <c r="O18" s="116"/>
      <c r="P18" s="116"/>
      <c r="Q18" s="116"/>
      <c r="R18" s="117">
        <v>149</v>
      </c>
      <c r="S18" s="117">
        <f t="shared" si="1"/>
        <v>149</v>
      </c>
      <c r="T18" s="108">
        <v>1</v>
      </c>
      <c r="U18" s="117">
        <f t="shared" si="8"/>
        <v>149</v>
      </c>
      <c r="V18" s="117"/>
      <c r="W18" s="117">
        <v>0</v>
      </c>
      <c r="X18" s="117">
        <f t="shared" si="9"/>
        <v>149</v>
      </c>
      <c r="Y18" s="239"/>
      <c r="Z18" s="32"/>
      <c r="AA18" s="208">
        <v>1</v>
      </c>
      <c r="AB18" s="44">
        <f t="shared" si="2"/>
        <v>149</v>
      </c>
      <c r="AC18" s="45" t="s">
        <v>108</v>
      </c>
      <c r="AD18" s="38"/>
      <c r="AE18" s="38"/>
      <c r="AF18" s="38"/>
      <c r="AG18" s="38"/>
      <c r="AH18" s="38"/>
      <c r="AI18" s="38"/>
      <c r="AJ18" s="38"/>
      <c r="AK18" s="38"/>
      <c r="AL18" s="39" t="str">
        <f t="shared" si="41"/>
        <v/>
      </c>
      <c r="AM18" s="39" t="str">
        <f t="shared" si="42"/>
        <v/>
      </c>
      <c r="AN18" s="32"/>
      <c r="AO18" s="51">
        <f t="shared" si="10"/>
        <v>0</v>
      </c>
      <c r="AP18" s="52">
        <f t="shared" si="5"/>
        <v>0</v>
      </c>
      <c r="AQ18" s="53" t="s">
        <v>42</v>
      </c>
      <c r="AR18" s="38"/>
      <c r="AS18" s="38"/>
      <c r="AT18" s="38"/>
      <c r="AU18" s="38"/>
      <c r="AV18" s="38"/>
      <c r="AW18" s="38"/>
      <c r="AX18" s="38"/>
      <c r="AY18" s="38"/>
      <c r="AZ18" s="39" t="str">
        <f t="shared" si="43"/>
        <v/>
      </c>
      <c r="BA18" s="39" t="str">
        <f t="shared" si="44"/>
        <v/>
      </c>
      <c r="BB18" s="147"/>
    </row>
    <row r="19" spans="1:54" x14ac:dyDescent="0.25">
      <c r="A19" s="336">
        <v>1</v>
      </c>
      <c r="B19" s="229">
        <f>SUM($A$2:$A19)</f>
        <v>18</v>
      </c>
      <c r="C19" s="161" t="s">
        <v>594</v>
      </c>
      <c r="D19" s="161" t="s">
        <v>575</v>
      </c>
      <c r="E19" s="161" t="s">
        <v>576</v>
      </c>
      <c r="F19" s="161" t="s">
        <v>586</v>
      </c>
      <c r="G19" s="161"/>
      <c r="H19" s="161" t="s">
        <v>580</v>
      </c>
      <c r="I19" s="102" t="str">
        <f t="shared" si="0"/>
        <v>DCS.Bldg.Review.T25.each</v>
      </c>
      <c r="J19" s="102"/>
      <c r="K19" s="108"/>
      <c r="L19" s="108"/>
      <c r="M19" s="115">
        <v>1</v>
      </c>
      <c r="N19" s="116"/>
      <c r="O19" s="116"/>
      <c r="P19" s="116"/>
      <c r="Q19" s="116"/>
      <c r="R19" s="117">
        <v>149</v>
      </c>
      <c r="S19" s="117">
        <f t="shared" si="1"/>
        <v>149</v>
      </c>
      <c r="T19" s="108">
        <v>1</v>
      </c>
      <c r="U19" s="117">
        <f t="shared" si="8"/>
        <v>149</v>
      </c>
      <c r="V19" s="117"/>
      <c r="W19" s="117">
        <v>0</v>
      </c>
      <c r="X19" s="117">
        <f t="shared" si="9"/>
        <v>149</v>
      </c>
      <c r="Y19" s="239"/>
      <c r="Z19" s="32"/>
      <c r="AA19" s="208">
        <v>1</v>
      </c>
      <c r="AB19" s="44">
        <f t="shared" si="2"/>
        <v>149</v>
      </c>
      <c r="AC19" s="45" t="s">
        <v>108</v>
      </c>
      <c r="AD19" s="38"/>
      <c r="AE19" s="38"/>
      <c r="AF19" s="38"/>
      <c r="AG19" s="38"/>
      <c r="AH19" s="38"/>
      <c r="AI19" s="38"/>
      <c r="AJ19" s="38"/>
      <c r="AK19" s="38"/>
      <c r="AL19" s="39" t="str">
        <f t="shared" si="41"/>
        <v/>
      </c>
      <c r="AM19" s="39" t="str">
        <f t="shared" si="42"/>
        <v/>
      </c>
      <c r="AN19" s="32"/>
      <c r="AO19" s="51">
        <f t="shared" si="10"/>
        <v>0</v>
      </c>
      <c r="AP19" s="52">
        <f t="shared" si="5"/>
        <v>0</v>
      </c>
      <c r="AQ19" s="53" t="s">
        <v>42</v>
      </c>
      <c r="AR19" s="38"/>
      <c r="AS19" s="38"/>
      <c r="AT19" s="38"/>
      <c r="AU19" s="38"/>
      <c r="AV19" s="38"/>
      <c r="AW19" s="38"/>
      <c r="AX19" s="38"/>
      <c r="AY19" s="38"/>
      <c r="AZ19" s="39" t="str">
        <f t="shared" si="43"/>
        <v/>
      </c>
      <c r="BA19" s="39" t="str">
        <f t="shared" si="44"/>
        <v/>
      </c>
      <c r="BB19" s="147"/>
    </row>
    <row r="20" spans="1:54" x14ac:dyDescent="0.25">
      <c r="A20" s="336">
        <v>1</v>
      </c>
      <c r="B20" s="229">
        <f>SUM($A$2:$A20)</f>
        <v>19</v>
      </c>
      <c r="C20" s="161" t="s">
        <v>594</v>
      </c>
      <c r="D20" s="161" t="s">
        <v>575</v>
      </c>
      <c r="E20" s="161" t="s">
        <v>576</v>
      </c>
      <c r="F20" s="161" t="s">
        <v>587</v>
      </c>
      <c r="G20" s="161"/>
      <c r="H20" s="161" t="s">
        <v>225</v>
      </c>
      <c r="I20" s="102" t="str">
        <f t="shared" si="0"/>
        <v>DCS.Bldg.Review.Electrical.Valuation</v>
      </c>
      <c r="J20" s="102"/>
      <c r="K20" s="108"/>
      <c r="L20" s="108"/>
      <c r="M20" s="115">
        <v>1</v>
      </c>
      <c r="N20" s="116"/>
      <c r="O20" s="116"/>
      <c r="P20" s="116"/>
      <c r="Q20" s="116"/>
      <c r="R20" s="117">
        <v>149</v>
      </c>
      <c r="S20" s="117">
        <f t="shared" si="1"/>
        <v>149</v>
      </c>
      <c r="T20" s="108">
        <v>1</v>
      </c>
      <c r="U20" s="117">
        <f t="shared" si="8"/>
        <v>149</v>
      </c>
      <c r="V20" s="117"/>
      <c r="W20" s="117">
        <v>0</v>
      </c>
      <c r="X20" s="117">
        <f t="shared" si="9"/>
        <v>149</v>
      </c>
      <c r="Y20" s="239"/>
      <c r="Z20" s="32"/>
      <c r="AA20" s="208">
        <v>1</v>
      </c>
      <c r="AB20" s="44">
        <f t="shared" si="2"/>
        <v>149</v>
      </c>
      <c r="AC20" s="45" t="s">
        <v>108</v>
      </c>
      <c r="AD20" s="38"/>
      <c r="AE20" s="38"/>
      <c r="AF20" s="38"/>
      <c r="AG20" s="38"/>
      <c r="AH20" s="38"/>
      <c r="AI20" s="38"/>
      <c r="AJ20" s="38"/>
      <c r="AK20" s="38"/>
      <c r="AL20" s="39" t="str">
        <f t="shared" si="41"/>
        <v/>
      </c>
      <c r="AM20" s="39" t="str">
        <f t="shared" si="42"/>
        <v/>
      </c>
      <c r="AN20" s="32"/>
      <c r="AO20" s="51">
        <f t="shared" si="10"/>
        <v>0</v>
      </c>
      <c r="AP20" s="52">
        <f t="shared" si="5"/>
        <v>0</v>
      </c>
      <c r="AQ20" s="53" t="s">
        <v>42</v>
      </c>
      <c r="AR20" s="38"/>
      <c r="AS20" s="38"/>
      <c r="AT20" s="38"/>
      <c r="AU20" s="38"/>
      <c r="AV20" s="38"/>
      <c r="AW20" s="38"/>
      <c r="AX20" s="38"/>
      <c r="AY20" s="38"/>
      <c r="AZ20" s="39" t="str">
        <f t="shared" si="43"/>
        <v/>
      </c>
      <c r="BA20" s="39" t="str">
        <f t="shared" si="44"/>
        <v/>
      </c>
      <c r="BB20" s="147"/>
    </row>
    <row r="21" spans="1:54" x14ac:dyDescent="0.25">
      <c r="A21" s="336">
        <v>1</v>
      </c>
      <c r="B21" s="229">
        <f>SUM($A$2:$A21)</f>
        <v>20</v>
      </c>
      <c r="C21" s="161" t="s">
        <v>594</v>
      </c>
      <c r="D21" s="161" t="s">
        <v>575</v>
      </c>
      <c r="E21" s="161" t="s">
        <v>576</v>
      </c>
      <c r="F21" s="161" t="s">
        <v>588</v>
      </c>
      <c r="G21" s="161"/>
      <c r="H21" s="161" t="s">
        <v>225</v>
      </c>
      <c r="I21" s="102" t="str">
        <f t="shared" si="0"/>
        <v>DCS.Bldg.Review.Mechanical.Valuation</v>
      </c>
      <c r="J21" s="102"/>
      <c r="K21" s="108"/>
      <c r="L21" s="108"/>
      <c r="M21" s="115">
        <v>1</v>
      </c>
      <c r="N21" s="116"/>
      <c r="O21" s="116"/>
      <c r="P21" s="116"/>
      <c r="Q21" s="116"/>
      <c r="R21" s="117">
        <v>149</v>
      </c>
      <c r="S21" s="117">
        <f t="shared" si="1"/>
        <v>149</v>
      </c>
      <c r="T21" s="108">
        <v>1</v>
      </c>
      <c r="U21" s="117">
        <f t="shared" si="8"/>
        <v>149</v>
      </c>
      <c r="V21" s="117"/>
      <c r="W21" s="117">
        <v>0</v>
      </c>
      <c r="X21" s="117">
        <f t="shared" si="9"/>
        <v>149</v>
      </c>
      <c r="Y21" s="239"/>
      <c r="Z21" s="32"/>
      <c r="AA21" s="208">
        <v>1</v>
      </c>
      <c r="AB21" s="44">
        <f t="shared" si="2"/>
        <v>149</v>
      </c>
      <c r="AC21" s="45" t="s">
        <v>108</v>
      </c>
      <c r="AD21" s="38"/>
      <c r="AE21" s="38"/>
      <c r="AF21" s="38"/>
      <c r="AG21" s="38"/>
      <c r="AH21" s="38"/>
      <c r="AI21" s="38"/>
      <c r="AJ21" s="38"/>
      <c r="AK21" s="38"/>
      <c r="AL21" s="39" t="str">
        <f t="shared" si="41"/>
        <v/>
      </c>
      <c r="AM21" s="39" t="str">
        <f t="shared" si="42"/>
        <v/>
      </c>
      <c r="AN21" s="32"/>
      <c r="AO21" s="51">
        <f t="shared" si="10"/>
        <v>0</v>
      </c>
      <c r="AP21" s="52">
        <f t="shared" si="5"/>
        <v>0</v>
      </c>
      <c r="AQ21" s="53" t="s">
        <v>42</v>
      </c>
      <c r="AR21" s="38"/>
      <c r="AS21" s="38"/>
      <c r="AT21" s="38"/>
      <c r="AU21" s="38"/>
      <c r="AV21" s="38"/>
      <c r="AW21" s="38"/>
      <c r="AX21" s="38"/>
      <c r="AY21" s="38"/>
      <c r="AZ21" s="39" t="str">
        <f t="shared" si="43"/>
        <v/>
      </c>
      <c r="BA21" s="39" t="str">
        <f t="shared" si="44"/>
        <v/>
      </c>
      <c r="BB21" s="147"/>
    </row>
    <row r="22" spans="1:54" x14ac:dyDescent="0.25">
      <c r="A22" s="336">
        <v>1</v>
      </c>
      <c r="B22" s="229">
        <f>SUM($A$2:$A22)</f>
        <v>21</v>
      </c>
      <c r="C22" s="161" t="s">
        <v>594</v>
      </c>
      <c r="D22" s="161" t="s">
        <v>575</v>
      </c>
      <c r="E22" s="161" t="s">
        <v>576</v>
      </c>
      <c r="F22" s="161" t="s">
        <v>589</v>
      </c>
      <c r="G22" s="161"/>
      <c r="H22" s="161" t="s">
        <v>225</v>
      </c>
      <c r="I22" s="102" t="str">
        <f t="shared" si="0"/>
        <v>DCS.Bldg.Review.Plumbing.Valuation</v>
      </c>
      <c r="J22" s="102"/>
      <c r="K22" s="108"/>
      <c r="L22" s="108"/>
      <c r="M22" s="115">
        <v>1</v>
      </c>
      <c r="N22" s="116"/>
      <c r="O22" s="116"/>
      <c r="P22" s="116"/>
      <c r="Q22" s="116"/>
      <c r="R22" s="117">
        <v>149</v>
      </c>
      <c r="S22" s="117">
        <f t="shared" si="1"/>
        <v>149</v>
      </c>
      <c r="T22" s="108">
        <v>1</v>
      </c>
      <c r="U22" s="117">
        <f t="shared" si="8"/>
        <v>149</v>
      </c>
      <c r="V22" s="117"/>
      <c r="W22" s="117">
        <v>0</v>
      </c>
      <c r="X22" s="117">
        <f t="shared" si="9"/>
        <v>149</v>
      </c>
      <c r="Y22" s="239"/>
      <c r="Z22" s="32"/>
      <c r="AA22" s="208">
        <v>1</v>
      </c>
      <c r="AB22" s="44">
        <f t="shared" si="2"/>
        <v>149</v>
      </c>
      <c r="AC22" s="45" t="s">
        <v>108</v>
      </c>
      <c r="AD22" s="38"/>
      <c r="AE22" s="38"/>
      <c r="AF22" s="38"/>
      <c r="AG22" s="38"/>
      <c r="AH22" s="38"/>
      <c r="AI22" s="38"/>
      <c r="AJ22" s="38"/>
      <c r="AK22" s="38"/>
      <c r="AL22" s="39" t="str">
        <f t="shared" si="41"/>
        <v/>
      </c>
      <c r="AM22" s="39" t="str">
        <f t="shared" si="42"/>
        <v/>
      </c>
      <c r="AN22" s="32"/>
      <c r="AO22" s="51">
        <f t="shared" si="10"/>
        <v>0</v>
      </c>
      <c r="AP22" s="52">
        <f t="shared" si="5"/>
        <v>0</v>
      </c>
      <c r="AQ22" s="53" t="s">
        <v>42</v>
      </c>
      <c r="AR22" s="38"/>
      <c r="AS22" s="38"/>
      <c r="AT22" s="38"/>
      <c r="AU22" s="38"/>
      <c r="AV22" s="38"/>
      <c r="AW22" s="38"/>
      <c r="AX22" s="38"/>
      <c r="AY22" s="38"/>
      <c r="AZ22" s="39" t="str">
        <f t="shared" si="43"/>
        <v/>
      </c>
      <c r="BA22" s="39" t="str">
        <f t="shared" si="44"/>
        <v/>
      </c>
      <c r="BB22" s="147"/>
    </row>
    <row r="23" spans="1:54" x14ac:dyDescent="0.25">
      <c r="A23" s="336">
        <v>1</v>
      </c>
      <c r="B23" s="229">
        <f>SUM($A$2:$A23)</f>
        <v>22</v>
      </c>
      <c r="C23" s="161" t="s">
        <v>594</v>
      </c>
      <c r="D23" s="161" t="s">
        <v>575</v>
      </c>
      <c r="E23" s="161" t="s">
        <v>576</v>
      </c>
      <c r="F23" s="161" t="s">
        <v>590</v>
      </c>
      <c r="G23" s="161" t="s">
        <v>578</v>
      </c>
      <c r="H23" s="161" t="s">
        <v>581</v>
      </c>
      <c r="I23" s="102" t="str">
        <f t="shared" si="0"/>
        <v>DCS.Bldg.Review.Structural.Conventional.SQFT</v>
      </c>
      <c r="J23" s="102"/>
      <c r="K23" s="108"/>
      <c r="L23" s="108"/>
      <c r="M23" s="115">
        <v>1</v>
      </c>
      <c r="N23" s="116"/>
      <c r="O23" s="116"/>
      <c r="P23" s="116"/>
      <c r="Q23" s="116"/>
      <c r="R23" s="117">
        <v>149</v>
      </c>
      <c r="S23" s="117">
        <f t="shared" si="1"/>
        <v>149</v>
      </c>
      <c r="T23" s="108">
        <v>1</v>
      </c>
      <c r="U23" s="117">
        <f t="shared" si="8"/>
        <v>149</v>
      </c>
      <c r="V23" s="117"/>
      <c r="W23" s="117">
        <v>0</v>
      </c>
      <c r="X23" s="117">
        <f t="shared" si="9"/>
        <v>149</v>
      </c>
      <c r="Y23" s="239"/>
      <c r="Z23" s="32"/>
      <c r="AA23" s="208">
        <v>1</v>
      </c>
      <c r="AB23" s="44">
        <f t="shared" si="2"/>
        <v>149</v>
      </c>
      <c r="AC23" s="45" t="s">
        <v>108</v>
      </c>
      <c r="AD23" s="38"/>
      <c r="AE23" s="38"/>
      <c r="AF23" s="38"/>
      <c r="AG23" s="38"/>
      <c r="AH23" s="38"/>
      <c r="AI23" s="38"/>
      <c r="AJ23" s="38"/>
      <c r="AK23" s="38"/>
      <c r="AL23" s="39" t="str">
        <f t="shared" si="41"/>
        <v/>
      </c>
      <c r="AM23" s="39" t="str">
        <f t="shared" si="42"/>
        <v/>
      </c>
      <c r="AN23" s="32"/>
      <c r="AO23" s="51">
        <f t="shared" si="10"/>
        <v>0</v>
      </c>
      <c r="AP23" s="52">
        <f t="shared" si="5"/>
        <v>0</v>
      </c>
      <c r="AQ23" s="53" t="s">
        <v>42</v>
      </c>
      <c r="AR23" s="38"/>
      <c r="AS23" s="38"/>
      <c r="AT23" s="38"/>
      <c r="AU23" s="38"/>
      <c r="AV23" s="38"/>
      <c r="AW23" s="38"/>
      <c r="AX23" s="38"/>
      <c r="AY23" s="38"/>
      <c r="AZ23" s="39" t="str">
        <f t="shared" si="43"/>
        <v/>
      </c>
      <c r="BA23" s="39" t="str">
        <f t="shared" si="44"/>
        <v/>
      </c>
      <c r="BB23" s="147"/>
    </row>
    <row r="24" spans="1:54" x14ac:dyDescent="0.25">
      <c r="A24" s="336">
        <v>1</v>
      </c>
      <c r="B24" s="229">
        <f>SUM($A$2:$A24)</f>
        <v>23</v>
      </c>
      <c r="C24" s="161" t="s">
        <v>594</v>
      </c>
      <c r="D24" s="161" t="s">
        <v>575</v>
      </c>
      <c r="E24" s="161" t="s">
        <v>576</v>
      </c>
      <c r="F24" s="161" t="s">
        <v>590</v>
      </c>
      <c r="G24" s="161" t="s">
        <v>591</v>
      </c>
      <c r="H24" s="161" t="s">
        <v>581</v>
      </c>
      <c r="I24" s="102" t="str">
        <f t="shared" si="0"/>
        <v>DCS.Bldg.Review.Structural.Engineering.SQFT</v>
      </c>
      <c r="J24" s="102"/>
      <c r="K24" s="108"/>
      <c r="L24" s="108"/>
      <c r="M24" s="115">
        <v>1</v>
      </c>
      <c r="N24" s="116"/>
      <c r="O24" s="116"/>
      <c r="P24" s="116"/>
      <c r="Q24" s="116"/>
      <c r="R24" s="117">
        <v>200</v>
      </c>
      <c r="S24" s="117">
        <f t="shared" si="1"/>
        <v>200</v>
      </c>
      <c r="T24" s="108">
        <v>1</v>
      </c>
      <c r="U24" s="117">
        <f t="shared" si="8"/>
        <v>200</v>
      </c>
      <c r="V24" s="117"/>
      <c r="W24" s="117">
        <v>0</v>
      </c>
      <c r="X24" s="117">
        <f t="shared" si="9"/>
        <v>200</v>
      </c>
      <c r="Y24" s="239"/>
      <c r="Z24" s="32"/>
      <c r="AA24" s="208">
        <v>1</v>
      </c>
      <c r="AB24" s="44">
        <f t="shared" si="2"/>
        <v>200</v>
      </c>
      <c r="AC24" s="45" t="s">
        <v>108</v>
      </c>
      <c r="AD24" s="38"/>
      <c r="AE24" s="38"/>
      <c r="AF24" s="38"/>
      <c r="AG24" s="38"/>
      <c r="AH24" s="38"/>
      <c r="AI24" s="38"/>
      <c r="AJ24" s="38"/>
      <c r="AK24" s="38"/>
      <c r="AL24" s="39" t="str">
        <f t="shared" si="41"/>
        <v/>
      </c>
      <c r="AM24" s="39" t="str">
        <f t="shared" si="42"/>
        <v/>
      </c>
      <c r="AN24" s="32"/>
      <c r="AO24" s="51">
        <f t="shared" si="10"/>
        <v>0</v>
      </c>
      <c r="AP24" s="52">
        <f t="shared" si="5"/>
        <v>0</v>
      </c>
      <c r="AQ24" s="53" t="s">
        <v>42</v>
      </c>
      <c r="AR24" s="38"/>
      <c r="AS24" s="38"/>
      <c r="AT24" s="38"/>
      <c r="AU24" s="38"/>
      <c r="AV24" s="38"/>
      <c r="AW24" s="38"/>
      <c r="AX24" s="38"/>
      <c r="AY24" s="38"/>
      <c r="AZ24" s="39" t="str">
        <f t="shared" si="43"/>
        <v/>
      </c>
      <c r="BA24" s="39" t="str">
        <f t="shared" si="44"/>
        <v/>
      </c>
      <c r="BB24" s="147"/>
    </row>
    <row r="25" spans="1:54" x14ac:dyDescent="0.25">
      <c r="A25" s="336">
        <v>1</v>
      </c>
      <c r="B25" s="229">
        <f>SUM($A$2:$A25)</f>
        <v>24</v>
      </c>
      <c r="C25" s="161" t="s">
        <v>594</v>
      </c>
      <c r="D25" s="161" t="s">
        <v>575</v>
      </c>
      <c r="E25" s="161" t="s">
        <v>576</v>
      </c>
      <c r="F25" s="161"/>
      <c r="G25" s="161"/>
      <c r="H25" s="161" t="s">
        <v>582</v>
      </c>
      <c r="I25" s="105" t="str">
        <f t="shared" si="0"/>
        <v>DCS.Bldg.Review.Hrs</v>
      </c>
      <c r="J25" s="105"/>
      <c r="K25" s="108"/>
      <c r="L25" s="108"/>
      <c r="M25" s="112">
        <v>0.5</v>
      </c>
      <c r="N25" s="113">
        <v>1</v>
      </c>
      <c r="O25" s="113"/>
      <c r="P25" s="113"/>
      <c r="Q25" s="113"/>
      <c r="R25" s="114">
        <v>149</v>
      </c>
      <c r="S25" s="114">
        <f t="shared" si="1"/>
        <v>74.5</v>
      </c>
      <c r="T25" s="108">
        <v>1</v>
      </c>
      <c r="U25" s="114">
        <f t="shared" si="8"/>
        <v>74.5</v>
      </c>
      <c r="V25" s="114"/>
      <c r="W25" s="114">
        <v>0</v>
      </c>
      <c r="X25" s="114">
        <f t="shared" si="9"/>
        <v>74.5</v>
      </c>
      <c r="Y25" s="239"/>
      <c r="Z25" s="32"/>
      <c r="AA25" s="208">
        <v>1</v>
      </c>
      <c r="AB25" s="44">
        <f t="shared" si="2"/>
        <v>74.5</v>
      </c>
      <c r="AC25" s="45" t="s">
        <v>108</v>
      </c>
      <c r="AD25" s="38"/>
      <c r="AE25" s="38"/>
      <c r="AF25" s="38"/>
      <c r="AG25" s="38"/>
      <c r="AH25" s="38"/>
      <c r="AI25" s="38"/>
      <c r="AJ25" s="38"/>
      <c r="AK25" s="38"/>
      <c r="AL25" s="39" t="str">
        <f t="shared" si="41"/>
        <v/>
      </c>
      <c r="AM25" s="39" t="str">
        <f t="shared" si="42"/>
        <v/>
      </c>
      <c r="AN25" s="32"/>
      <c r="AO25" s="51">
        <f t="shared" si="10"/>
        <v>0</v>
      </c>
      <c r="AP25" s="52">
        <f t="shared" si="5"/>
        <v>0</v>
      </c>
      <c r="AQ25" s="53" t="s">
        <v>42</v>
      </c>
      <c r="AR25" s="38"/>
      <c r="AS25" s="38"/>
      <c r="AT25" s="38"/>
      <c r="AU25" s="38"/>
      <c r="AV25" s="38"/>
      <c r="AW25" s="38"/>
      <c r="AX25" s="38"/>
      <c r="AY25" s="38"/>
      <c r="AZ25" s="39" t="str">
        <f t="shared" si="43"/>
        <v/>
      </c>
      <c r="BA25" s="39" t="str">
        <f t="shared" si="44"/>
        <v/>
      </c>
      <c r="BB25" s="147"/>
    </row>
    <row r="26" spans="1:54" x14ac:dyDescent="0.25">
      <c r="A26" s="336">
        <v>1</v>
      </c>
      <c r="B26" s="229">
        <f>SUM($A$2:$A26)</f>
        <v>25</v>
      </c>
      <c r="C26" s="161" t="s">
        <v>594</v>
      </c>
      <c r="D26" s="161" t="s">
        <v>575</v>
      </c>
      <c r="E26" s="161" t="s">
        <v>577</v>
      </c>
      <c r="F26" s="161"/>
      <c r="G26" s="161"/>
      <c r="H26" s="161" t="s">
        <v>580</v>
      </c>
      <c r="I26" s="103" t="str">
        <f t="shared" si="0"/>
        <v>DCS.Bldg.Insp.each</v>
      </c>
      <c r="J26" s="103"/>
      <c r="K26" s="108"/>
      <c r="L26" s="108"/>
      <c r="M26" s="124">
        <v>1</v>
      </c>
      <c r="N26" s="125">
        <v>0.4</v>
      </c>
      <c r="O26" s="125"/>
      <c r="P26" s="125"/>
      <c r="Q26" s="125"/>
      <c r="R26" s="126">
        <v>149</v>
      </c>
      <c r="S26" s="126">
        <f t="shared" si="1"/>
        <v>59.6</v>
      </c>
      <c r="T26" s="108"/>
      <c r="U26" s="126">
        <f t="shared" si="8"/>
        <v>0</v>
      </c>
      <c r="V26" s="126"/>
      <c r="W26" s="126">
        <v>0</v>
      </c>
      <c r="X26" s="126">
        <f t="shared" si="9"/>
        <v>59.6</v>
      </c>
      <c r="Y26" s="239"/>
      <c r="Z26" s="32"/>
      <c r="AA26" s="208">
        <v>1</v>
      </c>
      <c r="AB26" s="44">
        <f t="shared" si="2"/>
        <v>0</v>
      </c>
      <c r="AC26" s="45" t="s">
        <v>108</v>
      </c>
      <c r="AD26" s="38"/>
      <c r="AE26" s="38"/>
      <c r="AF26" s="38"/>
      <c r="AG26" s="38"/>
      <c r="AH26" s="38"/>
      <c r="AI26" s="38"/>
      <c r="AJ26" s="38"/>
      <c r="AK26" s="38"/>
      <c r="AL26" s="39" t="str">
        <f t="shared" si="41"/>
        <v/>
      </c>
      <c r="AM26" s="39" t="str">
        <f t="shared" si="42"/>
        <v/>
      </c>
      <c r="AN26" s="32"/>
      <c r="AO26" s="51">
        <f t="shared" si="10"/>
        <v>0</v>
      </c>
      <c r="AP26" s="52">
        <f t="shared" si="5"/>
        <v>0</v>
      </c>
      <c r="AQ26" s="53" t="s">
        <v>42</v>
      </c>
      <c r="AR26" s="38"/>
      <c r="AS26" s="38"/>
      <c r="AT26" s="38"/>
      <c r="AU26" s="38"/>
      <c r="AV26" s="38"/>
      <c r="AW26" s="38"/>
      <c r="AX26" s="38"/>
      <c r="AY26" s="38"/>
      <c r="AZ26" s="39" t="str">
        <f t="shared" si="43"/>
        <v/>
      </c>
      <c r="BA26" s="39" t="str">
        <f t="shared" si="44"/>
        <v/>
      </c>
      <c r="BB26" s="147"/>
    </row>
    <row r="27" spans="1:54" x14ac:dyDescent="0.25">
      <c r="A27" s="336">
        <v>1</v>
      </c>
      <c r="B27" s="229">
        <f>SUM($A$2:$A27)</f>
        <v>26</v>
      </c>
      <c r="C27" s="161" t="s">
        <v>594</v>
      </c>
      <c r="D27" s="161" t="s">
        <v>575</v>
      </c>
      <c r="E27" s="161" t="s">
        <v>577</v>
      </c>
      <c r="F27" s="161"/>
      <c r="G27" s="161"/>
      <c r="H27" s="161" t="s">
        <v>580</v>
      </c>
      <c r="I27" s="103" t="str">
        <f t="shared" si="0"/>
        <v>DCS.Bldg.Insp.each</v>
      </c>
      <c r="J27" s="103"/>
      <c r="K27" s="108"/>
      <c r="L27" s="108"/>
      <c r="M27" s="124">
        <v>1</v>
      </c>
      <c r="N27" s="125">
        <v>0.4</v>
      </c>
      <c r="O27" s="125"/>
      <c r="P27" s="125"/>
      <c r="Q27" s="125"/>
      <c r="R27" s="126">
        <v>149</v>
      </c>
      <c r="S27" s="126">
        <f t="shared" si="1"/>
        <v>59.6</v>
      </c>
      <c r="T27" s="108"/>
      <c r="U27" s="126">
        <f t="shared" si="8"/>
        <v>0</v>
      </c>
      <c r="V27" s="126"/>
      <c r="W27" s="126">
        <v>0</v>
      </c>
      <c r="X27" s="126">
        <f t="shared" si="9"/>
        <v>59.6</v>
      </c>
      <c r="Y27" s="239"/>
      <c r="Z27" s="32"/>
      <c r="AA27" s="208">
        <v>1</v>
      </c>
      <c r="AB27" s="44">
        <f t="shared" si="2"/>
        <v>0</v>
      </c>
      <c r="AC27" s="45" t="s">
        <v>108</v>
      </c>
      <c r="AD27" s="38"/>
      <c r="AE27" s="38"/>
      <c r="AF27" s="38"/>
      <c r="AG27" s="38"/>
      <c r="AH27" s="38"/>
      <c r="AI27" s="38"/>
      <c r="AJ27" s="38"/>
      <c r="AK27" s="38"/>
      <c r="AL27" s="39" t="str">
        <f t="shared" si="41"/>
        <v/>
      </c>
      <c r="AM27" s="39" t="str">
        <f t="shared" si="42"/>
        <v/>
      </c>
      <c r="AN27" s="32"/>
      <c r="AO27" s="51">
        <f t="shared" si="10"/>
        <v>0</v>
      </c>
      <c r="AP27" s="52">
        <f t="shared" si="5"/>
        <v>0</v>
      </c>
      <c r="AQ27" s="53" t="s">
        <v>42</v>
      </c>
      <c r="AR27" s="38"/>
      <c r="AS27" s="38"/>
      <c r="AT27" s="38"/>
      <c r="AU27" s="38"/>
      <c r="AV27" s="38"/>
      <c r="AW27" s="38"/>
      <c r="AX27" s="38"/>
      <c r="AY27" s="38"/>
      <c r="AZ27" s="39" t="str">
        <f t="shared" si="43"/>
        <v/>
      </c>
      <c r="BA27" s="39" t="str">
        <f t="shared" si="44"/>
        <v/>
      </c>
      <c r="BB27" s="147"/>
    </row>
    <row r="28" spans="1:54" x14ac:dyDescent="0.25">
      <c r="A28" s="336">
        <v>1</v>
      </c>
      <c r="B28" s="229">
        <f>SUM($A$2:$A28)</f>
        <v>27</v>
      </c>
      <c r="C28" s="161" t="s">
        <v>594</v>
      </c>
      <c r="D28" s="161" t="s">
        <v>575</v>
      </c>
      <c r="E28" s="161" t="s">
        <v>577</v>
      </c>
      <c r="F28" s="161"/>
      <c r="G28" s="161"/>
      <c r="H28" s="161" t="s">
        <v>580</v>
      </c>
      <c r="I28" s="103" t="str">
        <f t="shared" si="0"/>
        <v>DCS.Bldg.Insp.each</v>
      </c>
      <c r="J28" s="103"/>
      <c r="K28" s="108"/>
      <c r="L28" s="108"/>
      <c r="M28" s="124">
        <v>1</v>
      </c>
      <c r="N28" s="125">
        <v>0.7</v>
      </c>
      <c r="O28" s="125"/>
      <c r="P28" s="125"/>
      <c r="Q28" s="125"/>
      <c r="R28" s="126">
        <v>149</v>
      </c>
      <c r="S28" s="126">
        <f t="shared" si="1"/>
        <v>104.3</v>
      </c>
      <c r="T28" s="108"/>
      <c r="U28" s="126">
        <f t="shared" si="8"/>
        <v>0</v>
      </c>
      <c r="V28" s="126"/>
      <c r="W28" s="126">
        <v>0</v>
      </c>
      <c r="X28" s="126">
        <f t="shared" si="9"/>
        <v>104.3</v>
      </c>
      <c r="Y28" s="239"/>
      <c r="Z28" s="32"/>
      <c r="AA28" s="208">
        <v>1</v>
      </c>
      <c r="AB28" s="44">
        <f t="shared" si="2"/>
        <v>0</v>
      </c>
      <c r="AC28" s="45" t="s">
        <v>108</v>
      </c>
      <c r="AD28" s="38"/>
      <c r="AE28" s="38"/>
      <c r="AF28" s="38"/>
      <c r="AG28" s="38"/>
      <c r="AH28" s="38"/>
      <c r="AI28" s="38"/>
      <c r="AJ28" s="38"/>
      <c r="AK28" s="38"/>
      <c r="AL28" s="39" t="str">
        <f t="shared" si="41"/>
        <v/>
      </c>
      <c r="AM28" s="39" t="str">
        <f t="shared" si="42"/>
        <v/>
      </c>
      <c r="AN28" s="32"/>
      <c r="AO28" s="51">
        <f t="shared" si="10"/>
        <v>0</v>
      </c>
      <c r="AP28" s="52">
        <f t="shared" si="5"/>
        <v>0</v>
      </c>
      <c r="AQ28" s="53" t="s">
        <v>42</v>
      </c>
      <c r="AR28" s="38"/>
      <c r="AS28" s="38"/>
      <c r="AT28" s="38"/>
      <c r="AU28" s="38"/>
      <c r="AV28" s="38"/>
      <c r="AW28" s="38"/>
      <c r="AX28" s="38"/>
      <c r="AY28" s="38"/>
      <c r="AZ28" s="39" t="str">
        <f t="shared" si="43"/>
        <v/>
      </c>
      <c r="BA28" s="39" t="str">
        <f t="shared" si="44"/>
        <v/>
      </c>
      <c r="BB28" s="147"/>
    </row>
    <row r="29" spans="1:54" x14ac:dyDescent="0.25">
      <c r="A29" s="336">
        <v>1</v>
      </c>
      <c r="B29" s="229">
        <f>SUM($A$2:$A29)</f>
        <v>28</v>
      </c>
      <c r="C29" s="161" t="s">
        <v>594</v>
      </c>
      <c r="D29" s="161" t="s">
        <v>575</v>
      </c>
      <c r="E29" s="161" t="s">
        <v>577</v>
      </c>
      <c r="F29" s="161"/>
      <c r="G29" s="161"/>
      <c r="H29" s="161" t="s">
        <v>580</v>
      </c>
      <c r="I29" s="103" t="str">
        <f t="shared" si="0"/>
        <v>DCS.Bldg.Insp.each</v>
      </c>
      <c r="J29" s="103"/>
      <c r="K29" s="108"/>
      <c r="L29" s="108"/>
      <c r="M29" s="124">
        <v>1</v>
      </c>
      <c r="N29" s="125">
        <v>0.7</v>
      </c>
      <c r="O29" s="125"/>
      <c r="P29" s="125"/>
      <c r="Q29" s="125"/>
      <c r="R29" s="126">
        <v>149</v>
      </c>
      <c r="S29" s="126">
        <f t="shared" si="1"/>
        <v>104.3</v>
      </c>
      <c r="T29" s="108"/>
      <c r="U29" s="126">
        <f t="shared" si="8"/>
        <v>0</v>
      </c>
      <c r="V29" s="126"/>
      <c r="W29" s="126">
        <v>0</v>
      </c>
      <c r="X29" s="126">
        <f t="shared" si="9"/>
        <v>104.3</v>
      </c>
      <c r="Y29" s="239"/>
      <c r="Z29" s="32"/>
      <c r="AA29" s="208">
        <v>1</v>
      </c>
      <c r="AB29" s="44">
        <f t="shared" si="2"/>
        <v>0</v>
      </c>
      <c r="AC29" s="45" t="s">
        <v>108</v>
      </c>
      <c r="AD29" s="38"/>
      <c r="AE29" s="38"/>
      <c r="AF29" s="38"/>
      <c r="AG29" s="38"/>
      <c r="AH29" s="38"/>
      <c r="AI29" s="38"/>
      <c r="AJ29" s="38"/>
      <c r="AK29" s="38"/>
      <c r="AL29" s="39" t="str">
        <f t="shared" si="41"/>
        <v/>
      </c>
      <c r="AM29" s="39" t="str">
        <f t="shared" si="42"/>
        <v/>
      </c>
      <c r="AN29" s="32"/>
      <c r="AO29" s="51">
        <f t="shared" si="10"/>
        <v>0</v>
      </c>
      <c r="AP29" s="52">
        <f t="shared" si="5"/>
        <v>0</v>
      </c>
      <c r="AQ29" s="53" t="s">
        <v>42</v>
      </c>
      <c r="AR29" s="38"/>
      <c r="AS29" s="38"/>
      <c r="AT29" s="38"/>
      <c r="AU29" s="38"/>
      <c r="AV29" s="38"/>
      <c r="AW29" s="38"/>
      <c r="AX29" s="38"/>
      <c r="AY29" s="38"/>
      <c r="AZ29" s="39" t="str">
        <f t="shared" si="43"/>
        <v/>
      </c>
      <c r="BA29" s="39" t="str">
        <f t="shared" si="44"/>
        <v/>
      </c>
      <c r="BB29" s="147"/>
    </row>
    <row r="30" spans="1:54" x14ac:dyDescent="0.25">
      <c r="A30" s="336">
        <v>1</v>
      </c>
      <c r="B30" s="229">
        <f>SUM($A$2:$A30)</f>
        <v>29</v>
      </c>
      <c r="C30" s="161" t="s">
        <v>594</v>
      </c>
      <c r="D30" s="161" t="s">
        <v>575</v>
      </c>
      <c r="E30" s="161" t="s">
        <v>577</v>
      </c>
      <c r="F30" s="161"/>
      <c r="G30" s="161"/>
      <c r="H30" s="161" t="s">
        <v>580</v>
      </c>
      <c r="I30" s="103" t="str">
        <f t="shared" si="0"/>
        <v>DCS.Bldg.Insp.each</v>
      </c>
      <c r="J30" s="103"/>
      <c r="K30" s="108"/>
      <c r="L30" s="108"/>
      <c r="M30" s="124">
        <v>1</v>
      </c>
      <c r="N30" s="125">
        <v>4</v>
      </c>
      <c r="O30" s="125"/>
      <c r="P30" s="125"/>
      <c r="Q30" s="125"/>
      <c r="R30" s="126">
        <v>149</v>
      </c>
      <c r="S30" s="126">
        <f t="shared" si="1"/>
        <v>596</v>
      </c>
      <c r="T30" s="108"/>
      <c r="U30" s="126">
        <f t="shared" si="8"/>
        <v>0</v>
      </c>
      <c r="V30" s="126"/>
      <c r="W30" s="126">
        <v>0</v>
      </c>
      <c r="X30" s="126">
        <f t="shared" si="9"/>
        <v>596</v>
      </c>
      <c r="Y30" s="239" t="s">
        <v>251</v>
      </c>
      <c r="Z30" s="32"/>
      <c r="AA30" s="208">
        <v>1</v>
      </c>
      <c r="AB30" s="44">
        <f t="shared" si="2"/>
        <v>0</v>
      </c>
      <c r="AC30" s="45" t="s">
        <v>108</v>
      </c>
      <c r="AD30" s="38"/>
      <c r="AE30" s="38"/>
      <c r="AF30" s="38"/>
      <c r="AG30" s="38"/>
      <c r="AH30" s="38"/>
      <c r="AI30" s="38"/>
      <c r="AJ30" s="38"/>
      <c r="AK30" s="38"/>
      <c r="AL30" s="39" t="str">
        <f t="shared" si="41"/>
        <v/>
      </c>
      <c r="AM30" s="39" t="str">
        <f t="shared" si="42"/>
        <v/>
      </c>
      <c r="AN30" s="32"/>
      <c r="AO30" s="51">
        <f t="shared" si="10"/>
        <v>0</v>
      </c>
      <c r="AP30" s="52">
        <f t="shared" si="5"/>
        <v>0</v>
      </c>
      <c r="AQ30" s="53" t="s">
        <v>42</v>
      </c>
      <c r="AR30" s="38"/>
      <c r="AS30" s="38"/>
      <c r="AT30" s="38"/>
      <c r="AU30" s="38"/>
      <c r="AV30" s="38"/>
      <c r="AW30" s="38"/>
      <c r="AX30" s="38"/>
      <c r="AY30" s="38"/>
      <c r="AZ30" s="39" t="str">
        <f t="shared" si="43"/>
        <v/>
      </c>
      <c r="BA30" s="39" t="str">
        <f t="shared" si="44"/>
        <v/>
      </c>
      <c r="BB30" s="147"/>
    </row>
    <row r="31" spans="1:54" x14ac:dyDescent="0.25">
      <c r="A31" s="336">
        <v>1</v>
      </c>
      <c r="B31" s="229">
        <f>SUM($A$2:$A31)</f>
        <v>30</v>
      </c>
      <c r="C31" s="161" t="s">
        <v>594</v>
      </c>
      <c r="D31" s="161" t="s">
        <v>575</v>
      </c>
      <c r="E31" s="161" t="s">
        <v>577</v>
      </c>
      <c r="F31" s="161"/>
      <c r="G31" s="161"/>
      <c r="H31" s="161" t="s">
        <v>582</v>
      </c>
      <c r="I31" s="106" t="str">
        <f t="shared" si="0"/>
        <v>DCS.Bldg.Insp.Hrs</v>
      </c>
      <c r="J31" s="106"/>
      <c r="K31" s="108"/>
      <c r="L31" s="108"/>
      <c r="M31" s="109">
        <v>1</v>
      </c>
      <c r="N31" s="110">
        <v>1</v>
      </c>
      <c r="O31" s="110"/>
      <c r="P31" s="110"/>
      <c r="Q31" s="110"/>
      <c r="R31" s="111">
        <v>149</v>
      </c>
      <c r="S31" s="111">
        <f t="shared" ref="S31" si="45">PRODUCT(K31:R31)</f>
        <v>149</v>
      </c>
      <c r="T31" s="108"/>
      <c r="U31" s="111">
        <f t="shared" ref="U31" si="46">X31*T31</f>
        <v>0</v>
      </c>
      <c r="V31" s="111"/>
      <c r="W31" s="111">
        <v>0</v>
      </c>
      <c r="X31" s="111">
        <f t="shared" ref="X31" si="47">S31-W31</f>
        <v>149</v>
      </c>
      <c r="Y31" s="239"/>
      <c r="Z31" s="32"/>
      <c r="AA31" s="208">
        <v>1</v>
      </c>
      <c r="AB31" s="44">
        <f t="shared" ref="AB31" si="48">AA31*U31</f>
        <v>0</v>
      </c>
      <c r="AC31" s="45" t="s">
        <v>108</v>
      </c>
      <c r="AD31" s="38"/>
      <c r="AE31" s="38"/>
      <c r="AF31" s="38"/>
      <c r="AG31" s="38"/>
      <c r="AH31" s="38"/>
      <c r="AI31" s="38"/>
      <c r="AJ31" s="38"/>
      <c r="AK31" s="38"/>
      <c r="AL31" s="39" t="str">
        <f t="shared" ref="AL31" si="49">CONCATENATE(AD31,AE31,AF31,AG31)</f>
        <v/>
      </c>
      <c r="AM31" s="39" t="str">
        <f t="shared" ref="AM31" si="50">CONCATENATE(AD31,AE31,AF31,AG31)</f>
        <v/>
      </c>
      <c r="AN31" s="32"/>
      <c r="AO31" s="51">
        <f t="shared" ref="AO31" si="51">1-AA31</f>
        <v>0</v>
      </c>
      <c r="AP31" s="52">
        <f t="shared" ref="AP31" si="52">AO31*U31</f>
        <v>0</v>
      </c>
      <c r="AQ31" s="53" t="s">
        <v>42</v>
      </c>
      <c r="AR31" s="38"/>
      <c r="AS31" s="38"/>
      <c r="AT31" s="38"/>
      <c r="AU31" s="38"/>
      <c r="AV31" s="38"/>
      <c r="AW31" s="38"/>
      <c r="AX31" s="38"/>
      <c r="AY31" s="38"/>
      <c r="AZ31" s="39" t="str">
        <f t="shared" ref="AZ31" si="53">CONCATENATE(AR31,AS31,AT31,AU31)</f>
        <v/>
      </c>
      <c r="BA31" s="39" t="str">
        <f t="shared" ref="BA31" si="54">CONCATENATE(AR31,AS31,AT31,AU31)</f>
        <v/>
      </c>
      <c r="BB31" s="147"/>
    </row>
    <row r="32" spans="1:54" x14ac:dyDescent="0.25">
      <c r="A32" s="336">
        <v>1</v>
      </c>
      <c r="B32" s="229">
        <f>SUM($A$2:$A32)</f>
        <v>31</v>
      </c>
      <c r="C32" s="161" t="s">
        <v>594</v>
      </c>
      <c r="D32" s="161" t="s">
        <v>575</v>
      </c>
      <c r="E32" s="161" t="s">
        <v>614</v>
      </c>
      <c r="F32" s="161" t="s">
        <v>583</v>
      </c>
      <c r="G32" s="161" t="s">
        <v>575</v>
      </c>
      <c r="H32" s="161" t="s">
        <v>580</v>
      </c>
      <c r="I32" s="127" t="str">
        <f t="shared" si="0"/>
        <v>DCS.Bldg.Combo.Demo.Bldg.each</v>
      </c>
      <c r="J32" s="127"/>
      <c r="K32" s="108"/>
      <c r="L32" s="108"/>
      <c r="M32" s="128">
        <v>1</v>
      </c>
      <c r="N32" s="129">
        <f>SUM(Inspections!I23:I24)</f>
        <v>193.70000000000002</v>
      </c>
      <c r="O32" s="129"/>
      <c r="P32" s="129"/>
      <c r="Q32" s="129"/>
      <c r="R32" s="130">
        <v>149</v>
      </c>
      <c r="S32" s="130">
        <f t="shared" si="1"/>
        <v>28861.300000000003</v>
      </c>
      <c r="T32" s="108">
        <v>1</v>
      </c>
      <c r="U32" s="130">
        <f t="shared" si="8"/>
        <v>28861.300000000003</v>
      </c>
      <c r="V32" s="130"/>
      <c r="W32" s="130">
        <v>0</v>
      </c>
      <c r="X32" s="130">
        <f t="shared" si="9"/>
        <v>28861.300000000003</v>
      </c>
      <c r="Y32" s="239"/>
      <c r="Z32" s="32"/>
      <c r="AA32" s="208">
        <v>1</v>
      </c>
      <c r="AB32" s="44">
        <f t="shared" si="2"/>
        <v>28861.300000000003</v>
      </c>
      <c r="AC32" s="45" t="s">
        <v>108</v>
      </c>
      <c r="AD32" s="38"/>
      <c r="AE32" s="38"/>
      <c r="AF32" s="38"/>
      <c r="AG32" s="38"/>
      <c r="AH32" s="38"/>
      <c r="AI32" s="38"/>
      <c r="AJ32" s="38"/>
      <c r="AK32" s="38"/>
      <c r="AL32" s="39" t="str">
        <f t="shared" si="41"/>
        <v/>
      </c>
      <c r="AM32" s="39" t="str">
        <f t="shared" si="42"/>
        <v/>
      </c>
      <c r="AN32" s="32"/>
      <c r="AO32" s="51">
        <f t="shared" si="10"/>
        <v>0</v>
      </c>
      <c r="AP32" s="52">
        <f t="shared" si="5"/>
        <v>0</v>
      </c>
      <c r="AQ32" s="53" t="s">
        <v>42</v>
      </c>
      <c r="AR32" s="38"/>
      <c r="AS32" s="38"/>
      <c r="AT32" s="38"/>
      <c r="AU32" s="38"/>
      <c r="AV32" s="38"/>
      <c r="AW32" s="38"/>
      <c r="AX32" s="38"/>
      <c r="AY32" s="38"/>
      <c r="AZ32" s="39" t="str">
        <f t="shared" si="43"/>
        <v/>
      </c>
      <c r="BA32" s="39" t="str">
        <f t="shared" si="44"/>
        <v/>
      </c>
      <c r="BB32" s="147"/>
    </row>
    <row r="33" spans="1:54" x14ac:dyDescent="0.25">
      <c r="A33" s="336">
        <v>1</v>
      </c>
      <c r="B33" s="229">
        <f>SUM($A$2:$A33)</f>
        <v>32</v>
      </c>
      <c r="C33" s="161" t="s">
        <v>594</v>
      </c>
      <c r="D33" s="161" t="s">
        <v>575</v>
      </c>
      <c r="E33" s="161" t="s">
        <v>614</v>
      </c>
      <c r="F33" s="161"/>
      <c r="G33" s="161"/>
      <c r="H33" s="161" t="s">
        <v>581</v>
      </c>
      <c r="I33" s="127" t="str">
        <f t="shared" si="0"/>
        <v>DCS.Bldg.Combo.SQFT</v>
      </c>
      <c r="J33" s="127"/>
      <c r="K33" s="108"/>
      <c r="L33" s="108"/>
      <c r="M33" s="128">
        <v>1</v>
      </c>
      <c r="N33" s="129"/>
      <c r="O33" s="129"/>
      <c r="P33" s="129"/>
      <c r="Q33" s="129"/>
      <c r="R33" s="130">
        <v>149</v>
      </c>
      <c r="S33" s="130">
        <f t="shared" si="1"/>
        <v>149</v>
      </c>
      <c r="T33" s="108"/>
      <c r="U33" s="130">
        <f t="shared" si="8"/>
        <v>0</v>
      </c>
      <c r="V33" s="130"/>
      <c r="W33" s="130">
        <v>0</v>
      </c>
      <c r="X33" s="130">
        <f t="shared" si="9"/>
        <v>149</v>
      </c>
      <c r="Y33" s="239"/>
      <c r="Z33" s="32"/>
      <c r="AA33" s="208">
        <v>1</v>
      </c>
      <c r="AB33" s="44">
        <f t="shared" si="2"/>
        <v>0</v>
      </c>
      <c r="AC33" s="45" t="s">
        <v>108</v>
      </c>
      <c r="AD33" s="38"/>
      <c r="AE33" s="38"/>
      <c r="AF33" s="38"/>
      <c r="AG33" s="38"/>
      <c r="AH33" s="38"/>
      <c r="AI33" s="38"/>
      <c r="AJ33" s="38"/>
      <c r="AK33" s="38"/>
      <c r="AL33" s="39" t="str">
        <f t="shared" si="41"/>
        <v/>
      </c>
      <c r="AM33" s="39" t="str">
        <f t="shared" si="42"/>
        <v/>
      </c>
      <c r="AN33" s="32"/>
      <c r="AO33" s="51">
        <f t="shared" si="10"/>
        <v>0</v>
      </c>
      <c r="AP33" s="52">
        <f t="shared" si="5"/>
        <v>0</v>
      </c>
      <c r="AQ33" s="53" t="s">
        <v>42</v>
      </c>
      <c r="AR33" s="38"/>
      <c r="AS33" s="38"/>
      <c r="AT33" s="38"/>
      <c r="AU33" s="38"/>
      <c r="AV33" s="38"/>
      <c r="AW33" s="38"/>
      <c r="AX33" s="38"/>
      <c r="AY33" s="38"/>
      <c r="AZ33" s="39" t="str">
        <f t="shared" si="43"/>
        <v/>
      </c>
      <c r="BA33" s="39" t="str">
        <f t="shared" si="44"/>
        <v/>
      </c>
      <c r="BB33" s="147"/>
    </row>
    <row r="34" spans="1:54" x14ac:dyDescent="0.25">
      <c r="A34" s="336">
        <v>1</v>
      </c>
      <c r="B34" s="229">
        <f>SUM($A$2:$A34)</f>
        <v>33</v>
      </c>
      <c r="C34" s="161" t="s">
        <v>594</v>
      </c>
      <c r="D34" s="161" t="s">
        <v>561</v>
      </c>
      <c r="E34" s="161" t="s">
        <v>576</v>
      </c>
      <c r="F34" s="161"/>
      <c r="G34" s="161"/>
      <c r="H34" s="161" t="s">
        <v>580</v>
      </c>
      <c r="I34" s="23" t="str">
        <f t="shared" ref="I34:I65" si="55">_xlfn.CONCAT(C34:H34)</f>
        <v>DCS.EH.Review.each</v>
      </c>
      <c r="J34" s="23"/>
      <c r="K34" s="108"/>
      <c r="L34" s="108"/>
      <c r="M34" s="28">
        <v>1</v>
      </c>
      <c r="N34" s="25"/>
      <c r="O34" s="25"/>
      <c r="P34" s="25"/>
      <c r="Q34" s="25"/>
      <c r="R34" s="27">
        <v>500</v>
      </c>
      <c r="S34" s="27">
        <f t="shared" si="1"/>
        <v>500</v>
      </c>
      <c r="T34" s="108"/>
      <c r="U34" s="27">
        <f t="shared" si="8"/>
        <v>0</v>
      </c>
      <c r="V34" s="27"/>
      <c r="W34" s="27">
        <v>0</v>
      </c>
      <c r="X34" s="27">
        <f t="shared" si="9"/>
        <v>500</v>
      </c>
      <c r="Y34" s="239"/>
      <c r="Z34" s="32"/>
      <c r="AA34" s="208">
        <v>1</v>
      </c>
      <c r="AB34" s="44">
        <f t="shared" si="2"/>
        <v>0</v>
      </c>
      <c r="AC34" s="45" t="s">
        <v>104</v>
      </c>
      <c r="AD34" s="38"/>
      <c r="AE34" s="38"/>
      <c r="AF34" s="38"/>
      <c r="AG34" s="38"/>
      <c r="AH34" s="38"/>
      <c r="AI34" s="38"/>
      <c r="AJ34" s="38"/>
      <c r="AK34" s="38"/>
      <c r="AL34" s="39" t="str">
        <f t="shared" si="41"/>
        <v/>
      </c>
      <c r="AM34" s="39" t="str">
        <f t="shared" si="42"/>
        <v/>
      </c>
      <c r="AN34" s="32"/>
      <c r="AO34" s="51">
        <f t="shared" si="10"/>
        <v>0</v>
      </c>
      <c r="AP34" s="52">
        <f t="shared" si="5"/>
        <v>0</v>
      </c>
      <c r="AQ34" s="53" t="s">
        <v>42</v>
      </c>
      <c r="AR34" s="38"/>
      <c r="AS34" s="38"/>
      <c r="AT34" s="38"/>
      <c r="AU34" s="38"/>
      <c r="AV34" s="38"/>
      <c r="AW34" s="38"/>
      <c r="AX34" s="38"/>
      <c r="AY34" s="38"/>
      <c r="AZ34" s="39" t="str">
        <f t="shared" si="43"/>
        <v/>
      </c>
      <c r="BA34" s="39" t="str">
        <f t="shared" si="44"/>
        <v/>
      </c>
      <c r="BB34" s="147"/>
    </row>
    <row r="35" spans="1:54" x14ac:dyDescent="0.25">
      <c r="A35" s="336">
        <v>1</v>
      </c>
      <c r="B35" s="229">
        <f>SUM($A$2:$A35)</f>
        <v>34</v>
      </c>
      <c r="C35" s="161" t="s">
        <v>594</v>
      </c>
      <c r="D35" s="161" t="s">
        <v>562</v>
      </c>
      <c r="E35" s="161" t="s">
        <v>576</v>
      </c>
      <c r="F35" s="161"/>
      <c r="G35" s="161"/>
      <c r="H35" s="161" t="s">
        <v>580</v>
      </c>
      <c r="I35" s="23" t="str">
        <f t="shared" si="55"/>
        <v>DCS.IWM.Review.each</v>
      </c>
      <c r="J35" s="23"/>
      <c r="K35" s="108"/>
      <c r="L35" s="108"/>
      <c r="M35" s="28">
        <v>1</v>
      </c>
      <c r="N35" s="25"/>
      <c r="O35" s="25"/>
      <c r="P35" s="25"/>
      <c r="Q35" s="25"/>
      <c r="R35" s="27">
        <v>200</v>
      </c>
      <c r="S35" s="27">
        <f t="shared" si="1"/>
        <v>200</v>
      </c>
      <c r="T35" s="108"/>
      <c r="U35" s="27">
        <f t="shared" si="8"/>
        <v>0</v>
      </c>
      <c r="V35" s="27"/>
      <c r="W35" s="27">
        <v>0</v>
      </c>
      <c r="X35" s="27">
        <f t="shared" si="9"/>
        <v>200</v>
      </c>
      <c r="Y35" s="239"/>
      <c r="Z35" s="32"/>
      <c r="AA35" s="208">
        <v>1</v>
      </c>
      <c r="AB35" s="44">
        <f t="shared" si="2"/>
        <v>0</v>
      </c>
      <c r="AC35" s="45" t="s">
        <v>103</v>
      </c>
      <c r="AD35" s="38"/>
      <c r="AE35" s="38"/>
      <c r="AF35" s="38"/>
      <c r="AG35" s="38"/>
      <c r="AH35" s="38"/>
      <c r="AI35" s="38"/>
      <c r="AJ35" s="38"/>
      <c r="AK35" s="38"/>
      <c r="AL35" s="39" t="str">
        <f t="shared" si="41"/>
        <v/>
      </c>
      <c r="AM35" s="39" t="str">
        <f t="shared" si="42"/>
        <v/>
      </c>
      <c r="AN35" s="32"/>
      <c r="AO35" s="51">
        <f t="shared" si="10"/>
        <v>0</v>
      </c>
      <c r="AP35" s="52">
        <f t="shared" si="5"/>
        <v>0</v>
      </c>
      <c r="AQ35" s="53" t="s">
        <v>42</v>
      </c>
      <c r="AR35" s="38"/>
      <c r="AS35" s="38"/>
      <c r="AT35" s="38"/>
      <c r="AU35" s="38"/>
      <c r="AV35" s="38"/>
      <c r="AW35" s="38"/>
      <c r="AX35" s="38"/>
      <c r="AY35" s="38"/>
      <c r="AZ35" s="39" t="str">
        <f t="shared" si="43"/>
        <v/>
      </c>
      <c r="BA35" s="39" t="str">
        <f t="shared" si="44"/>
        <v/>
      </c>
      <c r="BB35" s="147"/>
    </row>
    <row r="36" spans="1:54" x14ac:dyDescent="0.25">
      <c r="A36" s="336">
        <v>1</v>
      </c>
      <c r="B36" s="229">
        <f>SUM($A$2:$A36)</f>
        <v>35</v>
      </c>
      <c r="C36" s="161" t="s">
        <v>594</v>
      </c>
      <c r="D36" s="161" t="s">
        <v>563</v>
      </c>
      <c r="E36" s="161" t="s">
        <v>576</v>
      </c>
      <c r="F36" s="161"/>
      <c r="G36" s="161"/>
      <c r="H36" s="161" t="s">
        <v>580</v>
      </c>
      <c r="I36" s="23" t="str">
        <f t="shared" si="55"/>
        <v>DCS.Planning.Review.each</v>
      </c>
      <c r="J36" s="23"/>
      <c r="K36" s="108"/>
      <c r="L36" s="108"/>
      <c r="M36" s="28">
        <v>1</v>
      </c>
      <c r="N36" s="25"/>
      <c r="O36" s="25"/>
      <c r="P36" s="25"/>
      <c r="Q36" s="25"/>
      <c r="R36" s="27">
        <v>200</v>
      </c>
      <c r="S36" s="27">
        <f t="shared" si="1"/>
        <v>200</v>
      </c>
      <c r="T36" s="108"/>
      <c r="U36" s="27">
        <f t="shared" si="8"/>
        <v>0</v>
      </c>
      <c r="V36" s="27"/>
      <c r="W36" s="27">
        <v>0</v>
      </c>
      <c r="X36" s="27">
        <f t="shared" si="9"/>
        <v>200</v>
      </c>
      <c r="Y36" s="239"/>
      <c r="Z36" s="32"/>
      <c r="AA36" s="208">
        <v>1</v>
      </c>
      <c r="AB36" s="44">
        <f t="shared" si="2"/>
        <v>0</v>
      </c>
      <c r="AC36" s="45" t="s">
        <v>107</v>
      </c>
      <c r="AD36" s="38"/>
      <c r="AE36" s="38"/>
      <c r="AF36" s="38"/>
      <c r="AG36" s="38"/>
      <c r="AH36" s="38"/>
      <c r="AI36" s="38"/>
      <c r="AJ36" s="38"/>
      <c r="AK36" s="38"/>
      <c r="AL36" s="39" t="str">
        <f t="shared" si="41"/>
        <v/>
      </c>
      <c r="AM36" s="39" t="str">
        <f t="shared" si="42"/>
        <v/>
      </c>
      <c r="AN36" s="32"/>
      <c r="AO36" s="51">
        <f t="shared" si="10"/>
        <v>0</v>
      </c>
      <c r="AP36" s="52">
        <f t="shared" si="5"/>
        <v>0</v>
      </c>
      <c r="AQ36" s="53" t="s">
        <v>42</v>
      </c>
      <c r="AR36" s="38"/>
      <c r="AS36" s="38"/>
      <c r="AT36" s="38"/>
      <c r="AU36" s="38"/>
      <c r="AV36" s="38"/>
      <c r="AW36" s="38"/>
      <c r="AX36" s="38"/>
      <c r="AY36" s="38"/>
      <c r="AZ36" s="39" t="str">
        <f t="shared" si="43"/>
        <v/>
      </c>
      <c r="BA36" s="39" t="str">
        <f t="shared" si="44"/>
        <v/>
      </c>
      <c r="BB36" s="147"/>
    </row>
    <row r="37" spans="1:54" x14ac:dyDescent="0.25">
      <c r="A37" s="336">
        <v>1</v>
      </c>
      <c r="B37" s="229">
        <f>SUM($A$2:$A37)</f>
        <v>36</v>
      </c>
      <c r="C37" s="161" t="s">
        <v>594</v>
      </c>
      <c r="D37" s="161" t="s">
        <v>564</v>
      </c>
      <c r="E37" s="161" t="s">
        <v>576</v>
      </c>
      <c r="F37" s="161"/>
      <c r="G37" s="161"/>
      <c r="H37" s="161" t="s">
        <v>580</v>
      </c>
      <c r="I37" s="23" t="str">
        <f t="shared" si="55"/>
        <v>DCS.PW.Review.each</v>
      </c>
      <c r="J37" s="23"/>
      <c r="K37" s="108"/>
      <c r="L37" s="108"/>
      <c r="M37" s="28">
        <v>1</v>
      </c>
      <c r="N37" s="25"/>
      <c r="O37" s="25"/>
      <c r="P37" s="25"/>
      <c r="Q37" s="25"/>
      <c r="R37" s="27">
        <v>200</v>
      </c>
      <c r="S37" s="27">
        <f t="shared" si="1"/>
        <v>200</v>
      </c>
      <c r="T37" s="108"/>
      <c r="U37" s="27">
        <f t="shared" si="8"/>
        <v>0</v>
      </c>
      <c r="V37" s="27"/>
      <c r="W37" s="27">
        <v>0</v>
      </c>
      <c r="X37" s="27">
        <f t="shared" si="9"/>
        <v>200</v>
      </c>
      <c r="Y37" s="239"/>
      <c r="Z37" s="32"/>
      <c r="AA37" s="208">
        <v>1</v>
      </c>
      <c r="AB37" s="44">
        <f t="shared" si="2"/>
        <v>0</v>
      </c>
      <c r="AC37" s="45" t="s">
        <v>105</v>
      </c>
      <c r="AD37" s="38"/>
      <c r="AE37" s="38"/>
      <c r="AF37" s="38"/>
      <c r="AG37" s="38"/>
      <c r="AH37" s="38"/>
      <c r="AI37" s="38"/>
      <c r="AJ37" s="38"/>
      <c r="AK37" s="38"/>
      <c r="AL37" s="39" t="str">
        <f t="shared" si="41"/>
        <v/>
      </c>
      <c r="AM37" s="39" t="str">
        <f t="shared" si="42"/>
        <v/>
      </c>
      <c r="AN37" s="32"/>
      <c r="AO37" s="51">
        <f t="shared" si="10"/>
        <v>0</v>
      </c>
      <c r="AP37" s="52">
        <f t="shared" si="5"/>
        <v>0</v>
      </c>
      <c r="AQ37" s="53" t="s">
        <v>42</v>
      </c>
      <c r="AR37" s="38"/>
      <c r="AS37" s="38"/>
      <c r="AT37" s="38"/>
      <c r="AU37" s="38"/>
      <c r="AV37" s="38"/>
      <c r="AW37" s="38"/>
      <c r="AX37" s="38"/>
      <c r="AY37" s="38"/>
      <c r="AZ37" s="39" t="str">
        <f t="shared" si="43"/>
        <v/>
      </c>
      <c r="BA37" s="39" t="str">
        <f t="shared" si="44"/>
        <v/>
      </c>
      <c r="BB37" s="147"/>
    </row>
    <row r="38" spans="1:54" x14ac:dyDescent="0.25">
      <c r="A38" s="336">
        <v>1</v>
      </c>
      <c r="B38" s="229">
        <f>SUM($A$2:$A38)</f>
        <v>37</v>
      </c>
      <c r="C38" s="161" t="s">
        <v>595</v>
      </c>
      <c r="D38" s="161" t="s">
        <v>598</v>
      </c>
      <c r="E38" s="161" t="s">
        <v>570</v>
      </c>
      <c r="F38" s="161"/>
      <c r="G38" s="161"/>
      <c r="H38" s="161" t="s">
        <v>579</v>
      </c>
      <c r="I38" s="23" t="str">
        <f t="shared" si="55"/>
        <v>FSA.Davis.CRC.perUnit</v>
      </c>
      <c r="J38" s="23"/>
      <c r="K38" s="108"/>
      <c r="L38" s="108"/>
      <c r="M38" s="28">
        <v>1</v>
      </c>
      <c r="N38" s="25"/>
      <c r="O38" s="25"/>
      <c r="P38" s="25"/>
      <c r="Q38" s="25"/>
      <c r="R38" s="27">
        <v>6514</v>
      </c>
      <c r="S38" s="27">
        <f t="shared" ref="S38:S51" si="56">PRODUCT(K38:R38)</f>
        <v>6514</v>
      </c>
      <c r="T38" s="108"/>
      <c r="U38" s="27">
        <f t="shared" ref="U38:U51" si="57">X38*T38</f>
        <v>0</v>
      </c>
      <c r="V38" s="27"/>
      <c r="W38" s="27">
        <v>0</v>
      </c>
      <c r="X38" s="27">
        <f t="shared" ref="X38:X51" si="58">S38-W38</f>
        <v>6514</v>
      </c>
      <c r="Y38" s="239"/>
      <c r="Z38" s="32"/>
      <c r="AA38" s="208">
        <v>1</v>
      </c>
      <c r="AB38" s="44">
        <f t="shared" ref="AB38:AB51" si="59">AA38*U38</f>
        <v>0</v>
      </c>
      <c r="AC38" s="45" t="s">
        <v>203</v>
      </c>
      <c r="AD38" s="38"/>
      <c r="AE38" s="38"/>
      <c r="AF38" s="38"/>
      <c r="AG38" s="38"/>
      <c r="AH38" s="38"/>
      <c r="AI38" s="38"/>
      <c r="AJ38" s="38"/>
      <c r="AK38" s="38"/>
      <c r="AL38" s="39" t="str">
        <f t="shared" ref="AL38:AL51" si="60">CONCATENATE(AD38,AE38,AF38,AG38)</f>
        <v/>
      </c>
      <c r="AM38" s="39" t="str">
        <f t="shared" ref="AM38:AM51" si="61">CONCATENATE(AD38,AE38,AF38,AG38)</f>
        <v/>
      </c>
      <c r="AN38" s="32"/>
      <c r="AO38" s="51">
        <f t="shared" ref="AO38:AO51" si="62">1-AA38</f>
        <v>0</v>
      </c>
      <c r="AP38" s="52">
        <f t="shared" ref="AP38:AP51" si="63">AO38*U38</f>
        <v>0</v>
      </c>
      <c r="AQ38" s="53" t="s">
        <v>42</v>
      </c>
      <c r="AR38" s="38"/>
      <c r="AS38" s="38"/>
      <c r="AT38" s="38"/>
      <c r="AU38" s="38"/>
      <c r="AV38" s="38"/>
      <c r="AW38" s="38"/>
      <c r="AX38" s="38"/>
      <c r="AY38" s="38"/>
      <c r="AZ38" s="39" t="str">
        <f t="shared" ref="AZ38:AZ51" si="64">CONCATENATE(AR38,AS38,AT38,AU38)</f>
        <v/>
      </c>
      <c r="BA38" s="39" t="str">
        <f t="shared" ref="BA38:BA51" si="65">CONCATENATE(AR38,AS38,AT38,AU38)</f>
        <v/>
      </c>
      <c r="BB38" s="147"/>
    </row>
    <row r="39" spans="1:54" x14ac:dyDescent="0.25">
      <c r="A39" s="336">
        <v>1</v>
      </c>
      <c r="B39" s="229">
        <f>SUM($A$2:$A39)</f>
        <v>38</v>
      </c>
      <c r="C39" s="161" t="s">
        <v>595</v>
      </c>
      <c r="D39" s="161" t="s">
        <v>598</v>
      </c>
      <c r="E39" s="161" t="s">
        <v>571</v>
      </c>
      <c r="F39" s="161"/>
      <c r="G39" s="161"/>
      <c r="H39" s="161" t="s">
        <v>358</v>
      </c>
      <c r="I39" s="23" t="str">
        <f t="shared" si="55"/>
        <v>FSA.Davis.ADU1.Flat</v>
      </c>
      <c r="J39" s="23"/>
      <c r="K39" s="108"/>
      <c r="L39" s="108"/>
      <c r="M39" s="28">
        <v>1</v>
      </c>
      <c r="N39" s="25"/>
      <c r="O39" s="25"/>
      <c r="P39" s="25"/>
      <c r="Q39" s="25"/>
      <c r="R39" s="27">
        <v>0</v>
      </c>
      <c r="S39" s="27">
        <f t="shared" si="56"/>
        <v>0</v>
      </c>
      <c r="T39" s="108"/>
      <c r="U39" s="27">
        <f t="shared" si="57"/>
        <v>0</v>
      </c>
      <c r="V39" s="27"/>
      <c r="W39" s="27">
        <v>0</v>
      </c>
      <c r="X39" s="27">
        <f t="shared" si="58"/>
        <v>0</v>
      </c>
      <c r="Y39" s="239"/>
      <c r="Z39" s="32"/>
      <c r="AA39" s="208">
        <v>1</v>
      </c>
      <c r="AB39" s="44">
        <f t="shared" si="59"/>
        <v>0</v>
      </c>
      <c r="AC39" s="45" t="s">
        <v>203</v>
      </c>
      <c r="AD39" s="38"/>
      <c r="AE39" s="38"/>
      <c r="AF39" s="38"/>
      <c r="AG39" s="38"/>
      <c r="AH39" s="38"/>
      <c r="AI39" s="38"/>
      <c r="AJ39" s="38"/>
      <c r="AK39" s="38"/>
      <c r="AL39" s="39" t="str">
        <f t="shared" si="60"/>
        <v/>
      </c>
      <c r="AM39" s="39" t="str">
        <f t="shared" si="61"/>
        <v/>
      </c>
      <c r="AN39" s="32"/>
      <c r="AO39" s="51">
        <f t="shared" si="62"/>
        <v>0</v>
      </c>
      <c r="AP39" s="52">
        <f t="shared" si="63"/>
        <v>0</v>
      </c>
      <c r="AQ39" s="53" t="s">
        <v>42</v>
      </c>
      <c r="AR39" s="38"/>
      <c r="AS39" s="38"/>
      <c r="AT39" s="38"/>
      <c r="AU39" s="38"/>
      <c r="AV39" s="38"/>
      <c r="AW39" s="38"/>
      <c r="AX39" s="38"/>
      <c r="AY39" s="38"/>
      <c r="AZ39" s="39" t="str">
        <f t="shared" si="64"/>
        <v/>
      </c>
      <c r="BA39" s="39" t="str">
        <f t="shared" si="65"/>
        <v/>
      </c>
      <c r="BB39" s="147"/>
    </row>
    <row r="40" spans="1:54" x14ac:dyDescent="0.25">
      <c r="A40" s="336">
        <v>1</v>
      </c>
      <c r="B40" s="229">
        <f>SUM($A$2:$A40)</f>
        <v>39</v>
      </c>
      <c r="C40" s="161" t="s">
        <v>595</v>
      </c>
      <c r="D40" s="161" t="s">
        <v>598</v>
      </c>
      <c r="E40" s="161" t="s">
        <v>572</v>
      </c>
      <c r="F40" s="161"/>
      <c r="G40" s="161"/>
      <c r="H40" s="161" t="s">
        <v>573</v>
      </c>
      <c r="I40" s="23" t="str">
        <f t="shared" si="55"/>
        <v>FSA.Davis.ADU2.perSQFT</v>
      </c>
      <c r="J40" s="23"/>
      <c r="K40" s="108"/>
      <c r="L40" s="108"/>
      <c r="M40" s="28">
        <v>0.4</v>
      </c>
      <c r="N40" s="25"/>
      <c r="O40" s="25"/>
      <c r="P40" s="25"/>
      <c r="Q40" s="25"/>
      <c r="R40" s="27">
        <f>R38*M40</f>
        <v>2605.6000000000004</v>
      </c>
      <c r="S40" s="27">
        <f t="shared" si="56"/>
        <v>1042.2400000000002</v>
      </c>
      <c r="T40" s="108"/>
      <c r="U40" s="27">
        <f t="shared" si="57"/>
        <v>0</v>
      </c>
      <c r="V40" s="27"/>
      <c r="W40" s="27">
        <v>0</v>
      </c>
      <c r="X40" s="27">
        <f t="shared" si="58"/>
        <v>1042.2400000000002</v>
      </c>
      <c r="Y40" s="239"/>
      <c r="Z40" s="32"/>
      <c r="AA40" s="208">
        <v>1</v>
      </c>
      <c r="AB40" s="44">
        <f t="shared" si="59"/>
        <v>0</v>
      </c>
      <c r="AC40" s="45" t="s">
        <v>203</v>
      </c>
      <c r="AD40" s="38"/>
      <c r="AE40" s="38"/>
      <c r="AF40" s="38"/>
      <c r="AG40" s="38"/>
      <c r="AH40" s="38"/>
      <c r="AI40" s="38"/>
      <c r="AJ40" s="38"/>
      <c r="AK40" s="38"/>
      <c r="AL40" s="39" t="str">
        <f t="shared" si="60"/>
        <v/>
      </c>
      <c r="AM40" s="39" t="str">
        <f t="shared" si="61"/>
        <v/>
      </c>
      <c r="AN40" s="32"/>
      <c r="AO40" s="51">
        <f t="shared" si="62"/>
        <v>0</v>
      </c>
      <c r="AP40" s="52">
        <f t="shared" si="63"/>
        <v>0</v>
      </c>
      <c r="AQ40" s="53" t="s">
        <v>42</v>
      </c>
      <c r="AR40" s="38"/>
      <c r="AS40" s="38"/>
      <c r="AT40" s="38"/>
      <c r="AU40" s="38"/>
      <c r="AV40" s="38"/>
      <c r="AW40" s="38"/>
      <c r="AX40" s="38"/>
      <c r="AY40" s="38"/>
      <c r="AZ40" s="39" t="str">
        <f t="shared" si="64"/>
        <v/>
      </c>
      <c r="BA40" s="39" t="str">
        <f t="shared" si="65"/>
        <v/>
      </c>
      <c r="BB40" s="147"/>
    </row>
    <row r="41" spans="1:54" x14ac:dyDescent="0.25">
      <c r="A41" s="336">
        <v>1</v>
      </c>
      <c r="B41" s="229">
        <f>SUM($A$2:$A41)</f>
        <v>40</v>
      </c>
      <c r="C41" s="161" t="s">
        <v>595</v>
      </c>
      <c r="D41" s="161" t="s">
        <v>598</v>
      </c>
      <c r="E41" s="161" t="s">
        <v>569</v>
      </c>
      <c r="F41" s="161"/>
      <c r="G41" s="161"/>
      <c r="H41" s="161" t="s">
        <v>573</v>
      </c>
      <c r="I41" s="23" t="str">
        <f t="shared" si="55"/>
        <v>FSA.Davis.Factory.perSQFT</v>
      </c>
      <c r="J41" s="23"/>
      <c r="K41" s="108"/>
      <c r="L41" s="108"/>
      <c r="M41" s="28">
        <v>10000</v>
      </c>
      <c r="N41" s="25"/>
      <c r="O41" s="25"/>
      <c r="P41" s="25"/>
      <c r="Q41" s="25"/>
      <c r="R41" s="27"/>
      <c r="S41" s="27">
        <f t="shared" si="56"/>
        <v>10000</v>
      </c>
      <c r="T41" s="108"/>
      <c r="U41" s="27">
        <f t="shared" si="57"/>
        <v>0</v>
      </c>
      <c r="V41" s="27"/>
      <c r="W41" s="27">
        <v>0</v>
      </c>
      <c r="X41" s="27">
        <f t="shared" si="58"/>
        <v>10000</v>
      </c>
      <c r="Y41" s="239"/>
      <c r="Z41" s="32"/>
      <c r="AA41" s="208">
        <v>1</v>
      </c>
      <c r="AB41" s="44">
        <f t="shared" si="59"/>
        <v>0</v>
      </c>
      <c r="AC41" s="45" t="s">
        <v>203</v>
      </c>
      <c r="AD41" s="38"/>
      <c r="AE41" s="38"/>
      <c r="AF41" s="38"/>
      <c r="AG41" s="38"/>
      <c r="AH41" s="38"/>
      <c r="AI41" s="38"/>
      <c r="AJ41" s="38"/>
      <c r="AK41" s="38"/>
      <c r="AL41" s="39" t="str">
        <f t="shared" si="60"/>
        <v/>
      </c>
      <c r="AM41" s="39" t="str">
        <f t="shared" si="61"/>
        <v/>
      </c>
      <c r="AN41" s="32"/>
      <c r="AO41" s="51">
        <f t="shared" si="62"/>
        <v>0</v>
      </c>
      <c r="AP41" s="52">
        <f t="shared" si="63"/>
        <v>0</v>
      </c>
      <c r="AQ41" s="53" t="s">
        <v>42</v>
      </c>
      <c r="AR41" s="38"/>
      <c r="AS41" s="38"/>
      <c r="AT41" s="38"/>
      <c r="AU41" s="38"/>
      <c r="AV41" s="38"/>
      <c r="AW41" s="38"/>
      <c r="AX41" s="38"/>
      <c r="AY41" s="38"/>
      <c r="AZ41" s="39" t="str">
        <f t="shared" si="64"/>
        <v/>
      </c>
      <c r="BA41" s="39" t="str">
        <f t="shared" si="65"/>
        <v/>
      </c>
      <c r="BB41" s="147"/>
    </row>
    <row r="42" spans="1:54" x14ac:dyDescent="0.25">
      <c r="A42" s="336">
        <v>1</v>
      </c>
      <c r="B42" s="229">
        <f>SUM($A$2:$A42)</f>
        <v>41</v>
      </c>
      <c r="C42" s="161" t="s">
        <v>595</v>
      </c>
      <c r="D42" s="161" t="s">
        <v>598</v>
      </c>
      <c r="E42" s="161" t="s">
        <v>568</v>
      </c>
      <c r="F42" s="161"/>
      <c r="G42" s="161"/>
      <c r="H42" s="161" t="s">
        <v>573</v>
      </c>
      <c r="I42" s="23" t="str">
        <f t="shared" si="55"/>
        <v>FSA.Davis.Office.perSQFT</v>
      </c>
      <c r="J42" s="23"/>
      <c r="K42" s="108"/>
      <c r="L42" s="108"/>
      <c r="M42" s="28">
        <v>5000</v>
      </c>
      <c r="N42" s="25"/>
      <c r="O42" s="25"/>
      <c r="P42" s="25"/>
      <c r="Q42" s="25"/>
      <c r="R42" s="27"/>
      <c r="S42" s="27">
        <f t="shared" si="56"/>
        <v>5000</v>
      </c>
      <c r="T42" s="108"/>
      <c r="U42" s="27">
        <f t="shared" si="57"/>
        <v>0</v>
      </c>
      <c r="V42" s="27"/>
      <c r="W42" s="27">
        <v>0</v>
      </c>
      <c r="X42" s="27">
        <f t="shared" si="58"/>
        <v>5000</v>
      </c>
      <c r="Y42" s="239"/>
      <c r="Z42" s="32"/>
      <c r="AA42" s="208">
        <v>1</v>
      </c>
      <c r="AB42" s="44">
        <f t="shared" si="59"/>
        <v>0</v>
      </c>
      <c r="AC42" s="45" t="s">
        <v>203</v>
      </c>
      <c r="AD42" s="38"/>
      <c r="AE42" s="38"/>
      <c r="AF42" s="38"/>
      <c r="AG42" s="38"/>
      <c r="AH42" s="38"/>
      <c r="AI42" s="38"/>
      <c r="AJ42" s="38"/>
      <c r="AK42" s="38"/>
      <c r="AL42" s="39" t="str">
        <f t="shared" si="60"/>
        <v/>
      </c>
      <c r="AM42" s="39" t="str">
        <f t="shared" si="61"/>
        <v/>
      </c>
      <c r="AN42" s="32"/>
      <c r="AO42" s="51">
        <f t="shared" si="62"/>
        <v>0</v>
      </c>
      <c r="AP42" s="52">
        <f t="shared" si="63"/>
        <v>0</v>
      </c>
      <c r="AQ42" s="53" t="s">
        <v>42</v>
      </c>
      <c r="AR42" s="38"/>
      <c r="AS42" s="38"/>
      <c r="AT42" s="38"/>
      <c r="AU42" s="38"/>
      <c r="AV42" s="38"/>
      <c r="AW42" s="38"/>
      <c r="AX42" s="38"/>
      <c r="AY42" s="38"/>
      <c r="AZ42" s="39" t="str">
        <f t="shared" si="64"/>
        <v/>
      </c>
      <c r="BA42" s="39" t="str">
        <f t="shared" si="65"/>
        <v/>
      </c>
      <c r="BB42" s="147"/>
    </row>
    <row r="43" spans="1:54" x14ac:dyDescent="0.25">
      <c r="A43" s="336">
        <v>1</v>
      </c>
      <c r="B43" s="229">
        <f>SUM($A$2:$A43)</f>
        <v>42</v>
      </c>
      <c r="C43" s="161" t="s">
        <v>595</v>
      </c>
      <c r="D43" s="161" t="s">
        <v>598</v>
      </c>
      <c r="E43" s="161" t="s">
        <v>566</v>
      </c>
      <c r="F43" s="161"/>
      <c r="G43" s="161"/>
      <c r="H43" s="161" t="s">
        <v>573</v>
      </c>
      <c r="I43" s="23" t="str">
        <f t="shared" si="55"/>
        <v>FSA.Davis.Retail.perSQFT</v>
      </c>
      <c r="J43" s="23"/>
      <c r="K43" s="108"/>
      <c r="L43" s="108"/>
      <c r="M43" s="28">
        <v>10000</v>
      </c>
      <c r="N43" s="28"/>
      <c r="O43" s="28"/>
      <c r="P43" s="28"/>
      <c r="Q43" s="28"/>
      <c r="R43" s="27"/>
      <c r="S43" s="27">
        <f t="shared" si="56"/>
        <v>10000</v>
      </c>
      <c r="T43" s="108"/>
      <c r="U43" s="27">
        <f t="shared" si="57"/>
        <v>0</v>
      </c>
      <c r="V43" s="27"/>
      <c r="W43" s="27">
        <v>0</v>
      </c>
      <c r="X43" s="27">
        <f t="shared" si="58"/>
        <v>10000</v>
      </c>
      <c r="Y43" s="239"/>
      <c r="Z43" s="32"/>
      <c r="AA43" s="208">
        <v>1</v>
      </c>
      <c r="AB43" s="44">
        <f t="shared" si="59"/>
        <v>0</v>
      </c>
      <c r="AC43" s="45" t="s">
        <v>203</v>
      </c>
      <c r="AD43" s="38"/>
      <c r="AE43" s="38"/>
      <c r="AF43" s="38"/>
      <c r="AG43" s="38"/>
      <c r="AH43" s="38"/>
      <c r="AI43" s="38"/>
      <c r="AJ43" s="38"/>
      <c r="AK43" s="38"/>
      <c r="AL43" s="39" t="str">
        <f t="shared" si="60"/>
        <v/>
      </c>
      <c r="AM43" s="39" t="str">
        <f t="shared" si="61"/>
        <v/>
      </c>
      <c r="AN43" s="32"/>
      <c r="AO43" s="51">
        <f t="shared" si="62"/>
        <v>0</v>
      </c>
      <c r="AP43" s="52">
        <f t="shared" si="63"/>
        <v>0</v>
      </c>
      <c r="AQ43" s="53" t="s">
        <v>42</v>
      </c>
      <c r="AR43" s="38"/>
      <c r="AS43" s="38"/>
      <c r="AT43" s="38"/>
      <c r="AU43" s="38"/>
      <c r="AV43" s="38"/>
      <c r="AW43" s="38"/>
      <c r="AX43" s="38"/>
      <c r="AY43" s="38"/>
      <c r="AZ43" s="39" t="str">
        <f t="shared" si="64"/>
        <v/>
      </c>
      <c r="BA43" s="39" t="str">
        <f t="shared" si="65"/>
        <v/>
      </c>
      <c r="BB43" s="147"/>
    </row>
    <row r="44" spans="1:54" x14ac:dyDescent="0.25">
      <c r="A44" s="336">
        <v>1</v>
      </c>
      <c r="B44" s="229">
        <f>SUM($A$2:$A44)</f>
        <v>43</v>
      </c>
      <c r="C44" s="161" t="s">
        <v>595</v>
      </c>
      <c r="D44" s="161" t="s">
        <v>598</v>
      </c>
      <c r="E44" s="161" t="s">
        <v>567</v>
      </c>
      <c r="F44" s="161"/>
      <c r="G44" s="161"/>
      <c r="H44" s="161" t="s">
        <v>573</v>
      </c>
      <c r="I44" s="220" t="str">
        <f t="shared" si="55"/>
        <v>FSA.Davis.Warehouse.perSQFT</v>
      </c>
      <c r="J44" s="220"/>
      <c r="K44" s="221"/>
      <c r="L44" s="221"/>
      <c r="M44" s="222">
        <v>20000</v>
      </c>
      <c r="N44" s="222"/>
      <c r="O44" s="222"/>
      <c r="P44" s="222"/>
      <c r="Q44" s="222"/>
      <c r="R44" s="223"/>
      <c r="S44" s="223">
        <f t="shared" si="56"/>
        <v>20000</v>
      </c>
      <c r="T44" s="221"/>
      <c r="U44" s="223">
        <f t="shared" si="57"/>
        <v>0</v>
      </c>
      <c r="V44" s="223"/>
      <c r="W44" s="223">
        <v>0</v>
      </c>
      <c r="X44" s="223">
        <f t="shared" si="58"/>
        <v>20000</v>
      </c>
      <c r="Y44" s="240"/>
      <c r="Z44" s="32"/>
      <c r="AA44" s="209">
        <v>1</v>
      </c>
      <c r="AB44" s="46">
        <f t="shared" si="59"/>
        <v>0</v>
      </c>
      <c r="AC44" s="47" t="s">
        <v>203</v>
      </c>
      <c r="AD44" s="40"/>
      <c r="AE44" s="40"/>
      <c r="AF44" s="40"/>
      <c r="AG44" s="40"/>
      <c r="AH44" s="40"/>
      <c r="AI44" s="40"/>
      <c r="AJ44" s="40"/>
      <c r="AK44" s="40"/>
      <c r="AL44" s="41" t="str">
        <f t="shared" si="60"/>
        <v/>
      </c>
      <c r="AM44" s="41" t="str">
        <f t="shared" si="61"/>
        <v/>
      </c>
      <c r="AN44" s="32"/>
      <c r="AO44" s="54">
        <f t="shared" si="62"/>
        <v>0</v>
      </c>
      <c r="AP44" s="55">
        <f t="shared" si="63"/>
        <v>0</v>
      </c>
      <c r="AQ44" s="56" t="s">
        <v>42</v>
      </c>
      <c r="AR44" s="40"/>
      <c r="AS44" s="40"/>
      <c r="AT44" s="40"/>
      <c r="AU44" s="40"/>
      <c r="AV44" s="40"/>
      <c r="AW44" s="40"/>
      <c r="AX44" s="40"/>
      <c r="AY44" s="40"/>
      <c r="AZ44" s="41" t="str">
        <f t="shared" si="64"/>
        <v/>
      </c>
      <c r="BA44" s="41" t="str">
        <f t="shared" si="65"/>
        <v/>
      </c>
      <c r="BB44" s="148"/>
    </row>
    <row r="45" spans="1:54" x14ac:dyDescent="0.25">
      <c r="A45" s="336">
        <v>1</v>
      </c>
      <c r="B45" s="229">
        <f>SUM($A$2:$A45)</f>
        <v>44</v>
      </c>
      <c r="C45" s="161" t="s">
        <v>595</v>
      </c>
      <c r="D45" s="161" t="s">
        <v>599</v>
      </c>
      <c r="E45" s="161" t="s">
        <v>570</v>
      </c>
      <c r="F45" s="161"/>
      <c r="G45" s="161"/>
      <c r="H45" s="161" t="s">
        <v>579</v>
      </c>
      <c r="I45" s="23" t="str">
        <f t="shared" si="55"/>
        <v>FSA.WestSac.CRC.perUnit</v>
      </c>
      <c r="J45" s="23"/>
      <c r="K45" s="108"/>
      <c r="L45" s="108"/>
      <c r="M45" s="28">
        <v>1</v>
      </c>
      <c r="N45" s="25"/>
      <c r="O45" s="25"/>
      <c r="P45" s="25"/>
      <c r="Q45" s="25"/>
      <c r="R45" s="27">
        <v>6514</v>
      </c>
      <c r="S45" s="27">
        <f t="shared" si="56"/>
        <v>6514</v>
      </c>
      <c r="T45" s="108"/>
      <c r="U45" s="27">
        <f t="shared" si="57"/>
        <v>0</v>
      </c>
      <c r="V45" s="27"/>
      <c r="W45" s="27">
        <v>0</v>
      </c>
      <c r="X45" s="27">
        <f t="shared" si="58"/>
        <v>6514</v>
      </c>
      <c r="Y45" s="239"/>
      <c r="Z45" s="32"/>
      <c r="AA45" s="208">
        <v>1</v>
      </c>
      <c r="AB45" s="44">
        <f t="shared" si="59"/>
        <v>0</v>
      </c>
      <c r="AC45" s="45" t="s">
        <v>203</v>
      </c>
      <c r="AD45" s="38"/>
      <c r="AE45" s="38"/>
      <c r="AF45" s="38"/>
      <c r="AG45" s="38"/>
      <c r="AH45" s="38"/>
      <c r="AI45" s="38"/>
      <c r="AJ45" s="38"/>
      <c r="AK45" s="38"/>
      <c r="AL45" s="39" t="str">
        <f t="shared" si="60"/>
        <v/>
      </c>
      <c r="AM45" s="39" t="str">
        <f t="shared" si="61"/>
        <v/>
      </c>
      <c r="AN45" s="32"/>
      <c r="AO45" s="51">
        <f t="shared" si="62"/>
        <v>0</v>
      </c>
      <c r="AP45" s="52">
        <f t="shared" si="63"/>
        <v>0</v>
      </c>
      <c r="AQ45" s="53" t="s">
        <v>42</v>
      </c>
      <c r="AR45" s="38"/>
      <c r="AS45" s="38"/>
      <c r="AT45" s="38"/>
      <c r="AU45" s="38"/>
      <c r="AV45" s="38"/>
      <c r="AW45" s="38"/>
      <c r="AX45" s="38"/>
      <c r="AY45" s="38"/>
      <c r="AZ45" s="39" t="str">
        <f t="shared" si="64"/>
        <v/>
      </c>
      <c r="BA45" s="39" t="str">
        <f t="shared" si="65"/>
        <v/>
      </c>
      <c r="BB45" s="147"/>
    </row>
    <row r="46" spans="1:54" x14ac:dyDescent="0.25">
      <c r="A46" s="336">
        <v>1</v>
      </c>
      <c r="B46" s="229">
        <f>SUM($A$2:$A46)</f>
        <v>45</v>
      </c>
      <c r="C46" s="161" t="s">
        <v>595</v>
      </c>
      <c r="D46" s="161" t="s">
        <v>599</v>
      </c>
      <c r="E46" s="161" t="s">
        <v>571</v>
      </c>
      <c r="F46" s="161"/>
      <c r="G46" s="161"/>
      <c r="H46" s="161" t="s">
        <v>358</v>
      </c>
      <c r="I46" s="23" t="str">
        <f t="shared" si="55"/>
        <v>FSA.WestSac.ADU1.Flat</v>
      </c>
      <c r="J46" s="23"/>
      <c r="K46" s="108"/>
      <c r="L46" s="108"/>
      <c r="M46" s="28">
        <v>1</v>
      </c>
      <c r="N46" s="25"/>
      <c r="O46" s="25"/>
      <c r="P46" s="25"/>
      <c r="Q46" s="25"/>
      <c r="R46" s="27">
        <v>0</v>
      </c>
      <c r="S46" s="27">
        <f t="shared" si="56"/>
        <v>0</v>
      </c>
      <c r="T46" s="108"/>
      <c r="U46" s="27">
        <f t="shared" si="57"/>
        <v>0</v>
      </c>
      <c r="V46" s="27"/>
      <c r="W46" s="27">
        <v>0</v>
      </c>
      <c r="X46" s="27">
        <f t="shared" si="58"/>
        <v>0</v>
      </c>
      <c r="Y46" s="239"/>
      <c r="Z46" s="32"/>
      <c r="AA46" s="208">
        <v>1</v>
      </c>
      <c r="AB46" s="44">
        <f t="shared" si="59"/>
        <v>0</v>
      </c>
      <c r="AC46" s="45" t="s">
        <v>203</v>
      </c>
      <c r="AD46" s="38"/>
      <c r="AE46" s="38"/>
      <c r="AF46" s="38"/>
      <c r="AG46" s="38"/>
      <c r="AH46" s="38"/>
      <c r="AI46" s="38"/>
      <c r="AJ46" s="38"/>
      <c r="AK46" s="38"/>
      <c r="AL46" s="39" t="str">
        <f t="shared" si="60"/>
        <v/>
      </c>
      <c r="AM46" s="39" t="str">
        <f t="shared" si="61"/>
        <v/>
      </c>
      <c r="AN46" s="32"/>
      <c r="AO46" s="51">
        <f t="shared" si="62"/>
        <v>0</v>
      </c>
      <c r="AP46" s="52">
        <f t="shared" si="63"/>
        <v>0</v>
      </c>
      <c r="AQ46" s="53" t="s">
        <v>42</v>
      </c>
      <c r="AR46" s="38"/>
      <c r="AS46" s="38"/>
      <c r="AT46" s="38"/>
      <c r="AU46" s="38"/>
      <c r="AV46" s="38"/>
      <c r="AW46" s="38"/>
      <c r="AX46" s="38"/>
      <c r="AY46" s="38"/>
      <c r="AZ46" s="39" t="str">
        <f t="shared" si="64"/>
        <v/>
      </c>
      <c r="BA46" s="39" t="str">
        <f t="shared" si="65"/>
        <v/>
      </c>
      <c r="BB46" s="147"/>
    </row>
    <row r="47" spans="1:54" x14ac:dyDescent="0.25">
      <c r="A47" s="336">
        <v>1</v>
      </c>
      <c r="B47" s="229">
        <f>SUM($A$2:$A47)</f>
        <v>46</v>
      </c>
      <c r="C47" s="161" t="s">
        <v>595</v>
      </c>
      <c r="D47" s="161" t="s">
        <v>599</v>
      </c>
      <c r="E47" s="161" t="s">
        <v>572</v>
      </c>
      <c r="F47" s="161"/>
      <c r="G47" s="161"/>
      <c r="H47" s="161" t="s">
        <v>573</v>
      </c>
      <c r="I47" s="23" t="str">
        <f t="shared" si="55"/>
        <v>FSA.WestSac.ADU2.perSQFT</v>
      </c>
      <c r="J47" s="23"/>
      <c r="K47" s="108"/>
      <c r="L47" s="108"/>
      <c r="M47" s="28">
        <v>0.4</v>
      </c>
      <c r="N47" s="25"/>
      <c r="O47" s="25"/>
      <c r="P47" s="25"/>
      <c r="Q47" s="25"/>
      <c r="R47" s="27">
        <f>R45*M47</f>
        <v>2605.6000000000004</v>
      </c>
      <c r="S47" s="27">
        <f t="shared" si="56"/>
        <v>1042.2400000000002</v>
      </c>
      <c r="T47" s="108"/>
      <c r="U47" s="27">
        <f t="shared" si="57"/>
        <v>0</v>
      </c>
      <c r="V47" s="27"/>
      <c r="W47" s="27">
        <v>0</v>
      </c>
      <c r="X47" s="27">
        <f t="shared" si="58"/>
        <v>1042.2400000000002</v>
      </c>
      <c r="Y47" s="239"/>
      <c r="Z47" s="32"/>
      <c r="AA47" s="208">
        <v>1</v>
      </c>
      <c r="AB47" s="44">
        <f t="shared" si="59"/>
        <v>0</v>
      </c>
      <c r="AC47" s="45" t="s">
        <v>203</v>
      </c>
      <c r="AD47" s="38"/>
      <c r="AE47" s="38"/>
      <c r="AF47" s="38"/>
      <c r="AG47" s="38"/>
      <c r="AH47" s="38"/>
      <c r="AI47" s="38"/>
      <c r="AJ47" s="38"/>
      <c r="AK47" s="38"/>
      <c r="AL47" s="39" t="str">
        <f t="shared" si="60"/>
        <v/>
      </c>
      <c r="AM47" s="39" t="str">
        <f t="shared" si="61"/>
        <v/>
      </c>
      <c r="AN47" s="32"/>
      <c r="AO47" s="51">
        <f t="shared" si="62"/>
        <v>0</v>
      </c>
      <c r="AP47" s="52">
        <f t="shared" si="63"/>
        <v>0</v>
      </c>
      <c r="AQ47" s="53" t="s">
        <v>42</v>
      </c>
      <c r="AR47" s="38"/>
      <c r="AS47" s="38"/>
      <c r="AT47" s="38"/>
      <c r="AU47" s="38"/>
      <c r="AV47" s="38"/>
      <c r="AW47" s="38"/>
      <c r="AX47" s="38"/>
      <c r="AY47" s="38"/>
      <c r="AZ47" s="39" t="str">
        <f t="shared" si="64"/>
        <v/>
      </c>
      <c r="BA47" s="39" t="str">
        <f t="shared" si="65"/>
        <v/>
      </c>
      <c r="BB47" s="147"/>
    </row>
    <row r="48" spans="1:54" x14ac:dyDescent="0.25">
      <c r="A48" s="336">
        <v>1</v>
      </c>
      <c r="B48" s="229">
        <f>SUM($A$2:$A48)</f>
        <v>47</v>
      </c>
      <c r="C48" s="161" t="s">
        <v>595</v>
      </c>
      <c r="D48" s="161" t="s">
        <v>599</v>
      </c>
      <c r="E48" s="161" t="s">
        <v>569</v>
      </c>
      <c r="F48" s="161"/>
      <c r="G48" s="161"/>
      <c r="H48" s="161" t="s">
        <v>573</v>
      </c>
      <c r="I48" s="23" t="str">
        <f t="shared" si="55"/>
        <v>FSA.WestSac.Factory.perSQFT</v>
      </c>
      <c r="J48" s="23"/>
      <c r="K48" s="108"/>
      <c r="L48" s="108"/>
      <c r="M48" s="28">
        <v>10000</v>
      </c>
      <c r="N48" s="25"/>
      <c r="O48" s="25"/>
      <c r="P48" s="25"/>
      <c r="Q48" s="25"/>
      <c r="R48" s="27"/>
      <c r="S48" s="27">
        <f t="shared" si="56"/>
        <v>10000</v>
      </c>
      <c r="T48" s="108"/>
      <c r="U48" s="27">
        <f t="shared" si="57"/>
        <v>0</v>
      </c>
      <c r="V48" s="27"/>
      <c r="W48" s="27">
        <v>0</v>
      </c>
      <c r="X48" s="27">
        <f t="shared" si="58"/>
        <v>10000</v>
      </c>
      <c r="Y48" s="239"/>
      <c r="Z48" s="32"/>
      <c r="AA48" s="208">
        <v>1</v>
      </c>
      <c r="AB48" s="44">
        <f t="shared" si="59"/>
        <v>0</v>
      </c>
      <c r="AC48" s="45" t="s">
        <v>203</v>
      </c>
      <c r="AD48" s="38"/>
      <c r="AE48" s="38"/>
      <c r="AF48" s="38"/>
      <c r="AG48" s="38"/>
      <c r="AH48" s="38"/>
      <c r="AI48" s="38"/>
      <c r="AJ48" s="38"/>
      <c r="AK48" s="38"/>
      <c r="AL48" s="39" t="str">
        <f t="shared" si="60"/>
        <v/>
      </c>
      <c r="AM48" s="39" t="str">
        <f t="shared" si="61"/>
        <v/>
      </c>
      <c r="AN48" s="32"/>
      <c r="AO48" s="51">
        <f t="shared" si="62"/>
        <v>0</v>
      </c>
      <c r="AP48" s="52">
        <f t="shared" si="63"/>
        <v>0</v>
      </c>
      <c r="AQ48" s="53" t="s">
        <v>42</v>
      </c>
      <c r="AR48" s="38"/>
      <c r="AS48" s="38"/>
      <c r="AT48" s="38"/>
      <c r="AU48" s="38"/>
      <c r="AV48" s="38"/>
      <c r="AW48" s="38"/>
      <c r="AX48" s="38"/>
      <c r="AY48" s="38"/>
      <c r="AZ48" s="39" t="str">
        <f t="shared" si="64"/>
        <v/>
      </c>
      <c r="BA48" s="39" t="str">
        <f t="shared" si="65"/>
        <v/>
      </c>
      <c r="BB48" s="147"/>
    </row>
    <row r="49" spans="1:54" x14ac:dyDescent="0.25">
      <c r="A49" s="336">
        <v>1</v>
      </c>
      <c r="B49" s="229">
        <f>SUM($A$2:$A49)</f>
        <v>48</v>
      </c>
      <c r="C49" s="161" t="s">
        <v>595</v>
      </c>
      <c r="D49" s="161" t="s">
        <v>599</v>
      </c>
      <c r="E49" s="161" t="s">
        <v>568</v>
      </c>
      <c r="F49" s="161"/>
      <c r="G49" s="161"/>
      <c r="H49" s="161" t="s">
        <v>573</v>
      </c>
      <c r="I49" s="23" t="str">
        <f t="shared" si="55"/>
        <v>FSA.WestSac.Office.perSQFT</v>
      </c>
      <c r="J49" s="23"/>
      <c r="K49" s="108"/>
      <c r="L49" s="108"/>
      <c r="M49" s="28">
        <v>5000</v>
      </c>
      <c r="N49" s="25"/>
      <c r="O49" s="25"/>
      <c r="P49" s="25"/>
      <c r="Q49" s="25"/>
      <c r="R49" s="27"/>
      <c r="S49" s="27">
        <f t="shared" si="56"/>
        <v>5000</v>
      </c>
      <c r="T49" s="108"/>
      <c r="U49" s="27">
        <f t="shared" si="57"/>
        <v>0</v>
      </c>
      <c r="V49" s="27"/>
      <c r="W49" s="27">
        <v>0</v>
      </c>
      <c r="X49" s="27">
        <f t="shared" si="58"/>
        <v>5000</v>
      </c>
      <c r="Y49" s="239"/>
      <c r="Z49" s="32"/>
      <c r="AA49" s="208">
        <v>1</v>
      </c>
      <c r="AB49" s="44">
        <f t="shared" si="59"/>
        <v>0</v>
      </c>
      <c r="AC49" s="45" t="s">
        <v>203</v>
      </c>
      <c r="AD49" s="38"/>
      <c r="AE49" s="38"/>
      <c r="AF49" s="38"/>
      <c r="AG49" s="38"/>
      <c r="AH49" s="38"/>
      <c r="AI49" s="38"/>
      <c r="AJ49" s="38"/>
      <c r="AK49" s="38"/>
      <c r="AL49" s="39" t="str">
        <f t="shared" si="60"/>
        <v/>
      </c>
      <c r="AM49" s="39" t="str">
        <f t="shared" si="61"/>
        <v/>
      </c>
      <c r="AN49" s="32"/>
      <c r="AO49" s="51">
        <f t="shared" si="62"/>
        <v>0</v>
      </c>
      <c r="AP49" s="52">
        <f t="shared" si="63"/>
        <v>0</v>
      </c>
      <c r="AQ49" s="53" t="s">
        <v>42</v>
      </c>
      <c r="AR49" s="38"/>
      <c r="AS49" s="38"/>
      <c r="AT49" s="38"/>
      <c r="AU49" s="38"/>
      <c r="AV49" s="38"/>
      <c r="AW49" s="38"/>
      <c r="AX49" s="38"/>
      <c r="AY49" s="38"/>
      <c r="AZ49" s="39" t="str">
        <f t="shared" si="64"/>
        <v/>
      </c>
      <c r="BA49" s="39" t="str">
        <f t="shared" si="65"/>
        <v/>
      </c>
      <c r="BB49" s="147"/>
    </row>
    <row r="50" spans="1:54" x14ac:dyDescent="0.25">
      <c r="A50" s="336">
        <v>1</v>
      </c>
      <c r="B50" s="229">
        <f>SUM($A$2:$A50)</f>
        <v>49</v>
      </c>
      <c r="C50" s="161" t="s">
        <v>595</v>
      </c>
      <c r="D50" s="161" t="s">
        <v>599</v>
      </c>
      <c r="E50" s="161" t="s">
        <v>566</v>
      </c>
      <c r="F50" s="161"/>
      <c r="G50" s="161"/>
      <c r="H50" s="161" t="s">
        <v>573</v>
      </c>
      <c r="I50" s="23" t="str">
        <f t="shared" si="55"/>
        <v>FSA.WestSac.Retail.perSQFT</v>
      </c>
      <c r="J50" s="23"/>
      <c r="K50" s="108"/>
      <c r="L50" s="108"/>
      <c r="M50" s="28">
        <v>10000</v>
      </c>
      <c r="N50" s="28"/>
      <c r="O50" s="28"/>
      <c r="P50" s="28"/>
      <c r="Q50" s="28"/>
      <c r="R50" s="27"/>
      <c r="S50" s="27">
        <f t="shared" si="56"/>
        <v>10000</v>
      </c>
      <c r="T50" s="108"/>
      <c r="U50" s="27">
        <f t="shared" si="57"/>
        <v>0</v>
      </c>
      <c r="V50" s="27"/>
      <c r="W50" s="27">
        <v>0</v>
      </c>
      <c r="X50" s="27">
        <f t="shared" si="58"/>
        <v>10000</v>
      </c>
      <c r="Y50" s="239"/>
      <c r="Z50" s="32"/>
      <c r="AA50" s="208">
        <v>1</v>
      </c>
      <c r="AB50" s="44">
        <f t="shared" si="59"/>
        <v>0</v>
      </c>
      <c r="AC50" s="45" t="s">
        <v>203</v>
      </c>
      <c r="AD50" s="38"/>
      <c r="AE50" s="38"/>
      <c r="AF50" s="38"/>
      <c r="AG50" s="38"/>
      <c r="AH50" s="38"/>
      <c r="AI50" s="38"/>
      <c r="AJ50" s="38"/>
      <c r="AK50" s="38"/>
      <c r="AL50" s="39" t="str">
        <f t="shared" si="60"/>
        <v/>
      </c>
      <c r="AM50" s="39" t="str">
        <f t="shared" si="61"/>
        <v/>
      </c>
      <c r="AN50" s="32"/>
      <c r="AO50" s="51">
        <f t="shared" si="62"/>
        <v>0</v>
      </c>
      <c r="AP50" s="52">
        <f t="shared" si="63"/>
        <v>0</v>
      </c>
      <c r="AQ50" s="53" t="s">
        <v>42</v>
      </c>
      <c r="AR50" s="38"/>
      <c r="AS50" s="38"/>
      <c r="AT50" s="38"/>
      <c r="AU50" s="38"/>
      <c r="AV50" s="38"/>
      <c r="AW50" s="38"/>
      <c r="AX50" s="38"/>
      <c r="AY50" s="38"/>
      <c r="AZ50" s="39" t="str">
        <f t="shared" si="64"/>
        <v/>
      </c>
      <c r="BA50" s="39" t="str">
        <f t="shared" si="65"/>
        <v/>
      </c>
      <c r="BB50" s="147"/>
    </row>
    <row r="51" spans="1:54" x14ac:dyDescent="0.25">
      <c r="A51" s="336">
        <v>1</v>
      </c>
      <c r="B51" s="229">
        <f>SUM($A$2:$A51)</f>
        <v>50</v>
      </c>
      <c r="C51" s="161" t="s">
        <v>595</v>
      </c>
      <c r="D51" s="161" t="s">
        <v>599</v>
      </c>
      <c r="E51" s="161" t="s">
        <v>567</v>
      </c>
      <c r="F51" s="161"/>
      <c r="G51" s="161"/>
      <c r="H51" s="161" t="s">
        <v>573</v>
      </c>
      <c r="I51" s="220" t="str">
        <f t="shared" si="55"/>
        <v>FSA.WestSac.Warehouse.perSQFT</v>
      </c>
      <c r="J51" s="220"/>
      <c r="K51" s="221"/>
      <c r="L51" s="221"/>
      <c r="M51" s="222">
        <v>20000</v>
      </c>
      <c r="N51" s="222"/>
      <c r="O51" s="222"/>
      <c r="P51" s="222"/>
      <c r="Q51" s="222"/>
      <c r="R51" s="223"/>
      <c r="S51" s="223">
        <f t="shared" si="56"/>
        <v>20000</v>
      </c>
      <c r="T51" s="221"/>
      <c r="U51" s="223">
        <f t="shared" si="57"/>
        <v>0</v>
      </c>
      <c r="V51" s="223"/>
      <c r="W51" s="223">
        <v>0</v>
      </c>
      <c r="X51" s="223">
        <f t="shared" si="58"/>
        <v>20000</v>
      </c>
      <c r="Y51" s="240"/>
      <c r="Z51" s="32"/>
      <c r="AA51" s="209">
        <v>1</v>
      </c>
      <c r="AB51" s="46">
        <f t="shared" si="59"/>
        <v>0</v>
      </c>
      <c r="AC51" s="47" t="s">
        <v>203</v>
      </c>
      <c r="AD51" s="40"/>
      <c r="AE51" s="40"/>
      <c r="AF51" s="40"/>
      <c r="AG51" s="40"/>
      <c r="AH51" s="40"/>
      <c r="AI51" s="40"/>
      <c r="AJ51" s="40"/>
      <c r="AK51" s="40"/>
      <c r="AL51" s="41" t="str">
        <f t="shared" si="60"/>
        <v/>
      </c>
      <c r="AM51" s="41" t="str">
        <f t="shared" si="61"/>
        <v/>
      </c>
      <c r="AN51" s="32"/>
      <c r="AO51" s="54">
        <f t="shared" si="62"/>
        <v>0</v>
      </c>
      <c r="AP51" s="55">
        <f t="shared" si="63"/>
        <v>0</v>
      </c>
      <c r="AQ51" s="56" t="s">
        <v>42</v>
      </c>
      <c r="AR51" s="40"/>
      <c r="AS51" s="40"/>
      <c r="AT51" s="40"/>
      <c r="AU51" s="40"/>
      <c r="AV51" s="40"/>
      <c r="AW51" s="40"/>
      <c r="AX51" s="40"/>
      <c r="AY51" s="40"/>
      <c r="AZ51" s="41" t="str">
        <f t="shared" si="64"/>
        <v/>
      </c>
      <c r="BA51" s="41" t="str">
        <f t="shared" si="65"/>
        <v/>
      </c>
      <c r="BB51" s="148"/>
    </row>
    <row r="52" spans="1:54" x14ac:dyDescent="0.25">
      <c r="A52" s="336">
        <v>1</v>
      </c>
      <c r="B52" s="229">
        <f>SUM($A$2:$A52)</f>
        <v>51</v>
      </c>
      <c r="C52" s="161" t="s">
        <v>595</v>
      </c>
      <c r="D52" s="161" t="s">
        <v>597</v>
      </c>
      <c r="E52" s="161" t="s">
        <v>570</v>
      </c>
      <c r="F52" s="161"/>
      <c r="G52" s="161"/>
      <c r="H52" s="161" t="s">
        <v>579</v>
      </c>
      <c r="I52" s="23" t="str">
        <f t="shared" si="55"/>
        <v>FSA.Winters.CRC.perUnit</v>
      </c>
      <c r="J52" s="23"/>
      <c r="K52" s="108"/>
      <c r="L52" s="108"/>
      <c r="M52" s="28">
        <v>1</v>
      </c>
      <c r="N52" s="25"/>
      <c r="O52" s="25"/>
      <c r="P52" s="25"/>
      <c r="Q52" s="25"/>
      <c r="R52" s="27">
        <v>6514</v>
      </c>
      <c r="S52" s="27">
        <f t="shared" si="1"/>
        <v>6514</v>
      </c>
      <c r="T52" s="108"/>
      <c r="U52" s="27">
        <f t="shared" si="8"/>
        <v>0</v>
      </c>
      <c r="V52" s="27"/>
      <c r="W52" s="27">
        <v>0</v>
      </c>
      <c r="X52" s="27">
        <f t="shared" si="9"/>
        <v>6514</v>
      </c>
      <c r="Y52" s="239"/>
      <c r="Z52" s="32"/>
      <c r="AA52" s="208">
        <v>1</v>
      </c>
      <c r="AB52" s="44">
        <f t="shared" si="2"/>
        <v>0</v>
      </c>
      <c r="AC52" s="45" t="s">
        <v>203</v>
      </c>
      <c r="AD52" s="38"/>
      <c r="AE52" s="38"/>
      <c r="AF52" s="38"/>
      <c r="AG52" s="38"/>
      <c r="AH52" s="38"/>
      <c r="AI52" s="38"/>
      <c r="AJ52" s="38"/>
      <c r="AK52" s="38"/>
      <c r="AL52" s="39" t="str">
        <f t="shared" si="41"/>
        <v/>
      </c>
      <c r="AM52" s="39" t="str">
        <f t="shared" si="42"/>
        <v/>
      </c>
      <c r="AN52" s="32"/>
      <c r="AO52" s="51">
        <f t="shared" si="10"/>
        <v>0</v>
      </c>
      <c r="AP52" s="52">
        <f t="shared" si="5"/>
        <v>0</v>
      </c>
      <c r="AQ52" s="53" t="s">
        <v>42</v>
      </c>
      <c r="AR52" s="38"/>
      <c r="AS52" s="38"/>
      <c r="AT52" s="38"/>
      <c r="AU52" s="38"/>
      <c r="AV52" s="38"/>
      <c r="AW52" s="38"/>
      <c r="AX52" s="38"/>
      <c r="AY52" s="38"/>
      <c r="AZ52" s="39" t="str">
        <f t="shared" si="43"/>
        <v/>
      </c>
      <c r="BA52" s="39" t="str">
        <f t="shared" si="44"/>
        <v/>
      </c>
      <c r="BB52" s="147"/>
    </row>
    <row r="53" spans="1:54" x14ac:dyDescent="0.25">
      <c r="A53" s="336">
        <v>1</v>
      </c>
      <c r="B53" s="229">
        <f>SUM($A$2:$A53)</f>
        <v>52</v>
      </c>
      <c r="C53" s="161" t="s">
        <v>595</v>
      </c>
      <c r="D53" s="161" t="s">
        <v>597</v>
      </c>
      <c r="E53" s="161" t="s">
        <v>571</v>
      </c>
      <c r="F53" s="161"/>
      <c r="G53" s="161"/>
      <c r="H53" s="161" t="s">
        <v>358</v>
      </c>
      <c r="I53" s="23" t="str">
        <f t="shared" si="55"/>
        <v>FSA.Winters.ADU1.Flat</v>
      </c>
      <c r="J53" s="23"/>
      <c r="K53" s="108"/>
      <c r="L53" s="108"/>
      <c r="M53" s="28">
        <v>1</v>
      </c>
      <c r="N53" s="25"/>
      <c r="O53" s="25"/>
      <c r="P53" s="25"/>
      <c r="Q53" s="25"/>
      <c r="R53" s="27">
        <v>0</v>
      </c>
      <c r="S53" s="27">
        <f t="shared" si="1"/>
        <v>0</v>
      </c>
      <c r="T53" s="108"/>
      <c r="U53" s="27">
        <f t="shared" si="8"/>
        <v>0</v>
      </c>
      <c r="V53" s="27"/>
      <c r="W53" s="27">
        <v>0</v>
      </c>
      <c r="X53" s="27">
        <f t="shared" si="9"/>
        <v>0</v>
      </c>
      <c r="Y53" s="239"/>
      <c r="Z53" s="32"/>
      <c r="AA53" s="208">
        <v>1</v>
      </c>
      <c r="AB53" s="44">
        <f t="shared" si="2"/>
        <v>0</v>
      </c>
      <c r="AC53" s="45" t="s">
        <v>203</v>
      </c>
      <c r="AD53" s="38"/>
      <c r="AE53" s="38"/>
      <c r="AF53" s="38"/>
      <c r="AG53" s="38"/>
      <c r="AH53" s="38"/>
      <c r="AI53" s="38"/>
      <c r="AJ53" s="38"/>
      <c r="AK53" s="38"/>
      <c r="AL53" s="39" t="str">
        <f t="shared" si="41"/>
        <v/>
      </c>
      <c r="AM53" s="39" t="str">
        <f t="shared" si="42"/>
        <v/>
      </c>
      <c r="AN53" s="32"/>
      <c r="AO53" s="51">
        <f t="shared" si="10"/>
        <v>0</v>
      </c>
      <c r="AP53" s="52">
        <f t="shared" si="5"/>
        <v>0</v>
      </c>
      <c r="AQ53" s="53" t="s">
        <v>42</v>
      </c>
      <c r="AR53" s="38"/>
      <c r="AS53" s="38"/>
      <c r="AT53" s="38"/>
      <c r="AU53" s="38"/>
      <c r="AV53" s="38"/>
      <c r="AW53" s="38"/>
      <c r="AX53" s="38"/>
      <c r="AY53" s="38"/>
      <c r="AZ53" s="39" t="str">
        <f t="shared" si="43"/>
        <v/>
      </c>
      <c r="BA53" s="39" t="str">
        <f t="shared" si="44"/>
        <v/>
      </c>
      <c r="BB53" s="147"/>
    </row>
    <row r="54" spans="1:54" x14ac:dyDescent="0.25">
      <c r="A54" s="336">
        <v>1</v>
      </c>
      <c r="B54" s="229">
        <f>SUM($A$2:$A54)</f>
        <v>53</v>
      </c>
      <c r="C54" s="161" t="s">
        <v>595</v>
      </c>
      <c r="D54" s="161" t="s">
        <v>597</v>
      </c>
      <c r="E54" s="161" t="s">
        <v>572</v>
      </c>
      <c r="F54" s="161"/>
      <c r="G54" s="161"/>
      <c r="H54" s="161" t="s">
        <v>573</v>
      </c>
      <c r="I54" s="23" t="str">
        <f t="shared" si="55"/>
        <v>FSA.Winters.ADU2.perSQFT</v>
      </c>
      <c r="J54" s="23"/>
      <c r="K54" s="108"/>
      <c r="L54" s="108"/>
      <c r="M54" s="28">
        <v>0.4</v>
      </c>
      <c r="N54" s="25"/>
      <c r="O54" s="25"/>
      <c r="P54" s="25"/>
      <c r="Q54" s="25"/>
      <c r="R54" s="27">
        <f>R52*M54</f>
        <v>2605.6000000000004</v>
      </c>
      <c r="S54" s="27">
        <f t="shared" si="1"/>
        <v>1042.2400000000002</v>
      </c>
      <c r="T54" s="108"/>
      <c r="U54" s="27">
        <f t="shared" si="8"/>
        <v>0</v>
      </c>
      <c r="V54" s="27"/>
      <c r="W54" s="27">
        <v>0</v>
      </c>
      <c r="X54" s="27">
        <f t="shared" si="9"/>
        <v>1042.2400000000002</v>
      </c>
      <c r="Y54" s="239"/>
      <c r="Z54" s="32"/>
      <c r="AA54" s="208">
        <v>1</v>
      </c>
      <c r="AB54" s="44">
        <f t="shared" si="2"/>
        <v>0</v>
      </c>
      <c r="AC54" s="45" t="s">
        <v>203</v>
      </c>
      <c r="AD54" s="38"/>
      <c r="AE54" s="38"/>
      <c r="AF54" s="38"/>
      <c r="AG54" s="38"/>
      <c r="AH54" s="38"/>
      <c r="AI54" s="38"/>
      <c r="AJ54" s="38"/>
      <c r="AK54" s="38"/>
      <c r="AL54" s="39" t="str">
        <f t="shared" si="41"/>
        <v/>
      </c>
      <c r="AM54" s="39" t="str">
        <f t="shared" si="42"/>
        <v/>
      </c>
      <c r="AN54" s="32"/>
      <c r="AO54" s="51">
        <f t="shared" si="10"/>
        <v>0</v>
      </c>
      <c r="AP54" s="52">
        <f t="shared" si="5"/>
        <v>0</v>
      </c>
      <c r="AQ54" s="53" t="s">
        <v>42</v>
      </c>
      <c r="AR54" s="38"/>
      <c r="AS54" s="38"/>
      <c r="AT54" s="38"/>
      <c r="AU54" s="38"/>
      <c r="AV54" s="38"/>
      <c r="AW54" s="38"/>
      <c r="AX54" s="38"/>
      <c r="AY54" s="38"/>
      <c r="AZ54" s="39" t="str">
        <f t="shared" si="43"/>
        <v/>
      </c>
      <c r="BA54" s="39" t="str">
        <f t="shared" si="44"/>
        <v/>
      </c>
      <c r="BB54" s="147"/>
    </row>
    <row r="55" spans="1:54" x14ac:dyDescent="0.25">
      <c r="A55" s="336">
        <v>1</v>
      </c>
      <c r="B55" s="229">
        <f>SUM($A$2:$A55)</f>
        <v>54</v>
      </c>
      <c r="C55" s="161" t="s">
        <v>595</v>
      </c>
      <c r="D55" s="161" t="s">
        <v>597</v>
      </c>
      <c r="E55" s="161" t="s">
        <v>569</v>
      </c>
      <c r="F55" s="161"/>
      <c r="G55" s="161"/>
      <c r="H55" s="161" t="s">
        <v>573</v>
      </c>
      <c r="I55" s="23" t="str">
        <f t="shared" si="55"/>
        <v>FSA.Winters.Factory.perSQFT</v>
      </c>
      <c r="J55" s="23"/>
      <c r="K55" s="108"/>
      <c r="L55" s="108"/>
      <c r="M55" s="28">
        <v>10000</v>
      </c>
      <c r="N55" s="25"/>
      <c r="O55" s="25"/>
      <c r="P55" s="25"/>
      <c r="Q55" s="25"/>
      <c r="R55" s="27"/>
      <c r="S55" s="27">
        <f t="shared" si="1"/>
        <v>10000</v>
      </c>
      <c r="T55" s="108"/>
      <c r="U55" s="27">
        <f t="shared" si="8"/>
        <v>0</v>
      </c>
      <c r="V55" s="27"/>
      <c r="W55" s="27">
        <v>0</v>
      </c>
      <c r="X55" s="27">
        <f t="shared" si="9"/>
        <v>10000</v>
      </c>
      <c r="Y55" s="239"/>
      <c r="Z55" s="32"/>
      <c r="AA55" s="208">
        <v>1</v>
      </c>
      <c r="AB55" s="44">
        <f t="shared" si="2"/>
        <v>0</v>
      </c>
      <c r="AC55" s="45" t="s">
        <v>203</v>
      </c>
      <c r="AD55" s="38"/>
      <c r="AE55" s="38"/>
      <c r="AF55" s="38"/>
      <c r="AG55" s="38"/>
      <c r="AH55" s="38"/>
      <c r="AI55" s="38"/>
      <c r="AJ55" s="38"/>
      <c r="AK55" s="38"/>
      <c r="AL55" s="39" t="str">
        <f t="shared" si="41"/>
        <v/>
      </c>
      <c r="AM55" s="39" t="str">
        <f t="shared" si="42"/>
        <v/>
      </c>
      <c r="AN55" s="32"/>
      <c r="AO55" s="51">
        <f t="shared" si="10"/>
        <v>0</v>
      </c>
      <c r="AP55" s="52">
        <f t="shared" si="5"/>
        <v>0</v>
      </c>
      <c r="AQ55" s="53" t="s">
        <v>42</v>
      </c>
      <c r="AR55" s="38"/>
      <c r="AS55" s="38"/>
      <c r="AT55" s="38"/>
      <c r="AU55" s="38"/>
      <c r="AV55" s="38"/>
      <c r="AW55" s="38"/>
      <c r="AX55" s="38"/>
      <c r="AY55" s="38"/>
      <c r="AZ55" s="39" t="str">
        <f t="shared" si="43"/>
        <v/>
      </c>
      <c r="BA55" s="39" t="str">
        <f t="shared" si="44"/>
        <v/>
      </c>
      <c r="BB55" s="147"/>
    </row>
    <row r="56" spans="1:54" x14ac:dyDescent="0.25">
      <c r="A56" s="336">
        <v>1</v>
      </c>
      <c r="B56" s="229">
        <f>SUM($A$2:$A56)</f>
        <v>55</v>
      </c>
      <c r="C56" s="161" t="s">
        <v>595</v>
      </c>
      <c r="D56" s="161" t="s">
        <v>597</v>
      </c>
      <c r="E56" s="161" t="s">
        <v>568</v>
      </c>
      <c r="F56" s="161"/>
      <c r="G56" s="161"/>
      <c r="H56" s="161" t="s">
        <v>573</v>
      </c>
      <c r="I56" s="23" t="str">
        <f t="shared" si="55"/>
        <v>FSA.Winters.Office.perSQFT</v>
      </c>
      <c r="J56" s="23"/>
      <c r="K56" s="108"/>
      <c r="L56" s="108"/>
      <c r="M56" s="28">
        <v>5000</v>
      </c>
      <c r="N56" s="25"/>
      <c r="O56" s="25"/>
      <c r="P56" s="25"/>
      <c r="Q56" s="25"/>
      <c r="R56" s="27"/>
      <c r="S56" s="27">
        <f t="shared" si="1"/>
        <v>5000</v>
      </c>
      <c r="T56" s="108"/>
      <c r="U56" s="27">
        <f t="shared" si="8"/>
        <v>0</v>
      </c>
      <c r="V56" s="27"/>
      <c r="W56" s="27">
        <v>0</v>
      </c>
      <c r="X56" s="27">
        <f t="shared" si="9"/>
        <v>5000</v>
      </c>
      <c r="Y56" s="239"/>
      <c r="Z56" s="32"/>
      <c r="AA56" s="208">
        <v>1</v>
      </c>
      <c r="AB56" s="44">
        <f t="shared" si="2"/>
        <v>0</v>
      </c>
      <c r="AC56" s="45" t="s">
        <v>203</v>
      </c>
      <c r="AD56" s="38"/>
      <c r="AE56" s="38"/>
      <c r="AF56" s="38"/>
      <c r="AG56" s="38"/>
      <c r="AH56" s="38"/>
      <c r="AI56" s="38"/>
      <c r="AJ56" s="38"/>
      <c r="AK56" s="38"/>
      <c r="AL56" s="39" t="str">
        <f t="shared" si="41"/>
        <v/>
      </c>
      <c r="AM56" s="39" t="str">
        <f t="shared" si="42"/>
        <v/>
      </c>
      <c r="AN56" s="32"/>
      <c r="AO56" s="51">
        <f t="shared" si="10"/>
        <v>0</v>
      </c>
      <c r="AP56" s="52">
        <f t="shared" si="5"/>
        <v>0</v>
      </c>
      <c r="AQ56" s="53" t="s">
        <v>42</v>
      </c>
      <c r="AR56" s="38"/>
      <c r="AS56" s="38"/>
      <c r="AT56" s="38"/>
      <c r="AU56" s="38"/>
      <c r="AV56" s="38"/>
      <c r="AW56" s="38"/>
      <c r="AX56" s="38"/>
      <c r="AY56" s="38"/>
      <c r="AZ56" s="39" t="str">
        <f t="shared" si="43"/>
        <v/>
      </c>
      <c r="BA56" s="39" t="str">
        <f t="shared" si="44"/>
        <v/>
      </c>
      <c r="BB56" s="147"/>
    </row>
    <row r="57" spans="1:54" x14ac:dyDescent="0.25">
      <c r="A57" s="336">
        <v>1</v>
      </c>
      <c r="B57" s="229">
        <f>SUM($A$2:$A57)</f>
        <v>56</v>
      </c>
      <c r="C57" s="161" t="s">
        <v>595</v>
      </c>
      <c r="D57" s="161" t="s">
        <v>597</v>
      </c>
      <c r="E57" s="161" t="s">
        <v>566</v>
      </c>
      <c r="F57" s="161"/>
      <c r="G57" s="161"/>
      <c r="H57" s="161" t="s">
        <v>573</v>
      </c>
      <c r="I57" s="23" t="str">
        <f t="shared" si="55"/>
        <v>FSA.Winters.Retail.perSQFT</v>
      </c>
      <c r="J57" s="23"/>
      <c r="K57" s="108"/>
      <c r="L57" s="108"/>
      <c r="M57" s="28">
        <v>10000</v>
      </c>
      <c r="N57" s="28"/>
      <c r="O57" s="28"/>
      <c r="P57" s="28"/>
      <c r="Q57" s="28"/>
      <c r="R57" s="27"/>
      <c r="S57" s="27">
        <f t="shared" si="1"/>
        <v>10000</v>
      </c>
      <c r="T57" s="108"/>
      <c r="U57" s="27">
        <f t="shared" si="8"/>
        <v>0</v>
      </c>
      <c r="V57" s="27"/>
      <c r="W57" s="27">
        <v>0</v>
      </c>
      <c r="X57" s="27">
        <f t="shared" si="9"/>
        <v>10000</v>
      </c>
      <c r="Y57" s="239"/>
      <c r="Z57" s="32"/>
      <c r="AA57" s="208">
        <v>1</v>
      </c>
      <c r="AB57" s="44">
        <f t="shared" si="2"/>
        <v>0</v>
      </c>
      <c r="AC57" s="45" t="s">
        <v>203</v>
      </c>
      <c r="AD57" s="38"/>
      <c r="AE57" s="38"/>
      <c r="AF57" s="38"/>
      <c r="AG57" s="38"/>
      <c r="AH57" s="38"/>
      <c r="AI57" s="38"/>
      <c r="AJ57" s="38"/>
      <c r="AK57" s="38"/>
      <c r="AL57" s="39" t="str">
        <f t="shared" si="41"/>
        <v/>
      </c>
      <c r="AM57" s="39" t="str">
        <f t="shared" si="42"/>
        <v/>
      </c>
      <c r="AN57" s="32"/>
      <c r="AO57" s="51">
        <f t="shared" si="10"/>
        <v>0</v>
      </c>
      <c r="AP57" s="52">
        <f t="shared" si="5"/>
        <v>0</v>
      </c>
      <c r="AQ57" s="53" t="s">
        <v>42</v>
      </c>
      <c r="AR57" s="38"/>
      <c r="AS57" s="38"/>
      <c r="AT57" s="38"/>
      <c r="AU57" s="38"/>
      <c r="AV57" s="38"/>
      <c r="AW57" s="38"/>
      <c r="AX57" s="38"/>
      <c r="AY57" s="38"/>
      <c r="AZ57" s="39" t="str">
        <f t="shared" si="43"/>
        <v/>
      </c>
      <c r="BA57" s="39" t="str">
        <f t="shared" si="44"/>
        <v/>
      </c>
      <c r="BB57" s="147"/>
    </row>
    <row r="58" spans="1:54" x14ac:dyDescent="0.25">
      <c r="A58" s="336">
        <v>1</v>
      </c>
      <c r="B58" s="229">
        <f>SUM($A$2:$A58)</f>
        <v>57</v>
      </c>
      <c r="C58" s="161" t="s">
        <v>595</v>
      </c>
      <c r="D58" s="161" t="s">
        <v>597</v>
      </c>
      <c r="E58" s="161" t="s">
        <v>567</v>
      </c>
      <c r="F58" s="161"/>
      <c r="G58" s="161"/>
      <c r="H58" s="161" t="s">
        <v>573</v>
      </c>
      <c r="I58" s="220" t="str">
        <f t="shared" si="55"/>
        <v>FSA.Winters.Warehouse.perSQFT</v>
      </c>
      <c r="J58" s="220"/>
      <c r="K58" s="221"/>
      <c r="L58" s="221"/>
      <c r="M58" s="222">
        <v>20000</v>
      </c>
      <c r="N58" s="222"/>
      <c r="O58" s="222"/>
      <c r="P58" s="222"/>
      <c r="Q58" s="222"/>
      <c r="R58" s="223"/>
      <c r="S58" s="223">
        <f t="shared" si="1"/>
        <v>20000</v>
      </c>
      <c r="T58" s="221"/>
      <c r="U58" s="223">
        <f t="shared" si="8"/>
        <v>0</v>
      </c>
      <c r="V58" s="223"/>
      <c r="W58" s="223">
        <v>0</v>
      </c>
      <c r="X58" s="223">
        <f t="shared" si="9"/>
        <v>20000</v>
      </c>
      <c r="Y58" s="240"/>
      <c r="Z58" s="32"/>
      <c r="AA58" s="209">
        <v>1</v>
      </c>
      <c r="AB58" s="46">
        <f t="shared" si="2"/>
        <v>0</v>
      </c>
      <c r="AC58" s="47" t="s">
        <v>203</v>
      </c>
      <c r="AD58" s="40"/>
      <c r="AE58" s="40"/>
      <c r="AF58" s="40"/>
      <c r="AG58" s="40"/>
      <c r="AH58" s="40"/>
      <c r="AI58" s="40"/>
      <c r="AJ58" s="40"/>
      <c r="AK58" s="40"/>
      <c r="AL58" s="41" t="str">
        <f t="shared" si="41"/>
        <v/>
      </c>
      <c r="AM58" s="41" t="str">
        <f t="shared" si="42"/>
        <v/>
      </c>
      <c r="AN58" s="32"/>
      <c r="AO58" s="54">
        <f t="shared" si="10"/>
        <v>0</v>
      </c>
      <c r="AP58" s="55">
        <f t="shared" si="5"/>
        <v>0</v>
      </c>
      <c r="AQ58" s="56" t="s">
        <v>42</v>
      </c>
      <c r="AR58" s="40"/>
      <c r="AS58" s="40"/>
      <c r="AT58" s="40"/>
      <c r="AU58" s="40"/>
      <c r="AV58" s="40"/>
      <c r="AW58" s="40"/>
      <c r="AX58" s="40"/>
      <c r="AY58" s="40"/>
      <c r="AZ58" s="41" t="str">
        <f t="shared" si="43"/>
        <v/>
      </c>
      <c r="BA58" s="41" t="str">
        <f t="shared" si="44"/>
        <v/>
      </c>
      <c r="BB58" s="148"/>
    </row>
    <row r="59" spans="1:54" x14ac:dyDescent="0.25">
      <c r="A59" s="336">
        <v>1</v>
      </c>
      <c r="B59" s="229">
        <f>SUM($A$2:$A59)</f>
        <v>58</v>
      </c>
      <c r="C59" s="161" t="s">
        <v>595</v>
      </c>
      <c r="D59" s="161" t="s">
        <v>596</v>
      </c>
      <c r="E59" s="161" t="s">
        <v>570</v>
      </c>
      <c r="F59" s="161"/>
      <c r="G59" s="161"/>
      <c r="H59" s="161" t="s">
        <v>579</v>
      </c>
      <c r="I59" s="23" t="str">
        <f t="shared" si="55"/>
        <v>FSA.Woodland.CRC.perUnit</v>
      </c>
      <c r="J59" s="23"/>
      <c r="K59" s="108"/>
      <c r="L59" s="108"/>
      <c r="M59" s="28">
        <v>1</v>
      </c>
      <c r="N59" s="25"/>
      <c r="O59" s="25"/>
      <c r="P59" s="25"/>
      <c r="Q59" s="25"/>
      <c r="R59" s="27">
        <v>6514</v>
      </c>
      <c r="S59" s="27">
        <f t="shared" ref="S59:S65" si="66">PRODUCT(K59:R59)</f>
        <v>6514</v>
      </c>
      <c r="T59" s="108"/>
      <c r="U59" s="27">
        <f t="shared" ref="U59:U65" si="67">X59*T59</f>
        <v>0</v>
      </c>
      <c r="V59" s="27"/>
      <c r="W59" s="27">
        <v>0</v>
      </c>
      <c r="X59" s="27">
        <f t="shared" ref="X59:X65" si="68">S59-W59</f>
        <v>6514</v>
      </c>
      <c r="Y59" s="239"/>
      <c r="Z59" s="32"/>
      <c r="AA59" s="208">
        <v>1</v>
      </c>
      <c r="AB59" s="44">
        <f t="shared" ref="AB59:AB65" si="69">AA59*U59</f>
        <v>0</v>
      </c>
      <c r="AC59" s="45" t="s">
        <v>203</v>
      </c>
      <c r="AD59" s="38"/>
      <c r="AE59" s="38"/>
      <c r="AF59" s="38"/>
      <c r="AG59" s="38"/>
      <c r="AH59" s="38"/>
      <c r="AI59" s="38"/>
      <c r="AJ59" s="38"/>
      <c r="AK59" s="38"/>
      <c r="AL59" s="39" t="str">
        <f t="shared" ref="AL59:AL65" si="70">CONCATENATE(AD59,AE59,AF59,AG59)</f>
        <v/>
      </c>
      <c r="AM59" s="39" t="str">
        <f t="shared" ref="AM59:AM65" si="71">CONCATENATE(AD59,AE59,AF59,AG59)</f>
        <v/>
      </c>
      <c r="AN59" s="32"/>
      <c r="AO59" s="51">
        <f t="shared" ref="AO59:AO65" si="72">1-AA59</f>
        <v>0</v>
      </c>
      <c r="AP59" s="52">
        <f t="shared" ref="AP59:AP65" si="73">AO59*U59</f>
        <v>0</v>
      </c>
      <c r="AQ59" s="53" t="s">
        <v>42</v>
      </c>
      <c r="AR59" s="38"/>
      <c r="AS59" s="38"/>
      <c r="AT59" s="38"/>
      <c r="AU59" s="38"/>
      <c r="AV59" s="38"/>
      <c r="AW59" s="38"/>
      <c r="AX59" s="38"/>
      <c r="AY59" s="38"/>
      <c r="AZ59" s="39" t="str">
        <f t="shared" ref="AZ59:AZ65" si="74">CONCATENATE(AR59,AS59,AT59,AU59)</f>
        <v/>
      </c>
      <c r="BA59" s="39" t="str">
        <f t="shared" ref="BA59:BA65" si="75">CONCATENATE(AR59,AS59,AT59,AU59)</f>
        <v/>
      </c>
      <c r="BB59" s="147"/>
    </row>
    <row r="60" spans="1:54" x14ac:dyDescent="0.25">
      <c r="A60" s="336">
        <v>1</v>
      </c>
      <c r="B60" s="229">
        <f>SUM($A$2:$A60)</f>
        <v>59</v>
      </c>
      <c r="C60" s="161" t="s">
        <v>595</v>
      </c>
      <c r="D60" s="161" t="s">
        <v>596</v>
      </c>
      <c r="E60" s="161" t="s">
        <v>571</v>
      </c>
      <c r="F60" s="161"/>
      <c r="G60" s="161"/>
      <c r="H60" s="161" t="s">
        <v>358</v>
      </c>
      <c r="I60" s="23" t="str">
        <f t="shared" si="55"/>
        <v>FSA.Woodland.ADU1.Flat</v>
      </c>
      <c r="J60" s="23"/>
      <c r="K60" s="108"/>
      <c r="L60" s="108"/>
      <c r="M60" s="28">
        <v>1</v>
      </c>
      <c r="N60" s="25"/>
      <c r="O60" s="25"/>
      <c r="P60" s="25"/>
      <c r="Q60" s="25"/>
      <c r="R60" s="27">
        <v>0</v>
      </c>
      <c r="S60" s="27">
        <f t="shared" si="66"/>
        <v>0</v>
      </c>
      <c r="T60" s="108"/>
      <c r="U60" s="27">
        <f t="shared" si="67"/>
        <v>0</v>
      </c>
      <c r="V60" s="27"/>
      <c r="W60" s="27">
        <v>0</v>
      </c>
      <c r="X60" s="27">
        <f t="shared" si="68"/>
        <v>0</v>
      </c>
      <c r="Y60" s="239"/>
      <c r="Z60" s="32"/>
      <c r="AA60" s="208">
        <v>1</v>
      </c>
      <c r="AB60" s="44">
        <f t="shared" si="69"/>
        <v>0</v>
      </c>
      <c r="AC60" s="45" t="s">
        <v>203</v>
      </c>
      <c r="AD60" s="38"/>
      <c r="AE60" s="38"/>
      <c r="AF60" s="38"/>
      <c r="AG60" s="38"/>
      <c r="AH60" s="38"/>
      <c r="AI60" s="38"/>
      <c r="AJ60" s="38"/>
      <c r="AK60" s="38"/>
      <c r="AL60" s="39" t="str">
        <f t="shared" si="70"/>
        <v/>
      </c>
      <c r="AM60" s="39" t="str">
        <f t="shared" si="71"/>
        <v/>
      </c>
      <c r="AN60" s="32"/>
      <c r="AO60" s="51">
        <f t="shared" si="72"/>
        <v>0</v>
      </c>
      <c r="AP60" s="52">
        <f t="shared" si="73"/>
        <v>0</v>
      </c>
      <c r="AQ60" s="53" t="s">
        <v>42</v>
      </c>
      <c r="AR60" s="38"/>
      <c r="AS60" s="38"/>
      <c r="AT60" s="38"/>
      <c r="AU60" s="38"/>
      <c r="AV60" s="38"/>
      <c r="AW60" s="38"/>
      <c r="AX60" s="38"/>
      <c r="AY60" s="38"/>
      <c r="AZ60" s="39" t="str">
        <f t="shared" si="74"/>
        <v/>
      </c>
      <c r="BA60" s="39" t="str">
        <f t="shared" si="75"/>
        <v/>
      </c>
      <c r="BB60" s="147"/>
    </row>
    <row r="61" spans="1:54" x14ac:dyDescent="0.25">
      <c r="A61" s="336">
        <v>1</v>
      </c>
      <c r="B61" s="229">
        <f>SUM($A$2:$A61)</f>
        <v>60</v>
      </c>
      <c r="C61" s="161" t="s">
        <v>595</v>
      </c>
      <c r="D61" s="161" t="s">
        <v>596</v>
      </c>
      <c r="E61" s="161" t="s">
        <v>572</v>
      </c>
      <c r="F61" s="161"/>
      <c r="G61" s="161"/>
      <c r="H61" s="161" t="s">
        <v>573</v>
      </c>
      <c r="I61" s="23" t="str">
        <f t="shared" si="55"/>
        <v>FSA.Woodland.ADU2.perSQFT</v>
      </c>
      <c r="J61" s="23"/>
      <c r="K61" s="108"/>
      <c r="L61" s="108"/>
      <c r="M61" s="28">
        <v>0.4</v>
      </c>
      <c r="N61" s="25"/>
      <c r="O61" s="25"/>
      <c r="P61" s="25"/>
      <c r="Q61" s="25"/>
      <c r="R61" s="27">
        <f>R59*M61</f>
        <v>2605.6000000000004</v>
      </c>
      <c r="S61" s="27">
        <f t="shared" si="66"/>
        <v>1042.2400000000002</v>
      </c>
      <c r="T61" s="108"/>
      <c r="U61" s="27">
        <f t="shared" si="67"/>
        <v>0</v>
      </c>
      <c r="V61" s="27"/>
      <c r="W61" s="27">
        <v>0</v>
      </c>
      <c r="X61" s="27">
        <f t="shared" si="68"/>
        <v>1042.2400000000002</v>
      </c>
      <c r="Y61" s="239"/>
      <c r="Z61" s="32"/>
      <c r="AA61" s="208">
        <v>1</v>
      </c>
      <c r="AB61" s="44">
        <f t="shared" si="69"/>
        <v>0</v>
      </c>
      <c r="AC61" s="45" t="s">
        <v>203</v>
      </c>
      <c r="AD61" s="38"/>
      <c r="AE61" s="38"/>
      <c r="AF61" s="38"/>
      <c r="AG61" s="38"/>
      <c r="AH61" s="38"/>
      <c r="AI61" s="38"/>
      <c r="AJ61" s="38"/>
      <c r="AK61" s="38"/>
      <c r="AL61" s="39" t="str">
        <f t="shared" si="70"/>
        <v/>
      </c>
      <c r="AM61" s="39" t="str">
        <f t="shared" si="71"/>
        <v/>
      </c>
      <c r="AN61" s="32"/>
      <c r="AO61" s="51">
        <f t="shared" si="72"/>
        <v>0</v>
      </c>
      <c r="AP61" s="52">
        <f t="shared" si="73"/>
        <v>0</v>
      </c>
      <c r="AQ61" s="53" t="s">
        <v>42</v>
      </c>
      <c r="AR61" s="38"/>
      <c r="AS61" s="38"/>
      <c r="AT61" s="38"/>
      <c r="AU61" s="38"/>
      <c r="AV61" s="38"/>
      <c r="AW61" s="38"/>
      <c r="AX61" s="38"/>
      <c r="AY61" s="38"/>
      <c r="AZ61" s="39" t="str">
        <f t="shared" si="74"/>
        <v/>
      </c>
      <c r="BA61" s="39" t="str">
        <f t="shared" si="75"/>
        <v/>
      </c>
      <c r="BB61" s="147"/>
    </row>
    <row r="62" spans="1:54" x14ac:dyDescent="0.25">
      <c r="A62" s="336">
        <v>1</v>
      </c>
      <c r="B62" s="229">
        <f>SUM($A$2:$A62)</f>
        <v>61</v>
      </c>
      <c r="C62" s="161" t="s">
        <v>595</v>
      </c>
      <c r="D62" s="161" t="s">
        <v>596</v>
      </c>
      <c r="E62" s="161" t="s">
        <v>569</v>
      </c>
      <c r="F62" s="161"/>
      <c r="G62" s="161"/>
      <c r="H62" s="161" t="s">
        <v>573</v>
      </c>
      <c r="I62" s="23" t="str">
        <f t="shared" si="55"/>
        <v>FSA.Woodland.Factory.perSQFT</v>
      </c>
      <c r="J62" s="23"/>
      <c r="K62" s="108"/>
      <c r="L62" s="108"/>
      <c r="M62" s="28">
        <v>10000</v>
      </c>
      <c r="N62" s="25"/>
      <c r="O62" s="25"/>
      <c r="P62" s="25"/>
      <c r="Q62" s="25"/>
      <c r="R62" s="27"/>
      <c r="S62" s="27">
        <f t="shared" si="66"/>
        <v>10000</v>
      </c>
      <c r="T62" s="108"/>
      <c r="U62" s="27">
        <f t="shared" si="67"/>
        <v>0</v>
      </c>
      <c r="V62" s="27"/>
      <c r="W62" s="27">
        <v>0</v>
      </c>
      <c r="X62" s="27">
        <f t="shared" si="68"/>
        <v>10000</v>
      </c>
      <c r="Y62" s="239"/>
      <c r="Z62" s="32"/>
      <c r="AA62" s="208">
        <v>1</v>
      </c>
      <c r="AB62" s="44">
        <f t="shared" si="69"/>
        <v>0</v>
      </c>
      <c r="AC62" s="45" t="s">
        <v>203</v>
      </c>
      <c r="AD62" s="38"/>
      <c r="AE62" s="38"/>
      <c r="AF62" s="38"/>
      <c r="AG62" s="38"/>
      <c r="AH62" s="38"/>
      <c r="AI62" s="38"/>
      <c r="AJ62" s="38"/>
      <c r="AK62" s="38"/>
      <c r="AL62" s="39" t="str">
        <f t="shared" si="70"/>
        <v/>
      </c>
      <c r="AM62" s="39" t="str">
        <f t="shared" si="71"/>
        <v/>
      </c>
      <c r="AN62" s="32"/>
      <c r="AO62" s="51">
        <f t="shared" si="72"/>
        <v>0</v>
      </c>
      <c r="AP62" s="52">
        <f t="shared" si="73"/>
        <v>0</v>
      </c>
      <c r="AQ62" s="53" t="s">
        <v>42</v>
      </c>
      <c r="AR62" s="38"/>
      <c r="AS62" s="38"/>
      <c r="AT62" s="38"/>
      <c r="AU62" s="38"/>
      <c r="AV62" s="38"/>
      <c r="AW62" s="38"/>
      <c r="AX62" s="38"/>
      <c r="AY62" s="38"/>
      <c r="AZ62" s="39" t="str">
        <f t="shared" si="74"/>
        <v/>
      </c>
      <c r="BA62" s="39" t="str">
        <f t="shared" si="75"/>
        <v/>
      </c>
      <c r="BB62" s="147"/>
    </row>
    <row r="63" spans="1:54" x14ac:dyDescent="0.25">
      <c r="A63" s="336">
        <v>1</v>
      </c>
      <c r="B63" s="229">
        <f>SUM($A$2:$A63)</f>
        <v>62</v>
      </c>
      <c r="C63" s="161" t="s">
        <v>595</v>
      </c>
      <c r="D63" s="161" t="s">
        <v>596</v>
      </c>
      <c r="E63" s="161" t="s">
        <v>568</v>
      </c>
      <c r="F63" s="161"/>
      <c r="G63" s="161"/>
      <c r="H63" s="161" t="s">
        <v>573</v>
      </c>
      <c r="I63" s="23" t="str">
        <f t="shared" si="55"/>
        <v>FSA.Woodland.Office.perSQFT</v>
      </c>
      <c r="J63" s="23"/>
      <c r="K63" s="108"/>
      <c r="L63" s="108"/>
      <c r="M63" s="28">
        <v>5000</v>
      </c>
      <c r="N63" s="25"/>
      <c r="O63" s="25"/>
      <c r="P63" s="25"/>
      <c r="Q63" s="25"/>
      <c r="R63" s="27"/>
      <c r="S63" s="27">
        <f t="shared" si="66"/>
        <v>5000</v>
      </c>
      <c r="T63" s="108"/>
      <c r="U63" s="27">
        <f t="shared" si="67"/>
        <v>0</v>
      </c>
      <c r="V63" s="27"/>
      <c r="W63" s="27">
        <v>0</v>
      </c>
      <c r="X63" s="27">
        <f t="shared" si="68"/>
        <v>5000</v>
      </c>
      <c r="Y63" s="239"/>
      <c r="Z63" s="32"/>
      <c r="AA63" s="208">
        <v>1</v>
      </c>
      <c r="AB63" s="44">
        <f t="shared" si="69"/>
        <v>0</v>
      </c>
      <c r="AC63" s="45" t="s">
        <v>203</v>
      </c>
      <c r="AD63" s="38"/>
      <c r="AE63" s="38"/>
      <c r="AF63" s="38"/>
      <c r="AG63" s="38"/>
      <c r="AH63" s="38"/>
      <c r="AI63" s="38"/>
      <c r="AJ63" s="38"/>
      <c r="AK63" s="38"/>
      <c r="AL63" s="39" t="str">
        <f t="shared" si="70"/>
        <v/>
      </c>
      <c r="AM63" s="39" t="str">
        <f t="shared" si="71"/>
        <v/>
      </c>
      <c r="AN63" s="32"/>
      <c r="AO63" s="51">
        <f t="shared" si="72"/>
        <v>0</v>
      </c>
      <c r="AP63" s="52">
        <f t="shared" si="73"/>
        <v>0</v>
      </c>
      <c r="AQ63" s="53" t="s">
        <v>42</v>
      </c>
      <c r="AR63" s="38"/>
      <c r="AS63" s="38"/>
      <c r="AT63" s="38"/>
      <c r="AU63" s="38"/>
      <c r="AV63" s="38"/>
      <c r="AW63" s="38"/>
      <c r="AX63" s="38"/>
      <c r="AY63" s="38"/>
      <c r="AZ63" s="39" t="str">
        <f t="shared" si="74"/>
        <v/>
      </c>
      <c r="BA63" s="39" t="str">
        <f t="shared" si="75"/>
        <v/>
      </c>
      <c r="BB63" s="147"/>
    </row>
    <row r="64" spans="1:54" x14ac:dyDescent="0.25">
      <c r="A64" s="336">
        <v>1</v>
      </c>
      <c r="B64" s="229">
        <f>SUM($A$2:$A64)</f>
        <v>63</v>
      </c>
      <c r="C64" s="161" t="s">
        <v>595</v>
      </c>
      <c r="D64" s="161" t="s">
        <v>596</v>
      </c>
      <c r="E64" s="161" t="s">
        <v>566</v>
      </c>
      <c r="F64" s="161"/>
      <c r="G64" s="161"/>
      <c r="H64" s="161" t="s">
        <v>573</v>
      </c>
      <c r="I64" s="23" t="str">
        <f t="shared" si="55"/>
        <v>FSA.Woodland.Retail.perSQFT</v>
      </c>
      <c r="J64" s="23"/>
      <c r="K64" s="108"/>
      <c r="L64" s="108"/>
      <c r="M64" s="28">
        <v>10000</v>
      </c>
      <c r="N64" s="28"/>
      <c r="O64" s="28"/>
      <c r="P64" s="28"/>
      <c r="Q64" s="28"/>
      <c r="R64" s="27"/>
      <c r="S64" s="27">
        <f t="shared" si="66"/>
        <v>10000</v>
      </c>
      <c r="T64" s="108"/>
      <c r="U64" s="27">
        <f t="shared" si="67"/>
        <v>0</v>
      </c>
      <c r="V64" s="27"/>
      <c r="W64" s="27">
        <v>0</v>
      </c>
      <c r="X64" s="27">
        <f t="shared" si="68"/>
        <v>10000</v>
      </c>
      <c r="Y64" s="239"/>
      <c r="Z64" s="32"/>
      <c r="AA64" s="208">
        <v>1</v>
      </c>
      <c r="AB64" s="44">
        <f t="shared" si="69"/>
        <v>0</v>
      </c>
      <c r="AC64" s="45" t="s">
        <v>203</v>
      </c>
      <c r="AD64" s="38"/>
      <c r="AE64" s="38"/>
      <c r="AF64" s="38"/>
      <c r="AG64" s="38"/>
      <c r="AH64" s="38"/>
      <c r="AI64" s="38"/>
      <c r="AJ64" s="38"/>
      <c r="AK64" s="38"/>
      <c r="AL64" s="39" t="str">
        <f t="shared" si="70"/>
        <v/>
      </c>
      <c r="AM64" s="39" t="str">
        <f t="shared" si="71"/>
        <v/>
      </c>
      <c r="AN64" s="32"/>
      <c r="AO64" s="51">
        <f t="shared" si="72"/>
        <v>0</v>
      </c>
      <c r="AP64" s="52">
        <f t="shared" si="73"/>
        <v>0</v>
      </c>
      <c r="AQ64" s="53" t="s">
        <v>42</v>
      </c>
      <c r="AR64" s="38"/>
      <c r="AS64" s="38"/>
      <c r="AT64" s="38"/>
      <c r="AU64" s="38"/>
      <c r="AV64" s="38"/>
      <c r="AW64" s="38"/>
      <c r="AX64" s="38"/>
      <c r="AY64" s="38"/>
      <c r="AZ64" s="39" t="str">
        <f t="shared" si="74"/>
        <v/>
      </c>
      <c r="BA64" s="39" t="str">
        <f t="shared" si="75"/>
        <v/>
      </c>
      <c r="BB64" s="147"/>
    </row>
    <row r="65" spans="1:54" x14ac:dyDescent="0.25">
      <c r="A65" s="336">
        <v>1</v>
      </c>
      <c r="B65" s="229">
        <f>SUM($A$2:$A65)</f>
        <v>64</v>
      </c>
      <c r="C65" s="161" t="s">
        <v>595</v>
      </c>
      <c r="D65" s="161" t="s">
        <v>596</v>
      </c>
      <c r="E65" s="161" t="s">
        <v>567</v>
      </c>
      <c r="F65" s="161"/>
      <c r="G65" s="161"/>
      <c r="H65" s="161" t="s">
        <v>573</v>
      </c>
      <c r="I65" s="220" t="str">
        <f t="shared" si="55"/>
        <v>FSA.Woodland.Warehouse.perSQFT</v>
      </c>
      <c r="J65" s="220"/>
      <c r="K65" s="221"/>
      <c r="L65" s="221"/>
      <c r="M65" s="222">
        <v>20000</v>
      </c>
      <c r="N65" s="222"/>
      <c r="O65" s="222"/>
      <c r="P65" s="222"/>
      <c r="Q65" s="222"/>
      <c r="R65" s="223"/>
      <c r="S65" s="223">
        <f t="shared" si="66"/>
        <v>20000</v>
      </c>
      <c r="T65" s="221"/>
      <c r="U65" s="223">
        <f t="shared" si="67"/>
        <v>0</v>
      </c>
      <c r="V65" s="223"/>
      <c r="W65" s="223">
        <v>0</v>
      </c>
      <c r="X65" s="223">
        <f t="shared" si="68"/>
        <v>20000</v>
      </c>
      <c r="Y65" s="240"/>
      <c r="Z65" s="32"/>
      <c r="AA65" s="209">
        <v>1</v>
      </c>
      <c r="AB65" s="46">
        <f t="shared" si="69"/>
        <v>0</v>
      </c>
      <c r="AC65" s="47" t="s">
        <v>203</v>
      </c>
      <c r="AD65" s="40"/>
      <c r="AE65" s="40"/>
      <c r="AF65" s="40"/>
      <c r="AG65" s="40"/>
      <c r="AH65" s="40"/>
      <c r="AI65" s="40"/>
      <c r="AJ65" s="40"/>
      <c r="AK65" s="40"/>
      <c r="AL65" s="41" t="str">
        <f t="shared" si="70"/>
        <v/>
      </c>
      <c r="AM65" s="41" t="str">
        <f t="shared" si="71"/>
        <v/>
      </c>
      <c r="AN65" s="32"/>
      <c r="AO65" s="54">
        <f t="shared" si="72"/>
        <v>0</v>
      </c>
      <c r="AP65" s="55">
        <f t="shared" si="73"/>
        <v>0</v>
      </c>
      <c r="AQ65" s="56" t="s">
        <v>42</v>
      </c>
      <c r="AR65" s="40"/>
      <c r="AS65" s="40"/>
      <c r="AT65" s="40"/>
      <c r="AU65" s="40"/>
      <c r="AV65" s="40"/>
      <c r="AW65" s="40"/>
      <c r="AX65" s="40"/>
      <c r="AY65" s="40"/>
      <c r="AZ65" s="41" t="str">
        <f t="shared" si="74"/>
        <v/>
      </c>
      <c r="BA65" s="41" t="str">
        <f t="shared" si="75"/>
        <v/>
      </c>
      <c r="BB65" s="148"/>
    </row>
    <row r="66" spans="1:54" x14ac:dyDescent="0.25">
      <c r="A66" s="336">
        <v>1</v>
      </c>
      <c r="B66" s="229">
        <f>SUM($A$2:$A66)</f>
        <v>65</v>
      </c>
      <c r="C66" s="161" t="s">
        <v>595</v>
      </c>
      <c r="D66" s="161" t="s">
        <v>565</v>
      </c>
      <c r="E66" s="161" t="s">
        <v>570</v>
      </c>
      <c r="F66" s="161"/>
      <c r="G66" s="161"/>
      <c r="H66" s="161" t="s">
        <v>579</v>
      </c>
      <c r="I66" s="23" t="str">
        <f t="shared" ref="I66:I72" si="76">_xlfn.CONCAT(C66:H66)</f>
        <v>FSA.Yolo.CRC.perUnit</v>
      </c>
      <c r="J66" s="23"/>
      <c r="K66" s="108"/>
      <c r="L66" s="108"/>
      <c r="M66" s="28">
        <v>1</v>
      </c>
      <c r="N66" s="25"/>
      <c r="O66" s="25"/>
      <c r="P66" s="25"/>
      <c r="Q66" s="25"/>
      <c r="R66" s="27">
        <v>6514</v>
      </c>
      <c r="S66" s="27">
        <f t="shared" si="1"/>
        <v>6514</v>
      </c>
      <c r="T66" s="108"/>
      <c r="U66" s="27">
        <f t="shared" si="8"/>
        <v>0</v>
      </c>
      <c r="V66" s="27"/>
      <c r="W66" s="27">
        <v>0</v>
      </c>
      <c r="X66" s="27">
        <f t="shared" si="9"/>
        <v>6514</v>
      </c>
      <c r="Y66" s="239"/>
      <c r="Z66" s="32"/>
      <c r="AA66" s="208">
        <v>1</v>
      </c>
      <c r="AB66" s="44">
        <f t="shared" si="2"/>
        <v>0</v>
      </c>
      <c r="AC66" s="45" t="s">
        <v>203</v>
      </c>
      <c r="AD66" s="38"/>
      <c r="AE66" s="38"/>
      <c r="AF66" s="38"/>
      <c r="AG66" s="38"/>
      <c r="AH66" s="38"/>
      <c r="AI66" s="38"/>
      <c r="AJ66" s="38"/>
      <c r="AK66" s="38"/>
      <c r="AL66" s="39" t="str">
        <f t="shared" si="41"/>
        <v/>
      </c>
      <c r="AM66" s="39" t="str">
        <f t="shared" si="42"/>
        <v/>
      </c>
      <c r="AN66" s="32"/>
      <c r="AO66" s="51">
        <f t="shared" si="10"/>
        <v>0</v>
      </c>
      <c r="AP66" s="52">
        <f t="shared" si="5"/>
        <v>0</v>
      </c>
      <c r="AQ66" s="53" t="s">
        <v>42</v>
      </c>
      <c r="AR66" s="38"/>
      <c r="AS66" s="38"/>
      <c r="AT66" s="38"/>
      <c r="AU66" s="38"/>
      <c r="AV66" s="38"/>
      <c r="AW66" s="38"/>
      <c r="AX66" s="38"/>
      <c r="AY66" s="38"/>
      <c r="AZ66" s="39" t="str">
        <f t="shared" si="43"/>
        <v/>
      </c>
      <c r="BA66" s="39" t="str">
        <f t="shared" si="44"/>
        <v/>
      </c>
      <c r="BB66" s="147"/>
    </row>
    <row r="67" spans="1:54" x14ac:dyDescent="0.25">
      <c r="A67" s="336">
        <v>1</v>
      </c>
      <c r="B67" s="229">
        <f>SUM($A$2:$A67)</f>
        <v>66</v>
      </c>
      <c r="C67" s="161" t="s">
        <v>595</v>
      </c>
      <c r="D67" s="161" t="s">
        <v>565</v>
      </c>
      <c r="E67" s="161" t="s">
        <v>571</v>
      </c>
      <c r="F67" s="161"/>
      <c r="G67" s="161"/>
      <c r="H67" s="161" t="s">
        <v>358</v>
      </c>
      <c r="I67" s="23" t="str">
        <f t="shared" si="76"/>
        <v>FSA.Yolo.ADU1.Flat</v>
      </c>
      <c r="J67" s="23"/>
      <c r="K67" s="108"/>
      <c r="L67" s="108"/>
      <c r="M67" s="28">
        <v>1</v>
      </c>
      <c r="N67" s="25"/>
      <c r="O67" s="25"/>
      <c r="P67" s="25"/>
      <c r="Q67" s="25"/>
      <c r="R67" s="27">
        <v>0</v>
      </c>
      <c r="S67" s="27">
        <f t="shared" ref="S67" si="77">PRODUCT(K67:R67)</f>
        <v>0</v>
      </c>
      <c r="T67" s="108"/>
      <c r="U67" s="27">
        <f t="shared" ref="U67" si="78">X67*T67</f>
        <v>0</v>
      </c>
      <c r="V67" s="27"/>
      <c r="W67" s="27">
        <v>0</v>
      </c>
      <c r="X67" s="27">
        <f t="shared" ref="X67" si="79">S67-W67</f>
        <v>0</v>
      </c>
      <c r="Y67" s="239"/>
      <c r="Z67" s="32"/>
      <c r="AA67" s="208">
        <v>1</v>
      </c>
      <c r="AB67" s="44">
        <f t="shared" ref="AB67" si="80">AA67*U67</f>
        <v>0</v>
      </c>
      <c r="AC67" s="45" t="s">
        <v>203</v>
      </c>
      <c r="AD67" s="38"/>
      <c r="AE67" s="38"/>
      <c r="AF67" s="38"/>
      <c r="AG67" s="38"/>
      <c r="AH67" s="38"/>
      <c r="AI67" s="38"/>
      <c r="AJ67" s="38"/>
      <c r="AK67" s="38"/>
      <c r="AL67" s="39" t="str">
        <f t="shared" ref="AL67" si="81">CONCATENATE(AD67,AE67,AF67,AG67)</f>
        <v/>
      </c>
      <c r="AM67" s="39" t="str">
        <f t="shared" ref="AM67" si="82">CONCATENATE(AD67,AE67,AF67,AG67)</f>
        <v/>
      </c>
      <c r="AN67" s="32"/>
      <c r="AO67" s="51">
        <f t="shared" ref="AO67" si="83">1-AA67</f>
        <v>0</v>
      </c>
      <c r="AP67" s="52">
        <f t="shared" ref="AP67" si="84">AO67*U67</f>
        <v>0</v>
      </c>
      <c r="AQ67" s="53" t="s">
        <v>42</v>
      </c>
      <c r="AR67" s="38"/>
      <c r="AS67" s="38"/>
      <c r="AT67" s="38"/>
      <c r="AU67" s="38"/>
      <c r="AV67" s="38"/>
      <c r="AW67" s="38"/>
      <c r="AX67" s="38"/>
      <c r="AY67" s="38"/>
      <c r="AZ67" s="39" t="str">
        <f t="shared" ref="AZ67" si="85">CONCATENATE(AR67,AS67,AT67,AU67)</f>
        <v/>
      </c>
      <c r="BA67" s="39" t="str">
        <f t="shared" ref="BA67" si="86">CONCATENATE(AR67,AS67,AT67,AU67)</f>
        <v/>
      </c>
      <c r="BB67" s="147"/>
    </row>
    <row r="68" spans="1:54" x14ac:dyDescent="0.25">
      <c r="A68" s="336">
        <v>1</v>
      </c>
      <c r="B68" s="229">
        <f>SUM($A$2:$A68)</f>
        <v>67</v>
      </c>
      <c r="C68" s="161" t="s">
        <v>595</v>
      </c>
      <c r="D68" s="161" t="s">
        <v>565</v>
      </c>
      <c r="E68" s="161" t="s">
        <v>572</v>
      </c>
      <c r="F68" s="161"/>
      <c r="G68" s="161"/>
      <c r="H68" s="161" t="s">
        <v>573</v>
      </c>
      <c r="I68" s="23" t="str">
        <f t="shared" si="76"/>
        <v>FSA.Yolo.ADU2.perSQFT</v>
      </c>
      <c r="J68" s="23"/>
      <c r="K68" s="108"/>
      <c r="L68" s="108"/>
      <c r="M68" s="28">
        <v>0.4</v>
      </c>
      <c r="N68" s="25"/>
      <c r="O68" s="25"/>
      <c r="P68" s="25"/>
      <c r="Q68" s="25"/>
      <c r="R68" s="27">
        <f>R66*M68</f>
        <v>2605.6000000000004</v>
      </c>
      <c r="S68" s="27">
        <f t="shared" si="1"/>
        <v>1042.2400000000002</v>
      </c>
      <c r="T68" s="108"/>
      <c r="U68" s="27">
        <f t="shared" si="8"/>
        <v>0</v>
      </c>
      <c r="V68" s="27"/>
      <c r="W68" s="27">
        <v>0</v>
      </c>
      <c r="X68" s="27">
        <f t="shared" si="9"/>
        <v>1042.2400000000002</v>
      </c>
      <c r="Y68" s="239"/>
      <c r="Z68" s="32"/>
      <c r="AA68" s="208">
        <v>1</v>
      </c>
      <c r="AB68" s="44">
        <f t="shared" si="2"/>
        <v>0</v>
      </c>
      <c r="AC68" s="45" t="s">
        <v>203</v>
      </c>
      <c r="AD68" s="38"/>
      <c r="AE68" s="38"/>
      <c r="AF68" s="38"/>
      <c r="AG68" s="38"/>
      <c r="AH68" s="38"/>
      <c r="AI68" s="38"/>
      <c r="AJ68" s="38"/>
      <c r="AK68" s="38"/>
      <c r="AL68" s="39" t="str">
        <f t="shared" si="41"/>
        <v/>
      </c>
      <c r="AM68" s="39" t="str">
        <f t="shared" si="42"/>
        <v/>
      </c>
      <c r="AN68" s="32"/>
      <c r="AO68" s="51">
        <f t="shared" si="10"/>
        <v>0</v>
      </c>
      <c r="AP68" s="52">
        <f t="shared" si="5"/>
        <v>0</v>
      </c>
      <c r="AQ68" s="53" t="s">
        <v>42</v>
      </c>
      <c r="AR68" s="38"/>
      <c r="AS68" s="38"/>
      <c r="AT68" s="38"/>
      <c r="AU68" s="38"/>
      <c r="AV68" s="38"/>
      <c r="AW68" s="38"/>
      <c r="AX68" s="38"/>
      <c r="AY68" s="38"/>
      <c r="AZ68" s="39" t="str">
        <f t="shared" si="43"/>
        <v/>
      </c>
      <c r="BA68" s="39" t="str">
        <f t="shared" si="44"/>
        <v/>
      </c>
      <c r="BB68" s="147"/>
    </row>
    <row r="69" spans="1:54" x14ac:dyDescent="0.25">
      <c r="A69" s="336">
        <v>1</v>
      </c>
      <c r="B69" s="229">
        <f>SUM($A$2:$A69)</f>
        <v>68</v>
      </c>
      <c r="C69" s="161" t="s">
        <v>595</v>
      </c>
      <c r="D69" s="161" t="s">
        <v>565</v>
      </c>
      <c r="E69" s="161" t="s">
        <v>569</v>
      </c>
      <c r="F69" s="161"/>
      <c r="G69" s="161"/>
      <c r="H69" s="161" t="s">
        <v>573</v>
      </c>
      <c r="I69" s="23" t="str">
        <f t="shared" si="76"/>
        <v>FSA.Yolo.Factory.perSQFT</v>
      </c>
      <c r="J69" s="23"/>
      <c r="K69" s="108"/>
      <c r="L69" s="108"/>
      <c r="M69" s="28">
        <v>10000</v>
      </c>
      <c r="N69" s="25"/>
      <c r="O69" s="25"/>
      <c r="P69" s="25"/>
      <c r="Q69" s="25"/>
      <c r="R69" s="27"/>
      <c r="S69" s="27">
        <f t="shared" si="1"/>
        <v>10000</v>
      </c>
      <c r="T69" s="108"/>
      <c r="U69" s="27">
        <f t="shared" si="8"/>
        <v>0</v>
      </c>
      <c r="V69" s="27"/>
      <c r="W69" s="27">
        <v>0</v>
      </c>
      <c r="X69" s="27">
        <f t="shared" si="9"/>
        <v>10000</v>
      </c>
      <c r="Y69" s="239"/>
      <c r="Z69" s="32"/>
      <c r="AA69" s="208">
        <v>1</v>
      </c>
      <c r="AB69" s="44">
        <f t="shared" si="2"/>
        <v>0</v>
      </c>
      <c r="AC69" s="45" t="s">
        <v>203</v>
      </c>
      <c r="AD69" s="38"/>
      <c r="AE69" s="38"/>
      <c r="AF69" s="38"/>
      <c r="AG69" s="38"/>
      <c r="AH69" s="38"/>
      <c r="AI69" s="38"/>
      <c r="AJ69" s="38"/>
      <c r="AK69" s="38"/>
      <c r="AL69" s="39" t="str">
        <f t="shared" si="41"/>
        <v/>
      </c>
      <c r="AM69" s="39" t="str">
        <f t="shared" si="42"/>
        <v/>
      </c>
      <c r="AN69" s="32"/>
      <c r="AO69" s="51">
        <f t="shared" si="10"/>
        <v>0</v>
      </c>
      <c r="AP69" s="52">
        <f t="shared" si="5"/>
        <v>0</v>
      </c>
      <c r="AQ69" s="53" t="s">
        <v>42</v>
      </c>
      <c r="AR69" s="38"/>
      <c r="AS69" s="38"/>
      <c r="AT69" s="38"/>
      <c r="AU69" s="38"/>
      <c r="AV69" s="38"/>
      <c r="AW69" s="38"/>
      <c r="AX69" s="38"/>
      <c r="AY69" s="38"/>
      <c r="AZ69" s="39" t="str">
        <f t="shared" si="43"/>
        <v/>
      </c>
      <c r="BA69" s="39" t="str">
        <f t="shared" si="44"/>
        <v/>
      </c>
      <c r="BB69" s="147"/>
    </row>
    <row r="70" spans="1:54" x14ac:dyDescent="0.25">
      <c r="A70" s="336">
        <v>1</v>
      </c>
      <c r="B70" s="229">
        <f>SUM($A$2:$A70)</f>
        <v>69</v>
      </c>
      <c r="C70" s="161" t="s">
        <v>595</v>
      </c>
      <c r="D70" s="161" t="s">
        <v>565</v>
      </c>
      <c r="E70" s="161" t="s">
        <v>568</v>
      </c>
      <c r="F70" s="161"/>
      <c r="G70" s="161"/>
      <c r="H70" s="161" t="s">
        <v>573</v>
      </c>
      <c r="I70" s="23" t="str">
        <f t="shared" si="76"/>
        <v>FSA.Yolo.Office.perSQFT</v>
      </c>
      <c r="J70" s="23"/>
      <c r="K70" s="108"/>
      <c r="L70" s="108"/>
      <c r="M70" s="28">
        <v>5000</v>
      </c>
      <c r="N70" s="25"/>
      <c r="O70" s="25"/>
      <c r="P70" s="25"/>
      <c r="Q70" s="25"/>
      <c r="R70" s="27"/>
      <c r="S70" s="27">
        <f t="shared" si="1"/>
        <v>5000</v>
      </c>
      <c r="T70" s="108"/>
      <c r="U70" s="27">
        <f t="shared" si="8"/>
        <v>0</v>
      </c>
      <c r="V70" s="27"/>
      <c r="W70" s="27">
        <v>0</v>
      </c>
      <c r="X70" s="27">
        <f t="shared" si="9"/>
        <v>5000</v>
      </c>
      <c r="Y70" s="239"/>
      <c r="Z70" s="32"/>
      <c r="AA70" s="208">
        <v>1</v>
      </c>
      <c r="AB70" s="44">
        <f t="shared" si="2"/>
        <v>0</v>
      </c>
      <c r="AC70" s="45" t="s">
        <v>203</v>
      </c>
      <c r="AD70" s="38"/>
      <c r="AE70" s="38"/>
      <c r="AF70" s="38"/>
      <c r="AG70" s="38"/>
      <c r="AH70" s="38"/>
      <c r="AI70" s="38"/>
      <c r="AJ70" s="38"/>
      <c r="AK70" s="38"/>
      <c r="AL70" s="39" t="str">
        <f t="shared" si="41"/>
        <v/>
      </c>
      <c r="AM70" s="39" t="str">
        <f t="shared" si="42"/>
        <v/>
      </c>
      <c r="AN70" s="32"/>
      <c r="AO70" s="51">
        <f t="shared" si="10"/>
        <v>0</v>
      </c>
      <c r="AP70" s="52">
        <f t="shared" si="5"/>
        <v>0</v>
      </c>
      <c r="AQ70" s="53" t="s">
        <v>42</v>
      </c>
      <c r="AR70" s="38"/>
      <c r="AS70" s="38"/>
      <c r="AT70" s="38"/>
      <c r="AU70" s="38"/>
      <c r="AV70" s="38"/>
      <c r="AW70" s="38"/>
      <c r="AX70" s="38"/>
      <c r="AY70" s="38"/>
      <c r="AZ70" s="39" t="str">
        <f t="shared" si="43"/>
        <v/>
      </c>
      <c r="BA70" s="39" t="str">
        <f t="shared" si="44"/>
        <v/>
      </c>
      <c r="BB70" s="147"/>
    </row>
    <row r="71" spans="1:54" x14ac:dyDescent="0.25">
      <c r="A71" s="336">
        <v>1</v>
      </c>
      <c r="B71" s="229">
        <f>SUM($A$2:$A71)</f>
        <v>70</v>
      </c>
      <c r="C71" s="161" t="s">
        <v>595</v>
      </c>
      <c r="D71" s="161" t="s">
        <v>565</v>
      </c>
      <c r="E71" s="161" t="s">
        <v>566</v>
      </c>
      <c r="F71" s="161"/>
      <c r="G71" s="161"/>
      <c r="H71" s="161" t="s">
        <v>573</v>
      </c>
      <c r="I71" s="23" t="str">
        <f t="shared" si="76"/>
        <v>FSA.Yolo.Retail.perSQFT</v>
      </c>
      <c r="J71" s="23"/>
      <c r="K71" s="108"/>
      <c r="L71" s="108"/>
      <c r="M71" s="28">
        <v>10000</v>
      </c>
      <c r="N71" s="28"/>
      <c r="O71" s="28"/>
      <c r="P71" s="28"/>
      <c r="Q71" s="28"/>
      <c r="R71" s="27"/>
      <c r="S71" s="27">
        <f t="shared" si="1"/>
        <v>10000</v>
      </c>
      <c r="T71" s="108"/>
      <c r="U71" s="27">
        <f t="shared" si="8"/>
        <v>0</v>
      </c>
      <c r="V71" s="27"/>
      <c r="W71" s="27">
        <v>0</v>
      </c>
      <c r="X71" s="27">
        <f t="shared" si="9"/>
        <v>10000</v>
      </c>
      <c r="Y71" s="239"/>
      <c r="Z71" s="32"/>
      <c r="AA71" s="208">
        <v>1</v>
      </c>
      <c r="AB71" s="44">
        <f t="shared" si="2"/>
        <v>0</v>
      </c>
      <c r="AC71" s="45" t="s">
        <v>203</v>
      </c>
      <c r="AD71" s="38"/>
      <c r="AE71" s="38"/>
      <c r="AF71" s="38"/>
      <c r="AG71" s="38"/>
      <c r="AH71" s="38"/>
      <c r="AI71" s="38"/>
      <c r="AJ71" s="38"/>
      <c r="AK71" s="38"/>
      <c r="AL71" s="39" t="str">
        <f t="shared" si="41"/>
        <v/>
      </c>
      <c r="AM71" s="39" t="str">
        <f t="shared" si="42"/>
        <v/>
      </c>
      <c r="AN71" s="32"/>
      <c r="AO71" s="51">
        <f t="shared" si="10"/>
        <v>0</v>
      </c>
      <c r="AP71" s="52">
        <f t="shared" si="5"/>
        <v>0</v>
      </c>
      <c r="AQ71" s="53" t="s">
        <v>42</v>
      </c>
      <c r="AR71" s="38"/>
      <c r="AS71" s="38"/>
      <c r="AT71" s="38"/>
      <c r="AU71" s="38"/>
      <c r="AV71" s="38"/>
      <c r="AW71" s="38"/>
      <c r="AX71" s="38"/>
      <c r="AY71" s="38"/>
      <c r="AZ71" s="39" t="str">
        <f t="shared" si="43"/>
        <v/>
      </c>
      <c r="BA71" s="39" t="str">
        <f t="shared" si="44"/>
        <v/>
      </c>
      <c r="BB71" s="147"/>
    </row>
    <row r="72" spans="1:54" x14ac:dyDescent="0.25">
      <c r="A72" s="336">
        <v>1</v>
      </c>
      <c r="B72" s="229">
        <f>SUM($A$2:$A72)</f>
        <v>71</v>
      </c>
      <c r="C72" s="161" t="s">
        <v>595</v>
      </c>
      <c r="D72" s="161" t="s">
        <v>565</v>
      </c>
      <c r="E72" s="161" t="s">
        <v>567</v>
      </c>
      <c r="F72" s="161"/>
      <c r="G72" s="161"/>
      <c r="H72" s="161" t="s">
        <v>573</v>
      </c>
      <c r="I72" s="220" t="str">
        <f t="shared" si="76"/>
        <v>FSA.Yolo.Warehouse.perSQFT</v>
      </c>
      <c r="J72" s="220"/>
      <c r="K72" s="221"/>
      <c r="L72" s="221"/>
      <c r="M72" s="222">
        <v>20000</v>
      </c>
      <c r="N72" s="222"/>
      <c r="O72" s="222"/>
      <c r="P72" s="222"/>
      <c r="Q72" s="222"/>
      <c r="R72" s="223"/>
      <c r="S72" s="223">
        <f t="shared" si="1"/>
        <v>20000</v>
      </c>
      <c r="T72" s="221"/>
      <c r="U72" s="223">
        <f t="shared" si="8"/>
        <v>0</v>
      </c>
      <c r="V72" s="223"/>
      <c r="W72" s="223">
        <v>0</v>
      </c>
      <c r="X72" s="223">
        <f t="shared" si="9"/>
        <v>20000</v>
      </c>
      <c r="Y72" s="240"/>
      <c r="Z72" s="32"/>
      <c r="AA72" s="209">
        <v>1</v>
      </c>
      <c r="AB72" s="46">
        <f t="shared" si="2"/>
        <v>0</v>
      </c>
      <c r="AC72" s="47" t="s">
        <v>203</v>
      </c>
      <c r="AD72" s="40"/>
      <c r="AE72" s="40"/>
      <c r="AF72" s="40"/>
      <c r="AG72" s="40"/>
      <c r="AH72" s="40"/>
      <c r="AI72" s="40"/>
      <c r="AJ72" s="40"/>
      <c r="AK72" s="40"/>
      <c r="AL72" s="41" t="str">
        <f t="shared" si="41"/>
        <v/>
      </c>
      <c r="AM72" s="41" t="str">
        <f t="shared" si="42"/>
        <v/>
      </c>
      <c r="AN72" s="32"/>
      <c r="AO72" s="54">
        <f t="shared" si="10"/>
        <v>0</v>
      </c>
      <c r="AP72" s="55">
        <f t="shared" si="5"/>
        <v>0</v>
      </c>
      <c r="AQ72" s="56" t="s">
        <v>42</v>
      </c>
      <c r="AR72" s="40"/>
      <c r="AS72" s="40"/>
      <c r="AT72" s="40"/>
      <c r="AU72" s="40"/>
      <c r="AV72" s="40"/>
      <c r="AW72" s="40"/>
      <c r="AX72" s="40"/>
      <c r="AY72" s="40"/>
      <c r="AZ72" s="41" t="str">
        <f t="shared" si="43"/>
        <v/>
      </c>
      <c r="BA72" s="41" t="str">
        <f t="shared" si="44"/>
        <v/>
      </c>
      <c r="BB72" s="148"/>
    </row>
    <row r="73" spans="1:54" ht="21.75" customHeight="1" x14ac:dyDescent="0.25">
      <c r="A73" s="337"/>
      <c r="B73" s="230"/>
      <c r="C73" s="32"/>
      <c r="D73" s="32"/>
      <c r="E73" s="32"/>
      <c r="F73" s="32"/>
      <c r="G73" s="32"/>
      <c r="H73" s="32"/>
      <c r="I73" s="33"/>
      <c r="J73" s="33"/>
      <c r="K73" s="228"/>
      <c r="L73" s="228"/>
      <c r="M73" s="34"/>
      <c r="N73" s="34"/>
      <c r="O73" s="34"/>
      <c r="P73" s="34"/>
      <c r="Q73" s="34"/>
      <c r="R73" s="34"/>
      <c r="S73" s="34"/>
      <c r="T73" s="228"/>
      <c r="U73" s="34"/>
      <c r="V73" s="34"/>
      <c r="W73" s="34"/>
      <c r="X73" s="34"/>
      <c r="Y73" s="33"/>
      <c r="Z73" s="152"/>
      <c r="AA73" s="33"/>
      <c r="AB73" s="33"/>
      <c r="AC73" s="33"/>
      <c r="AD73" s="34"/>
      <c r="AE73" s="34"/>
      <c r="AF73" s="34"/>
      <c r="AG73" s="34"/>
      <c r="AH73" s="34"/>
      <c r="AI73" s="34"/>
      <c r="AJ73" s="34"/>
      <c r="AK73" s="34"/>
      <c r="AL73" s="33"/>
      <c r="AM73" s="33"/>
      <c r="AN73" s="152"/>
      <c r="AO73" s="33"/>
      <c r="AP73" s="33"/>
      <c r="AQ73" s="33"/>
      <c r="AR73" s="34"/>
      <c r="AS73" s="34"/>
      <c r="AT73" s="34"/>
      <c r="AU73" s="34"/>
      <c r="AV73" s="34"/>
      <c r="AW73" s="34"/>
      <c r="AX73" s="34"/>
      <c r="AY73" s="34"/>
      <c r="AZ73" s="33"/>
      <c r="BA73" s="33"/>
      <c r="BB73" s="35"/>
    </row>
    <row r="74" spans="1:54" ht="35.1" customHeight="1" x14ac:dyDescent="0.25">
      <c r="A74" s="340"/>
      <c r="B74" s="330"/>
      <c r="C74" s="332"/>
      <c r="D74" s="332"/>
      <c r="E74" s="332"/>
      <c r="F74" s="332"/>
      <c r="G74" s="332"/>
      <c r="H74" s="333"/>
      <c r="I74" s="321" t="s">
        <v>218</v>
      </c>
      <c r="J74" s="321" t="s">
        <v>218</v>
      </c>
      <c r="K74" s="224"/>
      <c r="L74" s="224"/>
      <c r="M74" s="225"/>
      <c r="N74" s="225"/>
      <c r="O74" s="225"/>
      <c r="P74" s="225"/>
      <c r="Q74" s="225"/>
      <c r="R74" s="226"/>
      <c r="S74" s="226">
        <f>SUM(S9:S15)</f>
        <v>143</v>
      </c>
      <c r="T74" s="224"/>
      <c r="U74" s="226">
        <f>SUM(U9:U15)</f>
        <v>143</v>
      </c>
      <c r="V74" s="226"/>
      <c r="W74" s="226">
        <f>SUM(W9:W15)</f>
        <v>0</v>
      </c>
      <c r="X74" s="227">
        <f>SUM(X9:X15)</f>
        <v>143</v>
      </c>
      <c r="Z74" s="150"/>
      <c r="AA74" s="150"/>
      <c r="AB74" s="150"/>
      <c r="AC74" s="241" t="s">
        <v>407</v>
      </c>
      <c r="AD74" s="242" t="s">
        <v>402</v>
      </c>
      <c r="AE74" s="242" t="s">
        <v>403</v>
      </c>
      <c r="AF74" s="242" t="s">
        <v>405</v>
      </c>
      <c r="AG74" s="242" t="s">
        <v>404</v>
      </c>
      <c r="AH74" s="242" t="s">
        <v>406</v>
      </c>
      <c r="AI74" s="242"/>
      <c r="AJ74" s="242"/>
      <c r="AK74" s="242"/>
      <c r="AL74" s="37" t="str">
        <f>CONCATENATE(AD74,"-",AE74,"-",AF74,"-",AG74)</f>
        <v>01002-2029-716350-400310</v>
      </c>
      <c r="AM74" s="37" t="str">
        <f>CONCATENATE(AD74,"-",AE74,"-",AF74,"-",AG74)</f>
        <v>01002-2029-716350-400310</v>
      </c>
      <c r="AN74" s="150"/>
      <c r="AO74" s="150"/>
      <c r="AP74" s="150"/>
      <c r="AQ74" s="150"/>
      <c r="AR74" s="151"/>
      <c r="AS74" s="151"/>
      <c r="AT74" s="151"/>
      <c r="AU74" s="151"/>
      <c r="AV74" s="151"/>
      <c r="AW74" s="151"/>
      <c r="AX74" s="151"/>
      <c r="AY74" s="151"/>
      <c r="AZ74" s="150"/>
      <c r="BA74" s="150"/>
      <c r="BB74" s="150"/>
    </row>
    <row r="75" spans="1:54" ht="35.1" customHeight="1" x14ac:dyDescent="0.25">
      <c r="A75" s="341"/>
      <c r="B75" s="329"/>
      <c r="C75" s="328"/>
      <c r="D75" s="328"/>
      <c r="E75" s="328"/>
      <c r="F75" s="328"/>
      <c r="G75" s="328"/>
      <c r="H75" s="331"/>
      <c r="I75" s="322" t="s">
        <v>219</v>
      </c>
      <c r="J75" s="322" t="s">
        <v>219</v>
      </c>
      <c r="K75" s="131"/>
      <c r="L75" s="131"/>
      <c r="M75" s="132"/>
      <c r="N75" s="132"/>
      <c r="O75" s="132"/>
      <c r="P75" s="132"/>
      <c r="Q75" s="132"/>
      <c r="R75" s="133"/>
      <c r="S75" s="133">
        <f>SUM(S16:S25)</f>
        <v>1347.3</v>
      </c>
      <c r="T75" s="131"/>
      <c r="U75" s="133">
        <f>SUM(U16:U25)</f>
        <v>1347.3</v>
      </c>
      <c r="V75" s="133"/>
      <c r="W75" s="133">
        <f>SUM(W16:W25)</f>
        <v>0</v>
      </c>
      <c r="X75" s="134">
        <f>SUM(X16:X25)</f>
        <v>1347.3</v>
      </c>
      <c r="Z75" s="150"/>
      <c r="AA75" s="150"/>
      <c r="AB75" s="150"/>
      <c r="AC75" s="211" t="s">
        <v>401</v>
      </c>
      <c r="AD75" s="210"/>
      <c r="AE75" s="210"/>
      <c r="AF75" s="210"/>
      <c r="AG75" s="210"/>
      <c r="AH75" s="210"/>
      <c r="AI75" s="210"/>
      <c r="AJ75" s="210"/>
      <c r="AK75" s="210"/>
      <c r="AL75" s="39" t="str">
        <f t="shared" ref="AL75:AL85" si="87">CONCATENATE(AD75,"-",AE75,"-",AF75,"-",AG75)</f>
        <v>---</v>
      </c>
      <c r="AM75" s="39" t="str">
        <f t="shared" ref="AM75:AM85" si="88">CONCATENATE(AD75,"-",AE75,"-",AF75,"-",AG75)</f>
        <v>---</v>
      </c>
      <c r="AN75" s="150"/>
      <c r="AO75" s="150"/>
      <c r="AP75" s="150"/>
      <c r="AQ75" s="150"/>
      <c r="AR75" s="151"/>
      <c r="AS75" s="151"/>
      <c r="AT75" s="151"/>
      <c r="AU75" s="151"/>
      <c r="AV75" s="151"/>
      <c r="AW75" s="151"/>
      <c r="AX75" s="151"/>
      <c r="AY75" s="151"/>
      <c r="AZ75" s="150"/>
      <c r="BA75" s="150"/>
      <c r="BB75" s="150"/>
    </row>
    <row r="76" spans="1:54" ht="35.1" customHeight="1" x14ac:dyDescent="0.25">
      <c r="A76" s="341"/>
      <c r="B76" s="329"/>
      <c r="C76" s="328"/>
      <c r="D76" s="328"/>
      <c r="E76" s="328"/>
      <c r="F76" s="328"/>
      <c r="G76" s="328"/>
      <c r="H76" s="331"/>
      <c r="I76" s="323" t="s">
        <v>86</v>
      </c>
      <c r="J76" s="323" t="s">
        <v>86</v>
      </c>
      <c r="K76" s="135"/>
      <c r="L76" s="135"/>
      <c r="M76" s="136"/>
      <c r="N76" s="136"/>
      <c r="O76" s="136"/>
      <c r="P76" s="136"/>
      <c r="Q76" s="136"/>
      <c r="R76" s="137"/>
      <c r="S76" s="137">
        <f>SUM(S26:S33)</f>
        <v>30083.100000000002</v>
      </c>
      <c r="T76" s="135"/>
      <c r="U76" s="137">
        <f>SUM(U26:U33)</f>
        <v>28861.300000000003</v>
      </c>
      <c r="V76" s="137"/>
      <c r="W76" s="137">
        <f>SUM(W26:W33)</f>
        <v>0</v>
      </c>
      <c r="X76" s="138">
        <f>SUM(X26:X33)</f>
        <v>30083.100000000002</v>
      </c>
      <c r="Z76" s="150"/>
      <c r="AA76" s="150"/>
      <c r="AB76" s="150"/>
      <c r="AC76" s="211" t="s">
        <v>410</v>
      </c>
      <c r="AD76" s="210" t="s">
        <v>408</v>
      </c>
      <c r="AE76" s="210" t="s">
        <v>403</v>
      </c>
      <c r="AF76" s="210" t="s">
        <v>409</v>
      </c>
      <c r="AG76" s="210" t="s">
        <v>404</v>
      </c>
      <c r="AH76" s="210" t="s">
        <v>406</v>
      </c>
      <c r="AI76" s="210"/>
      <c r="AJ76" s="210"/>
      <c r="AK76" s="210"/>
      <c r="AL76" s="39" t="str">
        <f t="shared" si="87"/>
        <v>5031-2029-756350-400310</v>
      </c>
      <c r="AM76" s="39" t="str">
        <f t="shared" si="88"/>
        <v>5031-2029-756350-400310</v>
      </c>
      <c r="AN76" s="150"/>
      <c r="AO76" s="150"/>
      <c r="AP76" s="150"/>
      <c r="AQ76" s="150"/>
      <c r="AR76" s="151"/>
      <c r="AS76" s="151"/>
      <c r="AT76" s="151"/>
      <c r="AU76" s="151"/>
      <c r="AV76" s="151"/>
      <c r="AW76" s="151"/>
      <c r="AX76" s="151"/>
      <c r="AY76" s="151"/>
      <c r="AZ76" s="150"/>
      <c r="BA76" s="150"/>
      <c r="BB76" s="150"/>
    </row>
    <row r="77" spans="1:54" ht="35.1" customHeight="1" x14ac:dyDescent="0.25">
      <c r="A77" s="341"/>
      <c r="B77" s="329"/>
      <c r="C77" s="328"/>
      <c r="D77" s="328"/>
      <c r="E77" s="328"/>
      <c r="F77" s="328"/>
      <c r="G77" s="328"/>
      <c r="H77" s="331"/>
      <c r="I77" s="324" t="s">
        <v>220</v>
      </c>
      <c r="J77" s="324" t="s">
        <v>220</v>
      </c>
      <c r="K77" s="139"/>
      <c r="L77" s="139"/>
      <c r="M77" s="140"/>
      <c r="N77" s="140"/>
      <c r="O77" s="140"/>
      <c r="P77" s="140"/>
      <c r="Q77" s="140"/>
      <c r="R77" s="141"/>
      <c r="S77" s="141">
        <f>SUM(S74:S76)</f>
        <v>31573.4</v>
      </c>
      <c r="T77" s="139"/>
      <c r="U77" s="141">
        <f>SUM(U9:U33)</f>
        <v>30351.600000000002</v>
      </c>
      <c r="V77" s="141"/>
      <c r="W77" s="141">
        <f>SUM(W9:W33)</f>
        <v>0</v>
      </c>
      <c r="X77" s="142">
        <f>SUM(X9:X33)</f>
        <v>31573.4</v>
      </c>
      <c r="Z77" s="150"/>
      <c r="AA77" s="150"/>
      <c r="AB77" s="150"/>
      <c r="AC77" s="211" t="s">
        <v>411</v>
      </c>
      <c r="AD77" s="210" t="s">
        <v>408</v>
      </c>
      <c r="AE77" s="210" t="s">
        <v>403</v>
      </c>
      <c r="AF77" s="210" t="s">
        <v>409</v>
      </c>
      <c r="AG77" s="210" t="s">
        <v>412</v>
      </c>
      <c r="AH77" s="210" t="s">
        <v>406</v>
      </c>
      <c r="AI77" s="210"/>
      <c r="AJ77" s="210"/>
      <c r="AK77" s="210"/>
      <c r="AL77" s="39" t="str">
        <f t="shared" si="87"/>
        <v>5031-2029-756350-40400</v>
      </c>
      <c r="AM77" s="39" t="str">
        <f t="shared" si="88"/>
        <v>5031-2029-756350-40400</v>
      </c>
      <c r="AN77" s="150"/>
      <c r="AO77" s="150"/>
      <c r="AP77" s="150"/>
      <c r="AQ77" s="150"/>
      <c r="AR77" s="151"/>
      <c r="AS77" s="151"/>
      <c r="AT77" s="151"/>
      <c r="AU77" s="151"/>
      <c r="AV77" s="151"/>
      <c r="AW77" s="151"/>
      <c r="AX77" s="151"/>
      <c r="AY77" s="151"/>
      <c r="AZ77" s="150"/>
      <c r="BA77" s="150"/>
      <c r="BB77" s="150"/>
    </row>
    <row r="78" spans="1:54" ht="35.1" customHeight="1" x14ac:dyDescent="0.25">
      <c r="A78" s="341"/>
      <c r="B78" s="329"/>
      <c r="C78" s="328"/>
      <c r="D78" s="328"/>
      <c r="E78" s="328"/>
      <c r="F78" s="328"/>
      <c r="G78" s="328"/>
      <c r="H78" s="331"/>
      <c r="I78" s="325" t="s">
        <v>221</v>
      </c>
      <c r="J78" s="325" t="s">
        <v>221</v>
      </c>
      <c r="K78" s="143"/>
      <c r="L78" s="143"/>
      <c r="M78" s="144"/>
      <c r="N78" s="144"/>
      <c r="O78" s="144"/>
      <c r="P78" s="144"/>
      <c r="Q78" s="144"/>
      <c r="R78" s="145"/>
      <c r="S78" s="145">
        <f>SUM(S2:S5,S34:S72)</f>
        <v>263946.19999999995</v>
      </c>
      <c r="T78" s="143"/>
      <c r="U78" s="145">
        <f>SUM(U2:U5,U34:U72)</f>
        <v>0</v>
      </c>
      <c r="V78" s="145"/>
      <c r="W78" s="145">
        <f>SUM(W2:W5,W34:W72)</f>
        <v>0</v>
      </c>
      <c r="X78" s="146">
        <f>SUM(X2:X5,X34:X72)</f>
        <v>263946.19999999995</v>
      </c>
      <c r="Z78" s="150"/>
      <c r="AA78" s="150"/>
      <c r="AB78" s="150"/>
      <c r="AC78" s="211" t="s">
        <v>417</v>
      </c>
      <c r="AD78" s="210" t="s">
        <v>408</v>
      </c>
      <c r="AE78" s="210" t="s">
        <v>413</v>
      </c>
      <c r="AF78" s="210" t="s">
        <v>414</v>
      </c>
      <c r="AG78" s="210" t="s">
        <v>415</v>
      </c>
      <c r="AH78" s="210" t="s">
        <v>416</v>
      </c>
      <c r="AI78" s="210"/>
      <c r="AJ78" s="210"/>
      <c r="AK78" s="210"/>
      <c r="AL78" s="39" t="str">
        <f t="shared" si="87"/>
        <v>5031-9900-0100012-10700</v>
      </c>
      <c r="AM78" s="39" t="str">
        <f t="shared" si="88"/>
        <v>5031-9900-0100012-10700</v>
      </c>
      <c r="AN78" s="150"/>
      <c r="AO78" s="150"/>
      <c r="AP78" s="150"/>
      <c r="AQ78" s="150"/>
      <c r="AR78" s="151"/>
      <c r="AS78" s="151"/>
      <c r="AT78" s="151"/>
      <c r="AU78" s="151"/>
      <c r="AV78" s="151"/>
      <c r="AW78" s="151"/>
      <c r="AX78" s="151"/>
      <c r="AY78" s="151"/>
      <c r="AZ78" s="150"/>
      <c r="BA78" s="150"/>
      <c r="BB78" s="150"/>
    </row>
    <row r="79" spans="1:54" ht="35.1" customHeight="1" x14ac:dyDescent="0.25">
      <c r="A79" s="341"/>
      <c r="B79" s="329"/>
      <c r="C79" s="328"/>
      <c r="D79" s="328"/>
      <c r="E79" s="328"/>
      <c r="F79" s="328"/>
      <c r="G79" s="328"/>
      <c r="H79" s="331"/>
      <c r="I79" s="326" t="s">
        <v>222</v>
      </c>
      <c r="J79" s="326" t="s">
        <v>222</v>
      </c>
      <c r="K79" s="212"/>
      <c r="L79" s="212"/>
      <c r="M79" s="213"/>
      <c r="N79" s="213"/>
      <c r="O79" s="213"/>
      <c r="P79" s="213"/>
      <c r="Q79" s="213"/>
      <c r="R79" s="214"/>
      <c r="S79" s="214">
        <f>SUM(S2:S72)</f>
        <v>295534.59999999998</v>
      </c>
      <c r="T79" s="212"/>
      <c r="U79" s="214">
        <f>SUM(U2:U72)</f>
        <v>30366.600000000002</v>
      </c>
      <c r="V79" s="214"/>
      <c r="W79" s="214">
        <f>SUM(W2:W72)</f>
        <v>0</v>
      </c>
      <c r="X79" s="215">
        <f>SUM(X2:X72)</f>
        <v>295534.59999999998</v>
      </c>
      <c r="Z79" s="150"/>
      <c r="AA79" s="150"/>
      <c r="AB79" s="150"/>
      <c r="AC79" s="211" t="s">
        <v>418</v>
      </c>
      <c r="AD79" s="210" t="s">
        <v>408</v>
      </c>
      <c r="AE79" s="210" t="s">
        <v>413</v>
      </c>
      <c r="AF79" s="210" t="s">
        <v>414</v>
      </c>
      <c r="AG79" s="210" t="s">
        <v>415</v>
      </c>
      <c r="AH79" s="210" t="s">
        <v>419</v>
      </c>
      <c r="AI79" s="210"/>
      <c r="AJ79" s="210"/>
      <c r="AK79" s="210"/>
      <c r="AL79" s="39" t="str">
        <f t="shared" si="87"/>
        <v>5031-9900-0100012-10700</v>
      </c>
      <c r="AM79" s="39" t="str">
        <f t="shared" si="88"/>
        <v>5031-9900-0100012-10700</v>
      </c>
      <c r="AN79" s="150"/>
      <c r="AO79" s="150"/>
      <c r="AP79" s="150"/>
      <c r="AQ79" s="150"/>
      <c r="AR79" s="151"/>
      <c r="AS79" s="151"/>
      <c r="AT79" s="151"/>
      <c r="AU79" s="151"/>
      <c r="AV79" s="151"/>
      <c r="AW79" s="151"/>
      <c r="AX79" s="151"/>
      <c r="AY79" s="151"/>
      <c r="AZ79" s="150"/>
      <c r="BA79" s="150"/>
      <c r="BB79" s="150"/>
    </row>
    <row r="80" spans="1:54" ht="35.1" customHeight="1" x14ac:dyDescent="0.25">
      <c r="A80" s="338"/>
      <c r="B80" s="7"/>
      <c r="C80" s="328"/>
      <c r="D80" s="328"/>
      <c r="E80" s="328"/>
      <c r="F80" s="328"/>
      <c r="G80" s="328"/>
      <c r="H80" s="328"/>
      <c r="I80" s="216"/>
      <c r="J80" s="216"/>
      <c r="K80" s="217"/>
      <c r="L80" s="217"/>
      <c r="M80" s="218"/>
      <c r="N80" s="218"/>
      <c r="O80" s="218"/>
      <c r="P80" s="218"/>
      <c r="Q80" s="218"/>
      <c r="R80" s="219"/>
      <c r="S80" s="219"/>
      <c r="T80" s="217"/>
      <c r="U80" s="219"/>
      <c r="V80" s="219"/>
      <c r="W80" s="219"/>
      <c r="X80" s="219"/>
      <c r="Z80" s="150"/>
      <c r="AA80" s="150"/>
      <c r="AB80" s="150"/>
      <c r="AC80" s="211" t="s">
        <v>417</v>
      </c>
      <c r="AD80" s="210" t="s">
        <v>408</v>
      </c>
      <c r="AE80" s="210" t="s">
        <v>403</v>
      </c>
      <c r="AF80" s="210" t="s">
        <v>420</v>
      </c>
      <c r="AG80" s="210"/>
      <c r="AH80" s="210"/>
      <c r="AI80" s="210"/>
      <c r="AJ80" s="210"/>
      <c r="AK80" s="210"/>
      <c r="AL80" s="39" t="str">
        <f t="shared" si="87"/>
        <v>5031-2029-756315-</v>
      </c>
      <c r="AM80" s="39" t="str">
        <f t="shared" si="88"/>
        <v>5031-2029-756315-</v>
      </c>
      <c r="AN80" s="150"/>
      <c r="AO80" s="150"/>
      <c r="AP80" s="150"/>
      <c r="AQ80" s="150"/>
      <c r="AR80" s="151"/>
      <c r="AS80" s="151"/>
      <c r="AT80" s="151"/>
      <c r="AU80" s="151"/>
      <c r="AV80" s="151"/>
      <c r="AW80" s="151"/>
      <c r="AX80" s="151"/>
      <c r="AY80" s="151"/>
      <c r="AZ80" s="150"/>
      <c r="BA80" s="150"/>
      <c r="BB80" s="150"/>
    </row>
    <row r="81" spans="1:54" ht="35.1" customHeight="1" x14ac:dyDescent="0.25">
      <c r="A81" s="338"/>
      <c r="B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Z81" s="150"/>
      <c r="AA81" s="150"/>
      <c r="AB81" s="150"/>
      <c r="AC81" s="211" t="s">
        <v>421</v>
      </c>
      <c r="AD81" s="210" t="s">
        <v>408</v>
      </c>
      <c r="AE81" s="210" t="s">
        <v>403</v>
      </c>
      <c r="AF81" s="210" t="s">
        <v>422</v>
      </c>
      <c r="AG81" s="210"/>
      <c r="AH81" s="210"/>
      <c r="AI81" s="210"/>
      <c r="AJ81" s="210"/>
      <c r="AK81" s="210"/>
      <c r="AL81" s="39" t="str">
        <f t="shared" si="87"/>
        <v>5031-2029-756325-</v>
      </c>
      <c r="AM81" s="39" t="str">
        <f t="shared" si="88"/>
        <v>5031-2029-756325-</v>
      </c>
      <c r="AN81" s="150"/>
      <c r="AO81" s="150"/>
      <c r="AP81" s="150"/>
      <c r="AQ81" s="150"/>
      <c r="AR81" s="151"/>
      <c r="AS81" s="151"/>
      <c r="AT81" s="151"/>
      <c r="AU81" s="151"/>
      <c r="AV81" s="151"/>
      <c r="AW81" s="151"/>
      <c r="AX81" s="151"/>
      <c r="AY81" s="151"/>
      <c r="AZ81" s="150"/>
      <c r="BA81" s="150"/>
      <c r="BB81" s="150"/>
    </row>
    <row r="82" spans="1:54" ht="35.1" customHeight="1" x14ac:dyDescent="0.25">
      <c r="A82" s="338"/>
      <c r="B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Z82" s="150"/>
      <c r="AA82" s="150"/>
      <c r="AB82" s="150"/>
      <c r="AC82" s="211"/>
      <c r="AD82" s="210"/>
      <c r="AE82" s="210"/>
      <c r="AF82" s="210"/>
      <c r="AG82" s="210"/>
      <c r="AH82" s="210"/>
      <c r="AI82" s="210"/>
      <c r="AJ82" s="210"/>
      <c r="AK82" s="210"/>
      <c r="AL82" s="39" t="str">
        <f t="shared" si="87"/>
        <v>---</v>
      </c>
      <c r="AM82" s="39" t="str">
        <f t="shared" si="88"/>
        <v>---</v>
      </c>
      <c r="AN82" s="150"/>
      <c r="AO82" s="150"/>
      <c r="AP82" s="150"/>
      <c r="AQ82" s="150"/>
      <c r="AR82" s="151"/>
      <c r="AS82" s="151"/>
      <c r="AT82" s="151"/>
      <c r="AU82" s="151"/>
      <c r="AV82" s="151"/>
      <c r="AW82" s="151"/>
      <c r="AX82" s="151"/>
      <c r="AY82" s="151"/>
      <c r="AZ82" s="150"/>
      <c r="BA82" s="150"/>
      <c r="BB82" s="150"/>
    </row>
    <row r="83" spans="1:54" ht="35.1" customHeight="1" x14ac:dyDescent="0.25">
      <c r="A83" s="338"/>
      <c r="B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Z83" s="150"/>
      <c r="AC83" s="211"/>
      <c r="AD83" s="210"/>
      <c r="AE83" s="210"/>
      <c r="AF83" s="210"/>
      <c r="AG83" s="210"/>
      <c r="AH83" s="210"/>
      <c r="AI83" s="210"/>
      <c r="AJ83" s="210"/>
      <c r="AK83" s="210"/>
      <c r="AL83" s="39" t="str">
        <f t="shared" si="87"/>
        <v>---</v>
      </c>
      <c r="AM83" s="39" t="str">
        <f t="shared" si="88"/>
        <v>---</v>
      </c>
      <c r="AP83" s="150"/>
      <c r="AQ83" s="150"/>
      <c r="AR83" s="151"/>
      <c r="AS83" s="151"/>
      <c r="AT83" s="151"/>
      <c r="AU83" s="151"/>
      <c r="AV83" s="151"/>
      <c r="AW83" s="151"/>
      <c r="AX83" s="151"/>
      <c r="AY83" s="151"/>
      <c r="AZ83" s="150"/>
      <c r="BA83" s="150"/>
      <c r="BB83" s="150"/>
    </row>
    <row r="84" spans="1:54" ht="35.1" customHeight="1" x14ac:dyDescent="0.25"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AC84" s="211"/>
      <c r="AD84" s="210"/>
      <c r="AE84" s="210"/>
      <c r="AF84" s="210"/>
      <c r="AG84" s="210"/>
      <c r="AH84" s="210"/>
      <c r="AI84" s="210"/>
      <c r="AJ84" s="210"/>
      <c r="AK84" s="210"/>
      <c r="AL84" s="39" t="str">
        <f t="shared" si="87"/>
        <v>---</v>
      </c>
      <c r="AM84" s="39" t="str">
        <f t="shared" si="88"/>
        <v>---</v>
      </c>
    </row>
    <row r="85" spans="1:54" ht="35.1" customHeight="1" x14ac:dyDescent="0.25">
      <c r="R85" s="16"/>
      <c r="S85" s="16"/>
      <c r="U85" s="16"/>
      <c r="V85" s="16"/>
      <c r="W85" s="16"/>
      <c r="X85" s="16"/>
      <c r="AC85" s="243"/>
      <c r="AD85" s="244"/>
      <c r="AE85" s="244"/>
      <c r="AF85" s="244"/>
      <c r="AG85" s="244"/>
      <c r="AH85" s="244"/>
      <c r="AI85" s="244"/>
      <c r="AJ85" s="244"/>
      <c r="AK85" s="244"/>
      <c r="AL85" s="245" t="str">
        <f t="shared" si="87"/>
        <v>---</v>
      </c>
      <c r="AM85" s="245" t="str">
        <f t="shared" si="88"/>
        <v>---</v>
      </c>
    </row>
    <row r="86" spans="1:54" x14ac:dyDescent="0.25">
      <c r="R86" s="16"/>
      <c r="S86" s="16"/>
      <c r="U86" s="16"/>
      <c r="V86" s="16"/>
      <c r="W86" s="16"/>
      <c r="X86" s="16"/>
    </row>
    <row r="87" spans="1:54" x14ac:dyDescent="0.25">
      <c r="R87" s="16"/>
      <c r="S87" s="16"/>
      <c r="U87" s="16"/>
      <c r="V87" s="16"/>
      <c r="W87" s="16"/>
      <c r="X87" s="16"/>
    </row>
    <row r="88" spans="1:54" x14ac:dyDescent="0.25">
      <c r="R88" s="16"/>
      <c r="S88" s="16"/>
      <c r="U88" s="16"/>
      <c r="V88" s="16"/>
      <c r="W88" s="16"/>
      <c r="X88" s="16"/>
    </row>
    <row r="89" spans="1:54" x14ac:dyDescent="0.25">
      <c r="R89" s="16"/>
      <c r="S89" s="16"/>
      <c r="U89" s="16"/>
      <c r="V89" s="16"/>
      <c r="W89" s="16"/>
      <c r="X89" s="16"/>
    </row>
    <row r="90" spans="1:54" x14ac:dyDescent="0.25">
      <c r="R90" s="16"/>
      <c r="S90" s="16"/>
      <c r="U90" s="16"/>
      <c r="V90" s="16"/>
      <c r="W90" s="16"/>
      <c r="X90" s="16"/>
    </row>
    <row r="91" spans="1:54" x14ac:dyDescent="0.25">
      <c r="R91" s="16"/>
      <c r="S91" s="16"/>
      <c r="U91" s="16"/>
      <c r="V91" s="16"/>
      <c r="W91" s="16"/>
      <c r="X91" s="16"/>
    </row>
    <row r="92" spans="1:54" x14ac:dyDescent="0.25">
      <c r="R92" s="16"/>
      <c r="S92" s="16"/>
      <c r="U92" s="16"/>
      <c r="V92" s="16"/>
      <c r="W92" s="16"/>
      <c r="X92" s="16"/>
    </row>
    <row r="93" spans="1:54" x14ac:dyDescent="0.25">
      <c r="R93" s="16"/>
      <c r="S93" s="16"/>
      <c r="U93" s="16"/>
      <c r="V93" s="16"/>
      <c r="W93" s="16"/>
      <c r="X93" s="16"/>
    </row>
    <row r="94" spans="1:54" x14ac:dyDescent="0.25">
      <c r="R94" s="16"/>
      <c r="S94" s="16"/>
      <c r="U94" s="16"/>
      <c r="V94" s="16"/>
      <c r="W94" s="16"/>
      <c r="X94" s="16"/>
    </row>
    <row r="95" spans="1:54" x14ac:dyDescent="0.25">
      <c r="R95" s="16"/>
      <c r="S95" s="16"/>
      <c r="U95" s="16"/>
      <c r="V95" s="16"/>
      <c r="W95" s="16"/>
      <c r="X95" s="16"/>
    </row>
    <row r="96" spans="1:54" x14ac:dyDescent="0.25">
      <c r="R96" s="16"/>
      <c r="S96" s="16"/>
      <c r="U96" s="16"/>
      <c r="V96" s="16"/>
      <c r="W96" s="16"/>
      <c r="X96" s="16"/>
    </row>
    <row r="97" spans="18:24" x14ac:dyDescent="0.25">
      <c r="R97" s="16"/>
      <c r="S97" s="16"/>
      <c r="U97" s="16"/>
      <c r="V97" s="16"/>
      <c r="W97" s="16"/>
      <c r="X97" s="16"/>
    </row>
    <row r="98" spans="18:24" x14ac:dyDescent="0.25">
      <c r="R98" s="16"/>
      <c r="S98" s="16"/>
      <c r="U98" s="16"/>
      <c r="V98" s="16"/>
      <c r="W98" s="16"/>
      <c r="X98" s="16"/>
    </row>
    <row r="99" spans="18:24" x14ac:dyDescent="0.25">
      <c r="R99" s="16"/>
      <c r="S99" s="16"/>
      <c r="U99" s="16"/>
      <c r="V99" s="16"/>
      <c r="W99" s="16"/>
      <c r="X99" s="16"/>
    </row>
    <row r="100" spans="18:24" x14ac:dyDescent="0.25">
      <c r="R100" s="16"/>
      <c r="S100" s="16"/>
      <c r="U100" s="16"/>
      <c r="V100" s="16"/>
      <c r="W100" s="16"/>
      <c r="X100" s="16"/>
    </row>
    <row r="101" spans="18:24" x14ac:dyDescent="0.25">
      <c r="R101" s="16"/>
      <c r="S101" s="16"/>
      <c r="U101" s="16"/>
      <c r="V101" s="16"/>
      <c r="W101" s="16"/>
      <c r="X101" s="16"/>
    </row>
    <row r="102" spans="18:24" x14ac:dyDescent="0.25">
      <c r="R102" s="16"/>
      <c r="S102" s="16"/>
      <c r="U102" s="16"/>
      <c r="V102" s="16"/>
      <c r="W102" s="16"/>
      <c r="X102" s="16"/>
    </row>
    <row r="103" spans="18:24" x14ac:dyDescent="0.25">
      <c r="R103" s="16"/>
      <c r="S103" s="16"/>
      <c r="U103" s="16"/>
      <c r="V103" s="16"/>
      <c r="W103" s="16"/>
      <c r="X103" s="16"/>
    </row>
    <row r="104" spans="18:24" x14ac:dyDescent="0.25">
      <c r="R104" s="16"/>
      <c r="S104" s="16"/>
      <c r="U104" s="16"/>
      <c r="V104" s="16"/>
      <c r="W104" s="16"/>
      <c r="X104" s="16"/>
    </row>
    <row r="105" spans="18:24" x14ac:dyDescent="0.25">
      <c r="R105" s="16"/>
      <c r="S105" s="16"/>
      <c r="U105" s="16"/>
      <c r="V105" s="16"/>
      <c r="W105" s="16"/>
      <c r="X105" s="16"/>
    </row>
    <row r="106" spans="18:24" x14ac:dyDescent="0.25">
      <c r="R106" s="16"/>
      <c r="S106" s="16"/>
      <c r="U106" s="16"/>
      <c r="V106" s="16"/>
      <c r="W106" s="16"/>
      <c r="X106" s="16"/>
    </row>
    <row r="107" spans="18:24" x14ac:dyDescent="0.25">
      <c r="R107" s="16"/>
      <c r="S107" s="16"/>
      <c r="U107" s="16"/>
      <c r="V107" s="16"/>
      <c r="W107" s="16"/>
      <c r="X107" s="16"/>
    </row>
    <row r="108" spans="18:24" x14ac:dyDescent="0.25">
      <c r="R108" s="16"/>
      <c r="S108" s="16"/>
      <c r="U108" s="16"/>
      <c r="V108" s="16"/>
      <c r="W108" s="16"/>
      <c r="X108" s="16"/>
    </row>
    <row r="109" spans="18:24" x14ac:dyDescent="0.25">
      <c r="R109" s="16"/>
      <c r="S109" s="16"/>
      <c r="U109" s="16"/>
      <c r="V109" s="16"/>
      <c r="W109" s="16"/>
      <c r="X109" s="16"/>
    </row>
    <row r="110" spans="18:24" x14ac:dyDescent="0.25">
      <c r="R110" s="16"/>
      <c r="S110" s="16"/>
      <c r="U110" s="16"/>
      <c r="V110" s="16"/>
      <c r="W110" s="16"/>
      <c r="X110" s="16"/>
    </row>
    <row r="111" spans="18:24" x14ac:dyDescent="0.25">
      <c r="R111" s="16"/>
      <c r="S111" s="16"/>
      <c r="U111" s="16"/>
      <c r="V111" s="16"/>
      <c r="W111" s="16"/>
      <c r="X111" s="16"/>
    </row>
    <row r="112" spans="18:24" x14ac:dyDescent="0.25">
      <c r="R112" s="16"/>
      <c r="S112" s="16"/>
      <c r="U112" s="16"/>
      <c r="V112" s="16"/>
      <c r="W112" s="16"/>
      <c r="X112" s="16"/>
    </row>
    <row r="113" spans="18:24" x14ac:dyDescent="0.25">
      <c r="R113" s="16"/>
      <c r="S113" s="16"/>
      <c r="U113" s="16"/>
      <c r="V113" s="16"/>
      <c r="W113" s="16"/>
      <c r="X113" s="16"/>
    </row>
    <row r="114" spans="18:24" x14ac:dyDescent="0.25">
      <c r="R114" s="16"/>
      <c r="S114" s="16"/>
      <c r="U114" s="16"/>
      <c r="V114" s="16"/>
      <c r="W114" s="16"/>
      <c r="X114" s="16"/>
    </row>
    <row r="115" spans="18:24" x14ac:dyDescent="0.25">
      <c r="R115" s="16"/>
      <c r="S115" s="16"/>
      <c r="U115" s="16"/>
      <c r="V115" s="16"/>
      <c r="W115" s="16"/>
      <c r="X115" s="16"/>
    </row>
    <row r="116" spans="18:24" x14ac:dyDescent="0.25">
      <c r="R116" s="16"/>
      <c r="S116" s="16"/>
      <c r="U116" s="16"/>
      <c r="V116" s="16"/>
      <c r="W116" s="16"/>
      <c r="X116" s="16"/>
    </row>
    <row r="117" spans="18:24" x14ac:dyDescent="0.25">
      <c r="R117" s="16"/>
      <c r="S117" s="16"/>
      <c r="U117" s="16"/>
      <c r="V117" s="16"/>
      <c r="W117" s="16"/>
      <c r="X117" s="16"/>
    </row>
    <row r="118" spans="18:24" x14ac:dyDescent="0.25">
      <c r="R118" s="16"/>
      <c r="S118" s="16"/>
      <c r="U118" s="16"/>
      <c r="V118" s="16"/>
      <c r="W118" s="16"/>
      <c r="X118" s="16"/>
    </row>
    <row r="119" spans="18:24" x14ac:dyDescent="0.25">
      <c r="R119" s="16"/>
      <c r="S119" s="16"/>
      <c r="U119" s="16"/>
      <c r="V119" s="16"/>
      <c r="W119" s="16"/>
      <c r="X119" s="16"/>
    </row>
    <row r="120" spans="18:24" x14ac:dyDescent="0.25">
      <c r="R120" s="16"/>
      <c r="S120" s="16"/>
      <c r="U120" s="16"/>
      <c r="V120" s="16"/>
      <c r="W120" s="16"/>
      <c r="X120" s="16"/>
    </row>
    <row r="121" spans="18:24" x14ac:dyDescent="0.25">
      <c r="R121" s="16"/>
      <c r="S121" s="16"/>
      <c r="U121" s="16"/>
      <c r="V121" s="16"/>
      <c r="W121" s="16"/>
      <c r="X121" s="16"/>
    </row>
    <row r="122" spans="18:24" x14ac:dyDescent="0.25">
      <c r="R122" s="16"/>
      <c r="S122" s="16"/>
      <c r="U122" s="16"/>
      <c r="V122" s="16"/>
      <c r="W122" s="16"/>
      <c r="X122" s="16"/>
    </row>
    <row r="123" spans="18:24" x14ac:dyDescent="0.25">
      <c r="R123" s="16"/>
      <c r="S123" s="16"/>
      <c r="U123" s="16"/>
      <c r="V123" s="16"/>
      <c r="W123" s="16"/>
      <c r="X123" s="16"/>
    </row>
    <row r="124" spans="18:24" x14ac:dyDescent="0.25">
      <c r="R124" s="16"/>
      <c r="S124" s="16"/>
      <c r="U124" s="16"/>
      <c r="V124" s="16"/>
      <c r="W124" s="16"/>
      <c r="X124" s="16"/>
    </row>
    <row r="125" spans="18:24" x14ac:dyDescent="0.25">
      <c r="R125" s="16"/>
      <c r="S125" s="16"/>
      <c r="U125" s="16"/>
      <c r="V125" s="16"/>
      <c r="W125" s="16"/>
      <c r="X125" s="16"/>
    </row>
    <row r="126" spans="18:24" x14ac:dyDescent="0.25">
      <c r="R126" s="16"/>
      <c r="S126" s="16"/>
      <c r="U126" s="16"/>
      <c r="V126" s="16"/>
      <c r="W126" s="16"/>
      <c r="X126" s="16"/>
    </row>
    <row r="127" spans="18:24" x14ac:dyDescent="0.25">
      <c r="R127" s="16"/>
      <c r="S127" s="16"/>
      <c r="U127" s="16"/>
      <c r="V127" s="16"/>
      <c r="W127" s="16"/>
      <c r="X127" s="16"/>
    </row>
    <row r="128" spans="18:24" x14ac:dyDescent="0.25">
      <c r="R128" s="16"/>
      <c r="S128" s="16"/>
      <c r="U128" s="16"/>
      <c r="V128" s="16"/>
      <c r="W128" s="16"/>
      <c r="X128" s="16"/>
    </row>
    <row r="129" spans="18:24" x14ac:dyDescent="0.25">
      <c r="R129" s="16"/>
      <c r="S129" s="16"/>
      <c r="U129" s="16"/>
      <c r="V129" s="16"/>
      <c r="W129" s="16"/>
      <c r="X129" s="16"/>
    </row>
    <row r="130" spans="18:24" x14ac:dyDescent="0.25">
      <c r="R130" s="16"/>
      <c r="S130" s="16"/>
      <c r="U130" s="16"/>
      <c r="V130" s="16"/>
      <c r="W130" s="16"/>
      <c r="X130" s="16"/>
    </row>
    <row r="131" spans="18:24" x14ac:dyDescent="0.25">
      <c r="R131" s="16"/>
      <c r="S131" s="16"/>
      <c r="U131" s="16"/>
      <c r="V131" s="16"/>
      <c r="W131" s="16"/>
      <c r="X131" s="16"/>
    </row>
    <row r="132" spans="18:24" x14ac:dyDescent="0.25">
      <c r="R132" s="16"/>
      <c r="S132" s="16"/>
      <c r="U132" s="16"/>
      <c r="V132" s="16"/>
      <c r="W132" s="16"/>
      <c r="X132" s="16"/>
    </row>
    <row r="133" spans="18:24" x14ac:dyDescent="0.25">
      <c r="R133" s="16"/>
      <c r="S133" s="16"/>
      <c r="U133" s="16"/>
      <c r="V133" s="16"/>
      <c r="W133" s="16"/>
      <c r="X133" s="16"/>
    </row>
    <row r="134" spans="18:24" x14ac:dyDescent="0.25">
      <c r="R134" s="16"/>
      <c r="S134" s="16"/>
      <c r="U134" s="16"/>
      <c r="V134" s="16"/>
      <c r="W134" s="16"/>
      <c r="X134" s="16"/>
    </row>
    <row r="135" spans="18:24" x14ac:dyDescent="0.25">
      <c r="R135" s="16"/>
      <c r="S135" s="16"/>
      <c r="U135" s="16"/>
      <c r="V135" s="16"/>
      <c r="W135" s="16"/>
      <c r="X135" s="16"/>
    </row>
    <row r="136" spans="18:24" x14ac:dyDescent="0.25">
      <c r="R136" s="16"/>
      <c r="S136" s="16"/>
      <c r="U136" s="16"/>
      <c r="V136" s="16"/>
      <c r="W136" s="16"/>
      <c r="X136" s="16"/>
    </row>
    <row r="137" spans="18:24" x14ac:dyDescent="0.25">
      <c r="R137" s="16"/>
      <c r="S137" s="16"/>
      <c r="U137" s="16"/>
      <c r="V137" s="16"/>
      <c r="W137" s="16"/>
      <c r="X137" s="16"/>
    </row>
    <row r="138" spans="18:24" x14ac:dyDescent="0.25">
      <c r="R138" s="16"/>
      <c r="S138" s="16"/>
      <c r="U138" s="16"/>
      <c r="V138" s="16"/>
      <c r="W138" s="16"/>
      <c r="X138" s="16"/>
    </row>
    <row r="139" spans="18:24" x14ac:dyDescent="0.25">
      <c r="R139" s="16"/>
      <c r="S139" s="16"/>
      <c r="U139" s="16"/>
      <c r="V139" s="16"/>
      <c r="W139" s="16"/>
      <c r="X139" s="16"/>
    </row>
    <row r="140" spans="18:24" x14ac:dyDescent="0.25">
      <c r="R140" s="16"/>
      <c r="S140" s="16"/>
      <c r="U140" s="16"/>
      <c r="V140" s="16"/>
      <c r="W140" s="16"/>
      <c r="X140" s="16"/>
    </row>
    <row r="141" spans="18:24" x14ac:dyDescent="0.25">
      <c r="R141" s="16"/>
      <c r="S141" s="16"/>
      <c r="U141" s="16"/>
      <c r="V141" s="16"/>
      <c r="W141" s="16"/>
      <c r="X141" s="16"/>
    </row>
    <row r="142" spans="18:24" x14ac:dyDescent="0.25">
      <c r="R142" s="16"/>
      <c r="S142" s="16"/>
      <c r="U142" s="16"/>
      <c r="V142" s="16"/>
      <c r="W142" s="16"/>
      <c r="X142" s="16"/>
    </row>
    <row r="143" spans="18:24" x14ac:dyDescent="0.25">
      <c r="R143" s="16"/>
      <c r="S143" s="16"/>
      <c r="U143" s="16"/>
      <c r="V143" s="16"/>
      <c r="W143" s="16"/>
      <c r="X143" s="16"/>
    </row>
    <row r="144" spans="18:24" x14ac:dyDescent="0.25">
      <c r="R144" s="16"/>
      <c r="S144" s="16"/>
      <c r="U144" s="16"/>
      <c r="V144" s="16"/>
      <c r="W144" s="16"/>
      <c r="X144" s="16"/>
    </row>
    <row r="145" spans="18:24" x14ac:dyDescent="0.25">
      <c r="R145" s="16"/>
      <c r="S145" s="16"/>
      <c r="U145" s="16"/>
      <c r="V145" s="16"/>
      <c r="W145" s="16"/>
      <c r="X145" s="16"/>
    </row>
    <row r="146" spans="18:24" x14ac:dyDescent="0.25">
      <c r="R146" s="16"/>
      <c r="S146" s="16"/>
      <c r="U146" s="16"/>
      <c r="V146" s="16"/>
      <c r="W146" s="16"/>
      <c r="X146" s="16"/>
    </row>
    <row r="147" spans="18:24" x14ac:dyDescent="0.25">
      <c r="R147" s="16"/>
      <c r="S147" s="16"/>
      <c r="U147" s="16"/>
      <c r="V147" s="16"/>
      <c r="W147" s="16"/>
      <c r="X147" s="16"/>
    </row>
    <row r="148" spans="18:24" x14ac:dyDescent="0.25">
      <c r="R148" s="16"/>
      <c r="S148" s="16"/>
      <c r="U148" s="16"/>
      <c r="V148" s="16"/>
      <c r="W148" s="16"/>
      <c r="X148" s="16"/>
    </row>
    <row r="149" spans="18:24" x14ac:dyDescent="0.25">
      <c r="R149" s="16"/>
      <c r="S149" s="16"/>
      <c r="U149" s="16"/>
      <c r="V149" s="16"/>
      <c r="W149" s="16"/>
      <c r="X149" s="16"/>
    </row>
    <row r="150" spans="18:24" x14ac:dyDescent="0.25">
      <c r="R150" s="16"/>
      <c r="S150" s="16"/>
      <c r="U150" s="16"/>
      <c r="V150" s="16"/>
      <c r="W150" s="16"/>
      <c r="X150" s="16"/>
    </row>
    <row r="151" spans="18:24" x14ac:dyDescent="0.25">
      <c r="R151" s="16"/>
      <c r="S151" s="16"/>
      <c r="U151" s="16"/>
      <c r="V151" s="16"/>
      <c r="W151" s="16"/>
      <c r="X151" s="16"/>
    </row>
    <row r="152" spans="18:24" x14ac:dyDescent="0.25">
      <c r="R152" s="16"/>
      <c r="S152" s="16"/>
      <c r="U152" s="16"/>
      <c r="V152" s="16"/>
      <c r="W152" s="16"/>
      <c r="X152" s="16"/>
    </row>
    <row r="153" spans="18:24" x14ac:dyDescent="0.25">
      <c r="R153" s="16"/>
      <c r="S153" s="16"/>
      <c r="U153" s="16"/>
      <c r="V153" s="16"/>
      <c r="W153" s="16"/>
      <c r="X153" s="16"/>
    </row>
    <row r="154" spans="18:24" x14ac:dyDescent="0.25">
      <c r="R154" s="16"/>
      <c r="S154" s="16"/>
      <c r="U154" s="16"/>
      <c r="V154" s="16"/>
      <c r="W154" s="16"/>
      <c r="X154" s="16"/>
    </row>
    <row r="155" spans="18:24" x14ac:dyDescent="0.25">
      <c r="R155" s="16"/>
      <c r="S155" s="16"/>
      <c r="U155" s="16"/>
      <c r="V155" s="16"/>
      <c r="W155" s="16"/>
      <c r="X155" s="16"/>
    </row>
    <row r="156" spans="18:24" x14ac:dyDescent="0.25">
      <c r="R156" s="16"/>
      <c r="S156" s="16"/>
      <c r="U156" s="16"/>
      <c r="V156" s="16"/>
      <c r="W156" s="16"/>
      <c r="X156" s="16"/>
    </row>
    <row r="157" spans="18:24" x14ac:dyDescent="0.25">
      <c r="R157" s="16"/>
      <c r="S157" s="16"/>
      <c r="U157" s="16"/>
      <c r="V157" s="16"/>
      <c r="W157" s="16"/>
      <c r="X157" s="16"/>
    </row>
    <row r="158" spans="18:24" x14ac:dyDescent="0.25">
      <c r="R158" s="16"/>
      <c r="S158" s="16"/>
      <c r="U158" s="16"/>
      <c r="V158" s="16"/>
      <c r="W158" s="16"/>
      <c r="X158" s="16"/>
    </row>
    <row r="159" spans="18:24" x14ac:dyDescent="0.25">
      <c r="R159" s="16"/>
      <c r="S159" s="16"/>
      <c r="U159" s="16"/>
      <c r="V159" s="16"/>
      <c r="W159" s="16"/>
      <c r="X159" s="16"/>
    </row>
    <row r="160" spans="18:24" x14ac:dyDescent="0.25">
      <c r="R160" s="16"/>
      <c r="S160" s="16"/>
      <c r="U160" s="16"/>
      <c r="V160" s="16"/>
      <c r="W160" s="16"/>
      <c r="X160" s="16"/>
    </row>
  </sheetData>
  <dataValidations disablePrompts="1" count="1">
    <dataValidation type="list" allowBlank="1" showInputMessage="1" showErrorMessage="1" sqref="K2:L72 T2:T72" xr:uid="{5B0ED5AB-E850-4962-A8FD-C335B7D9D507}">
      <formula1>"1,0"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C28A-80F2-2E40-9AAF-0D393BDFFFCD}">
  <dimension ref="A2:C43"/>
  <sheetViews>
    <sheetView topLeftCell="A12" zoomScaleNormal="150" zoomScaleSheetLayoutView="100" workbookViewId="0">
      <selection activeCell="A32" sqref="A32"/>
    </sheetView>
  </sheetViews>
  <sheetFormatPr defaultColWidth="8.5703125" defaultRowHeight="15" x14ac:dyDescent="0.25"/>
  <cols>
    <col min="1" max="1" width="8.5703125" style="9"/>
    <col min="2" max="2" width="22.42578125" style="9" customWidth="1"/>
    <col min="3" max="3" width="64.140625" style="9" customWidth="1"/>
    <col min="4" max="16384" width="8.5703125" style="9"/>
  </cols>
  <sheetData>
    <row r="2" spans="1:3" x14ac:dyDescent="0.25">
      <c r="A2" s="8" t="s">
        <v>142</v>
      </c>
    </row>
    <row r="3" spans="1:3" x14ac:dyDescent="0.25">
      <c r="B3" s="10" t="s">
        <v>124</v>
      </c>
    </row>
    <row r="4" spans="1:3" x14ac:dyDescent="0.25">
      <c r="B4" s="9" t="s">
        <v>128</v>
      </c>
      <c r="C4" s="9" t="s">
        <v>120</v>
      </c>
    </row>
    <row r="5" spans="1:3" ht="30" x14ac:dyDescent="0.25">
      <c r="B5" s="9" t="s">
        <v>127</v>
      </c>
      <c r="C5" s="9" t="s">
        <v>121</v>
      </c>
    </row>
    <row r="6" spans="1:3" x14ac:dyDescent="0.25">
      <c r="B6" s="9" t="s">
        <v>129</v>
      </c>
      <c r="C6" s="9" t="s">
        <v>122</v>
      </c>
    </row>
    <row r="7" spans="1:3" x14ac:dyDescent="0.25">
      <c r="B7" s="9" t="s">
        <v>130</v>
      </c>
      <c r="C7" s="9" t="s">
        <v>123</v>
      </c>
    </row>
    <row r="8" spans="1:3" ht="30" x14ac:dyDescent="0.25">
      <c r="B8" s="9" t="s">
        <v>131</v>
      </c>
      <c r="C8" s="9" t="s">
        <v>181</v>
      </c>
    </row>
    <row r="10" spans="1:3" x14ac:dyDescent="0.25">
      <c r="B10" s="10" t="s">
        <v>125</v>
      </c>
    </row>
    <row r="11" spans="1:3" ht="30" x14ac:dyDescent="0.25">
      <c r="B11" s="9" t="s">
        <v>126</v>
      </c>
      <c r="C11" s="9" t="s">
        <v>141</v>
      </c>
    </row>
    <row r="12" spans="1:3" ht="60" x14ac:dyDescent="0.25">
      <c r="B12" s="9" t="s">
        <v>132</v>
      </c>
      <c r="C12" s="9" t="s">
        <v>136</v>
      </c>
    </row>
    <row r="13" spans="1:3" ht="30" x14ac:dyDescent="0.25">
      <c r="B13" s="9" t="s">
        <v>133</v>
      </c>
      <c r="C13" s="9" t="s">
        <v>183</v>
      </c>
    </row>
    <row r="14" spans="1:3" ht="60" x14ac:dyDescent="0.25">
      <c r="B14" s="9" t="s">
        <v>134</v>
      </c>
      <c r="C14" s="9" t="s">
        <v>135</v>
      </c>
    </row>
    <row r="15" spans="1:3" ht="60" x14ac:dyDescent="0.25">
      <c r="B15" s="9" t="s">
        <v>137</v>
      </c>
      <c r="C15" s="9" t="s">
        <v>140</v>
      </c>
    </row>
    <row r="16" spans="1:3" x14ac:dyDescent="0.25">
      <c r="B16" s="9" t="s">
        <v>138</v>
      </c>
      <c r="C16" s="9" t="s">
        <v>139</v>
      </c>
    </row>
    <row r="18" spans="1:3" x14ac:dyDescent="0.25">
      <c r="A18" s="8" t="s">
        <v>143</v>
      </c>
    </row>
    <row r="19" spans="1:3" x14ac:dyDescent="0.25">
      <c r="A19" s="8"/>
      <c r="B19" s="12" t="s">
        <v>162</v>
      </c>
      <c r="C19" s="9" t="s">
        <v>161</v>
      </c>
    </row>
    <row r="20" spans="1:3" x14ac:dyDescent="0.25">
      <c r="A20" s="8"/>
      <c r="B20" s="12" t="s">
        <v>146</v>
      </c>
      <c r="C20" s="9" t="s">
        <v>156</v>
      </c>
    </row>
    <row r="21" spans="1:3" x14ac:dyDescent="0.25">
      <c r="B21" s="11" t="s">
        <v>144</v>
      </c>
      <c r="C21" s="9" t="s">
        <v>145</v>
      </c>
    </row>
    <row r="22" spans="1:3" ht="30" x14ac:dyDescent="0.25">
      <c r="B22" s="11" t="s">
        <v>119</v>
      </c>
      <c r="C22" s="9" t="s">
        <v>153</v>
      </c>
    </row>
    <row r="23" spans="1:3" ht="45" x14ac:dyDescent="0.25">
      <c r="B23" s="12" t="s">
        <v>148</v>
      </c>
      <c r="C23" s="9" t="s">
        <v>154</v>
      </c>
    </row>
    <row r="24" spans="1:3" ht="30" x14ac:dyDescent="0.25">
      <c r="B24" s="12" t="s">
        <v>147</v>
      </c>
      <c r="C24" s="9" t="s">
        <v>155</v>
      </c>
    </row>
    <row r="25" spans="1:3" x14ac:dyDescent="0.25">
      <c r="B25" s="12" t="s">
        <v>149</v>
      </c>
    </row>
    <row r="26" spans="1:3" x14ac:dyDescent="0.25">
      <c r="B26" s="12" t="s">
        <v>150</v>
      </c>
    </row>
    <row r="27" spans="1:3" x14ac:dyDescent="0.25">
      <c r="B27" s="12" t="s">
        <v>151</v>
      </c>
    </row>
    <row r="28" spans="1:3" x14ac:dyDescent="0.25">
      <c r="B28" s="12" t="s">
        <v>152</v>
      </c>
    </row>
    <row r="29" spans="1:3" x14ac:dyDescent="0.25">
      <c r="B29" s="12" t="s">
        <v>157</v>
      </c>
    </row>
    <row r="31" spans="1:3" x14ac:dyDescent="0.25">
      <c r="A31" s="8" t="s">
        <v>158</v>
      </c>
    </row>
    <row r="32" spans="1:3" ht="30" x14ac:dyDescent="0.25">
      <c r="B32" s="12" t="s">
        <v>159</v>
      </c>
      <c r="C32" s="9" t="s">
        <v>167</v>
      </c>
    </row>
    <row r="33" spans="2:3" ht="30" x14ac:dyDescent="0.25">
      <c r="B33" s="12" t="s">
        <v>162</v>
      </c>
      <c r="C33" s="9" t="s">
        <v>166</v>
      </c>
    </row>
    <row r="34" spans="2:3" x14ac:dyDescent="0.25">
      <c r="B34" s="12" t="s">
        <v>164</v>
      </c>
      <c r="C34" s="9" t="s">
        <v>165</v>
      </c>
    </row>
    <row r="35" spans="2:3" ht="30" x14ac:dyDescent="0.25">
      <c r="B35" s="12" t="s">
        <v>182</v>
      </c>
      <c r="C35" s="9" t="s">
        <v>171</v>
      </c>
    </row>
    <row r="36" spans="2:3" x14ac:dyDescent="0.25">
      <c r="B36" s="12" t="s">
        <v>168</v>
      </c>
      <c r="C36" s="9" t="s">
        <v>169</v>
      </c>
    </row>
    <row r="37" spans="2:3" x14ac:dyDescent="0.25">
      <c r="B37" s="11" t="s">
        <v>144</v>
      </c>
      <c r="C37" s="9" t="s">
        <v>163</v>
      </c>
    </row>
    <row r="38" spans="2:3" x14ac:dyDescent="0.25">
      <c r="B38" s="11" t="s">
        <v>119</v>
      </c>
      <c r="C38" s="9" t="s">
        <v>170</v>
      </c>
    </row>
    <row r="39" spans="2:3" x14ac:dyDescent="0.25">
      <c r="B39" s="13" t="s">
        <v>173</v>
      </c>
      <c r="C39" s="9" t="s">
        <v>172</v>
      </c>
    </row>
    <row r="40" spans="2:3" ht="45" x14ac:dyDescent="0.25">
      <c r="B40" s="13" t="s">
        <v>174</v>
      </c>
      <c r="C40" s="9" t="s">
        <v>175</v>
      </c>
    </row>
    <row r="41" spans="2:3" x14ac:dyDescent="0.25">
      <c r="B41" s="12" t="s">
        <v>176</v>
      </c>
      <c r="C41" s="9" t="s">
        <v>177</v>
      </c>
    </row>
    <row r="42" spans="2:3" ht="30" x14ac:dyDescent="0.25">
      <c r="B42" s="12" t="s">
        <v>178</v>
      </c>
      <c r="C42" s="9" t="s">
        <v>179</v>
      </c>
    </row>
    <row r="43" spans="2:3" ht="45" x14ac:dyDescent="0.25">
      <c r="B43" s="12" t="s">
        <v>160</v>
      </c>
      <c r="C43" s="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Workflow</vt:lpstr>
      <vt:lpstr>Users</vt:lpstr>
      <vt:lpstr>Application</vt:lpstr>
      <vt:lpstr>Reviews</vt:lpstr>
      <vt:lpstr>Inspection Request Log</vt:lpstr>
      <vt:lpstr>Inspections</vt:lpstr>
      <vt:lpstr>Fees</vt:lpstr>
      <vt:lpstr>Status</vt:lpstr>
      <vt:lpstr>AG</vt:lpstr>
      <vt:lpstr>BLD</vt:lpstr>
      <vt:lpstr>DEM</vt:lpstr>
      <vt:lpstr>DEMO</vt:lpstr>
      <vt:lpstr>ELC</vt:lpstr>
      <vt:lpstr>GRADE</vt:lpstr>
      <vt:lpstr>GRD</vt:lpstr>
      <vt:lpstr>MCH</vt:lpstr>
      <vt:lpstr>PLB</vt:lpstr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2023-08-15T20:30:38Z</dcterms:created>
  <dcterms:modified xsi:type="dcterms:W3CDTF">2023-09-05T22:03:53Z</dcterms:modified>
</cp:coreProperties>
</file>