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2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Yolo Permit Builder\"/>
    </mc:Choice>
  </mc:AlternateContent>
  <xr:revisionPtr revIDLastSave="0" documentId="13_ncr:1_{670227A4-DE56-4156-B29A-9D61FBD29F3C}" xr6:coauthVersionLast="47" xr6:coauthVersionMax="47" xr10:uidLastSave="{00000000-0000-0000-0000-000000000000}"/>
  <bookViews>
    <workbookView xWindow="-108" yWindow="-108" windowWidth="23256" windowHeight="12720" tabRatio="799" firstSheet="1" activeTab="7" xr2:uid="{00000000-000D-0000-FFFF-FFFF00000000}"/>
  </bookViews>
  <sheets>
    <sheet name="Database" sheetId="13" r:id="rId1"/>
    <sheet name="Actions" sheetId="11" r:id="rId2"/>
    <sheet name="Status" sheetId="4" r:id="rId3"/>
    <sheet name="Submittal" sheetId="14" r:id="rId4"/>
    <sheet name="Users" sheetId="9" r:id="rId5"/>
    <sheet name="Permit &amp; App" sheetId="12" r:id="rId6"/>
    <sheet name="Details" sheetId="1" r:id="rId7"/>
    <sheet name="Permit Categories" sheetId="15" r:id="rId8"/>
    <sheet name="Inspections" sheetId="2" r:id="rId9"/>
    <sheet name="Reviews" sheetId="8" r:id="rId10"/>
    <sheet name="Fee Accounts" sheetId="16" r:id="rId11"/>
    <sheet name="Acct Strings" sheetId="18" r:id="rId12"/>
    <sheet name="Fees Templates" sheetId="6" r:id="rId13"/>
  </sheets>
  <definedNames>
    <definedName name="_xlnm._FilterDatabase" localSheetId="11" hidden="1">'Acct Strings'!$A$3:$XFC$3</definedName>
    <definedName name="_xlnm._FilterDatabase" localSheetId="4" hidden="1">Users!$A$1:$Q$26</definedName>
    <definedName name="Acc">Details!$C$12</definedName>
    <definedName name="AG">Details!$C$3</definedName>
    <definedName name="BLD">Details!$C$14</definedName>
    <definedName name="Com">Details!$C$11</definedName>
    <definedName name="DEM">Details!$C$4</definedName>
    <definedName name="DEMO">Details!$C$4</definedName>
    <definedName name="ELC">Details!$C$7</definedName>
    <definedName name="GRADE">Details!$C$5</definedName>
    <definedName name="GRD">Details!$C$5</definedName>
    <definedName name="MCH">Details!$C$8</definedName>
    <definedName name="OTC">Details!#REF!</definedName>
    <definedName name="PLB">Details!$C$9</definedName>
    <definedName name="POOL">Details!$C$6</definedName>
    <definedName name="_xlnm.Print_Area" localSheetId="1">Actions!$A$1:$G$20</definedName>
    <definedName name="_xlnm.Print_Area" localSheetId="0">Database!$A$1:$H$19</definedName>
    <definedName name="_xlnm.Print_Area" localSheetId="10">'Fee Accounts'!$A$1:$K$58</definedName>
    <definedName name="_xlnm.Print_Area" localSheetId="5">'Permit &amp; App'!$A$1:$D$28</definedName>
    <definedName name="_xlnm.Print_Area" localSheetId="4">Users!$A$1:$Q$39</definedName>
    <definedName name="Res">Details!$C$10</definedName>
  </definedNames>
  <calcPr calcId="181029"/>
</workbook>
</file>

<file path=xl/calcChain.xml><?xml version="1.0" encoding="utf-8"?>
<calcChain xmlns="http://schemas.openxmlformats.org/spreadsheetml/2006/main">
  <c r="B3" i="15" l="1"/>
  <c r="B22" i="15" s="1"/>
  <c r="B4" i="15"/>
  <c r="B47" i="15" s="1"/>
  <c r="B5" i="15"/>
  <c r="B53" i="15" s="1"/>
  <c r="B6" i="15"/>
  <c r="B60" i="15" s="1"/>
  <c r="B7" i="15"/>
  <c r="B8" i="15"/>
  <c r="B9" i="15"/>
  <c r="B10" i="15"/>
  <c r="B11" i="15"/>
  <c r="B12" i="15"/>
  <c r="B13" i="15"/>
  <c r="B54" i="15"/>
  <c r="B56" i="15"/>
  <c r="B57" i="15"/>
  <c r="B49" i="15"/>
  <c r="K53" i="16"/>
  <c r="K54" i="16"/>
  <c r="K55" i="16"/>
  <c r="K56" i="16"/>
  <c r="K57" i="16"/>
  <c r="K17" i="16"/>
  <c r="K16" i="16"/>
  <c r="K15" i="16"/>
  <c r="K18" i="16"/>
  <c r="K19" i="16"/>
  <c r="K20" i="16"/>
  <c r="K21" i="16"/>
  <c r="K22" i="16"/>
  <c r="K23" i="16"/>
  <c r="K24" i="16"/>
  <c r="K50" i="16"/>
  <c r="K51" i="16"/>
  <c r="K52" i="16"/>
  <c r="K43" i="16"/>
  <c r="K44" i="16"/>
  <c r="K45" i="16"/>
  <c r="K46" i="16"/>
  <c r="K47" i="16"/>
  <c r="K48" i="16"/>
  <c r="K49" i="16"/>
  <c r="K14" i="16"/>
  <c r="K31" i="16"/>
  <c r="K34" i="16"/>
  <c r="K33" i="16"/>
  <c r="K32" i="16"/>
  <c r="K30" i="16"/>
  <c r="K29" i="16"/>
  <c r="K28" i="16"/>
  <c r="K27" i="16"/>
  <c r="K26" i="16"/>
  <c r="K25" i="16"/>
  <c r="K36" i="16"/>
  <c r="K37" i="16"/>
  <c r="K38" i="16"/>
  <c r="K39" i="16"/>
  <c r="K40" i="16"/>
  <c r="K41" i="16"/>
  <c r="K42" i="16"/>
  <c r="K58" i="16"/>
  <c r="K35" i="16"/>
  <c r="K13" i="16"/>
  <c r="K11" i="16"/>
  <c r="K10" i="16"/>
  <c r="K9" i="16"/>
  <c r="K8" i="16"/>
  <c r="K7" i="16"/>
  <c r="K6" i="16"/>
  <c r="K5" i="16"/>
  <c r="K4" i="16"/>
  <c r="K3" i="16"/>
  <c r="K2" i="16"/>
  <c r="K12" i="16"/>
  <c r="V128" i="6"/>
  <c r="V120" i="6"/>
  <c r="V136" i="6"/>
  <c r="V144" i="6"/>
  <c r="V152" i="6"/>
  <c r="AA112" i="6"/>
  <c r="AA111" i="6"/>
  <c r="AA110" i="6"/>
  <c r="AA109" i="6"/>
  <c r="AA108" i="6"/>
  <c r="AA107" i="6"/>
  <c r="AA106" i="6"/>
  <c r="AA105" i="6"/>
  <c r="AA104" i="6"/>
  <c r="AA103" i="6"/>
  <c r="AH102" i="6"/>
  <c r="AD102" i="6"/>
  <c r="AH101" i="6"/>
  <c r="AD101" i="6"/>
  <c r="AA101" i="6" s="1"/>
  <c r="AH100" i="6"/>
  <c r="AD100" i="6"/>
  <c r="AA100" i="6" s="1"/>
  <c r="AH99" i="6"/>
  <c r="AD99" i="6"/>
  <c r="AA99" i="6" s="1"/>
  <c r="AH98" i="6"/>
  <c r="AD98" i="6"/>
  <c r="AA98" i="6" s="1"/>
  <c r="AH97" i="6"/>
  <c r="AD97" i="6"/>
  <c r="AA97" i="6" s="1"/>
  <c r="AH96" i="6"/>
  <c r="AD96" i="6"/>
  <c r="AA96" i="6" s="1"/>
  <c r="AH95" i="6"/>
  <c r="AD95" i="6"/>
  <c r="AA95" i="6" s="1"/>
  <c r="AH94" i="6"/>
  <c r="AD94" i="6"/>
  <c r="AA94" i="6" s="1"/>
  <c r="AH93" i="6"/>
  <c r="AD93" i="6"/>
  <c r="AA93" i="6" s="1"/>
  <c r="AH92" i="6"/>
  <c r="AD92" i="6"/>
  <c r="AA92" i="6" s="1"/>
  <c r="AH91" i="6"/>
  <c r="AD91" i="6"/>
  <c r="AA91" i="6" s="1"/>
  <c r="AH90" i="6"/>
  <c r="AD90" i="6"/>
  <c r="AA90" i="6" s="1"/>
  <c r="AH89" i="6"/>
  <c r="AD89" i="6"/>
  <c r="AA89" i="6" s="1"/>
  <c r="AH88" i="6"/>
  <c r="AD88" i="6"/>
  <c r="AA88" i="6" s="1"/>
  <c r="AH87" i="6"/>
  <c r="AD87" i="6"/>
  <c r="AA87" i="6" s="1"/>
  <c r="AH86" i="6"/>
  <c r="AD86" i="6"/>
  <c r="AA86" i="6" s="1"/>
  <c r="AH85" i="6"/>
  <c r="AD85" i="6"/>
  <c r="AA85" i="6" s="1"/>
  <c r="AH84" i="6"/>
  <c r="AD84" i="6"/>
  <c r="AA84" i="6" s="1"/>
  <c r="AH83" i="6"/>
  <c r="AD83" i="6"/>
  <c r="AA83" i="6" s="1"/>
  <c r="AH82" i="6"/>
  <c r="AD82" i="6"/>
  <c r="AA82" i="6" s="1"/>
  <c r="AH81" i="6"/>
  <c r="AD81" i="6"/>
  <c r="AA81" i="6" s="1"/>
  <c r="AH80" i="6"/>
  <c r="AD80" i="6"/>
  <c r="AA80" i="6" s="1"/>
  <c r="AH79" i="6"/>
  <c r="AD79" i="6"/>
  <c r="AA79" i="6" s="1"/>
  <c r="AH78" i="6"/>
  <c r="AD78" i="6"/>
  <c r="AA78" i="6" s="1"/>
  <c r="AH77" i="6"/>
  <c r="AD77" i="6"/>
  <c r="AA77" i="6" s="1"/>
  <c r="AH76" i="6"/>
  <c r="AD76" i="6"/>
  <c r="AA76" i="6" s="1"/>
  <c r="AH75" i="6"/>
  <c r="AD75" i="6"/>
  <c r="AA75" i="6" s="1"/>
  <c r="AH74" i="6"/>
  <c r="AD74" i="6"/>
  <c r="AA74" i="6" s="1"/>
  <c r="AH73" i="6"/>
  <c r="AD73" i="6"/>
  <c r="AA73" i="6" s="1"/>
  <c r="AH72" i="6"/>
  <c r="AD72" i="6"/>
  <c r="AA72" i="6" s="1"/>
  <c r="AH71" i="6"/>
  <c r="AD71" i="6"/>
  <c r="AA71" i="6" s="1"/>
  <c r="AH70" i="6"/>
  <c r="AD70" i="6"/>
  <c r="AA70" i="6" s="1"/>
  <c r="AH69" i="6"/>
  <c r="AD69" i="6"/>
  <c r="AA69" i="6" s="1"/>
  <c r="AH68" i="6"/>
  <c r="AD68" i="6"/>
  <c r="AA68" i="6" s="1"/>
  <c r="AH67" i="6"/>
  <c r="AD67" i="6"/>
  <c r="AA67" i="6" s="1"/>
  <c r="AH66" i="6"/>
  <c r="AD66" i="6"/>
  <c r="AA66" i="6" s="1"/>
  <c r="AH65" i="6"/>
  <c r="AD65" i="6"/>
  <c r="AA65" i="6" s="1"/>
  <c r="AH64" i="6"/>
  <c r="AD64" i="6"/>
  <c r="AA64" i="6" s="1"/>
  <c r="AH63" i="6"/>
  <c r="AD63" i="6"/>
  <c r="AA63" i="6" s="1"/>
  <c r="AH62" i="6"/>
  <c r="AD62" i="6"/>
  <c r="AA62" i="6" s="1"/>
  <c r="AH61" i="6"/>
  <c r="AD61" i="6"/>
  <c r="AA61" i="6" s="1"/>
  <c r="AH60" i="6"/>
  <c r="AD60" i="6"/>
  <c r="AA60" i="6" s="1"/>
  <c r="AH59" i="6"/>
  <c r="AD59" i="6"/>
  <c r="AA59" i="6" s="1"/>
  <c r="AH58" i="6"/>
  <c r="AD58" i="6"/>
  <c r="AA58" i="6" s="1"/>
  <c r="AH57" i="6"/>
  <c r="AD57" i="6"/>
  <c r="AA57" i="6" s="1"/>
  <c r="AH56" i="6"/>
  <c r="AD56" i="6"/>
  <c r="AA56" i="6" s="1"/>
  <c r="AH55" i="6"/>
  <c r="AD55" i="6"/>
  <c r="AA55" i="6" s="1"/>
  <c r="AH54" i="6"/>
  <c r="AD54" i="6"/>
  <c r="AA54" i="6" s="1"/>
  <c r="AH53" i="6"/>
  <c r="AD53" i="6"/>
  <c r="AA53" i="6" s="1"/>
  <c r="AH52" i="6"/>
  <c r="AD52" i="6"/>
  <c r="AA52" i="6" s="1"/>
  <c r="AH51" i="6"/>
  <c r="AD51" i="6"/>
  <c r="AA51" i="6" s="1"/>
  <c r="AH50" i="6"/>
  <c r="AD50" i="6"/>
  <c r="AA50" i="6" s="1"/>
  <c r="AH49" i="6"/>
  <c r="AD49" i="6"/>
  <c r="AA49" i="6" s="1"/>
  <c r="AH48" i="6"/>
  <c r="AD48" i="6"/>
  <c r="AA48" i="6" s="1"/>
  <c r="AH47" i="6"/>
  <c r="AD47" i="6"/>
  <c r="AA47" i="6" s="1"/>
  <c r="AH46" i="6"/>
  <c r="AD46" i="6"/>
  <c r="AA46" i="6" s="1"/>
  <c r="AH45" i="6"/>
  <c r="AD45" i="6"/>
  <c r="AA45" i="6" s="1"/>
  <c r="AH44" i="6"/>
  <c r="AD44" i="6"/>
  <c r="AA44" i="6" s="1"/>
  <c r="AH43" i="6"/>
  <c r="AD43" i="6"/>
  <c r="AA43" i="6" s="1"/>
  <c r="AH42" i="6"/>
  <c r="AD42" i="6"/>
  <c r="AA42" i="6" s="1"/>
  <c r="AH41" i="6"/>
  <c r="AD41" i="6"/>
  <c r="AA41" i="6" s="1"/>
  <c r="AH40" i="6"/>
  <c r="AD40" i="6"/>
  <c r="AA40" i="6" s="1"/>
  <c r="AH39" i="6"/>
  <c r="AD39" i="6"/>
  <c r="AA39" i="6" s="1"/>
  <c r="AH38" i="6"/>
  <c r="AD38" i="6"/>
  <c r="AA38" i="6" s="1"/>
  <c r="AH37" i="6"/>
  <c r="AD37" i="6"/>
  <c r="AA37" i="6" s="1"/>
  <c r="AH36" i="6"/>
  <c r="AD36" i="6"/>
  <c r="AA36" i="6" s="1"/>
  <c r="AH35" i="6"/>
  <c r="AD35" i="6"/>
  <c r="AA35" i="6" s="1"/>
  <c r="AH34" i="6"/>
  <c r="AD34" i="6"/>
  <c r="AA34" i="6" s="1"/>
  <c r="AH33" i="6"/>
  <c r="AD33" i="6"/>
  <c r="AA33" i="6" s="1"/>
  <c r="AH32" i="6"/>
  <c r="AD32" i="6"/>
  <c r="AA32" i="6" s="1"/>
  <c r="AH31" i="6"/>
  <c r="AD31" i="6"/>
  <c r="AA31" i="6" s="1"/>
  <c r="AH30" i="6"/>
  <c r="AD30" i="6"/>
  <c r="AA30" i="6" s="1"/>
  <c r="AH29" i="6"/>
  <c r="AD29" i="6"/>
  <c r="AA29" i="6" s="1"/>
  <c r="AH28" i="6"/>
  <c r="AD28" i="6"/>
  <c r="AA28" i="6" s="1"/>
  <c r="AH27" i="6"/>
  <c r="AD27" i="6"/>
  <c r="AA27" i="6" s="1"/>
  <c r="AH26" i="6"/>
  <c r="AD26" i="6"/>
  <c r="AA26" i="6" s="1"/>
  <c r="AH25" i="6"/>
  <c r="AD25" i="6"/>
  <c r="AA25" i="6" s="1"/>
  <c r="AH24" i="6"/>
  <c r="AD24" i="6"/>
  <c r="AA24" i="6" s="1"/>
  <c r="AH23" i="6"/>
  <c r="AD23" i="6"/>
  <c r="AA23" i="6" s="1"/>
  <c r="AH22" i="6"/>
  <c r="AD22" i="6"/>
  <c r="AA22" i="6" s="1"/>
  <c r="AH21" i="6"/>
  <c r="AD21" i="6"/>
  <c r="AA21" i="6" s="1"/>
  <c r="AH20" i="6"/>
  <c r="AD20" i="6"/>
  <c r="AA20" i="6" s="1"/>
  <c r="AH19" i="6"/>
  <c r="AD19" i="6"/>
  <c r="AA19" i="6" s="1"/>
  <c r="AH18" i="6"/>
  <c r="AD18" i="6"/>
  <c r="AA18" i="6" s="1"/>
  <c r="AH17" i="6"/>
  <c r="AD17" i="6"/>
  <c r="AA17" i="6" s="1"/>
  <c r="AH16" i="6"/>
  <c r="AD16" i="6"/>
  <c r="AA16" i="6" s="1"/>
  <c r="AH15" i="6"/>
  <c r="AD15" i="6"/>
  <c r="AA15" i="6" s="1"/>
  <c r="AH14" i="6"/>
  <c r="AD14" i="6"/>
  <c r="AA14" i="6" s="1"/>
  <c r="AH13" i="6"/>
  <c r="AD13" i="6"/>
  <c r="AA13" i="6" s="1"/>
  <c r="AH12" i="6"/>
  <c r="AD12" i="6"/>
  <c r="AA12" i="6" s="1"/>
  <c r="AH11" i="6"/>
  <c r="AD11" i="6"/>
  <c r="AA11" i="6" s="1"/>
  <c r="AH10" i="6"/>
  <c r="AD10" i="6"/>
  <c r="AA10" i="6" s="1"/>
  <c r="AH9" i="6"/>
  <c r="AD9" i="6"/>
  <c r="AA9" i="6" s="1"/>
  <c r="AH8" i="6"/>
  <c r="AD8" i="6"/>
  <c r="AA8" i="6" s="1"/>
  <c r="AH7" i="6"/>
  <c r="AD7" i="6"/>
  <c r="AA7" i="6" s="1"/>
  <c r="AH118" i="6"/>
  <c r="AD118" i="6"/>
  <c r="AA118" i="6" s="1"/>
  <c r="AH126" i="6"/>
  <c r="AD126" i="6"/>
  <c r="AA126" i="6" s="1"/>
  <c r="AH134" i="6"/>
  <c r="AD134" i="6"/>
  <c r="AA134" i="6" s="1"/>
  <c r="AH150" i="6"/>
  <c r="AD150" i="6"/>
  <c r="AA150" i="6" s="1"/>
  <c r="AH142" i="6"/>
  <c r="AD142" i="6"/>
  <c r="AA142" i="6" s="1"/>
  <c r="A4" i="6"/>
  <c r="A5" i="6" s="1"/>
  <c r="B7" i="12"/>
  <c r="A231" i="1"/>
  <c r="J30" i="8" s="1"/>
  <c r="A230" i="1"/>
  <c r="J29" i="8" s="1"/>
  <c r="A229" i="1"/>
  <c r="J28" i="8" s="1"/>
  <c r="A228" i="1"/>
  <c r="J27" i="8" s="1"/>
  <c r="A227" i="1"/>
  <c r="J26" i="8" s="1"/>
  <c r="A226" i="1"/>
  <c r="J25" i="8" s="1"/>
  <c r="J24" i="8"/>
  <c r="A224" i="1"/>
  <c r="J23" i="8" s="1"/>
  <c r="A223" i="1"/>
  <c r="J22" i="8" s="1"/>
  <c r="A222" i="1"/>
  <c r="J21" i="8" s="1"/>
  <c r="A221" i="1"/>
  <c r="J20" i="8" s="1"/>
  <c r="J19" i="8"/>
  <c r="A219" i="1"/>
  <c r="J18" i="8" s="1"/>
  <c r="A218" i="1"/>
  <c r="J17" i="8" s="1"/>
  <c r="A217" i="1"/>
  <c r="J16" i="8" s="1"/>
  <c r="A216" i="1"/>
  <c r="J15" i="8" s="1"/>
  <c r="A215" i="1"/>
  <c r="J14" i="8" s="1"/>
  <c r="A214" i="1"/>
  <c r="J13" i="8" s="1"/>
  <c r="A213" i="1"/>
  <c r="J12" i="8" s="1"/>
  <c r="A212" i="1"/>
  <c r="J11" i="8" s="1"/>
  <c r="A211" i="1"/>
  <c r="J10" i="8" s="1"/>
  <c r="A210" i="1"/>
  <c r="J9" i="8" s="1"/>
  <c r="A209" i="1"/>
  <c r="J8" i="8" s="1"/>
  <c r="A208" i="1"/>
  <c r="J7" i="8" s="1"/>
  <c r="A207" i="1"/>
  <c r="J6" i="8" s="1"/>
  <c r="A206" i="1"/>
  <c r="J5" i="8" s="1"/>
  <c r="A205" i="1"/>
  <c r="J4" i="8" s="1"/>
  <c r="A204" i="1"/>
  <c r="J3" i="8" s="1"/>
  <c r="E4" i="8"/>
  <c r="E5" i="8" s="1"/>
  <c r="B5" i="8" s="1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B4" i="8" s="1"/>
  <c r="B3" i="8"/>
  <c r="AB6" i="8"/>
  <c r="AA6" i="8" s="1"/>
  <c r="AB7" i="8"/>
  <c r="AA7" i="8" s="1"/>
  <c r="AB8" i="8"/>
  <c r="AA8" i="8" s="1"/>
  <c r="AB9" i="8"/>
  <c r="AA9" i="8" s="1"/>
  <c r="AB10" i="8"/>
  <c r="AA10" i="8" s="1"/>
  <c r="AB11" i="8"/>
  <c r="AA11" i="8" s="1"/>
  <c r="AB12" i="8"/>
  <c r="AA12" i="8" s="1"/>
  <c r="AB13" i="8"/>
  <c r="AA13" i="8" s="1"/>
  <c r="AB14" i="8"/>
  <c r="AA14" i="8" s="1"/>
  <c r="AB15" i="8"/>
  <c r="AA15" i="8" s="1"/>
  <c r="AB16" i="8"/>
  <c r="AA16" i="8" s="1"/>
  <c r="AB17" i="8"/>
  <c r="AA17" i="8" s="1"/>
  <c r="AB18" i="8"/>
  <c r="AA18" i="8" s="1"/>
  <c r="AB19" i="8"/>
  <c r="AA19" i="8" s="1"/>
  <c r="AB20" i="8"/>
  <c r="AA20" i="8" s="1"/>
  <c r="AB21" i="8"/>
  <c r="AA21" i="8" s="1"/>
  <c r="AB22" i="8"/>
  <c r="AA22" i="8" s="1"/>
  <c r="AB23" i="8"/>
  <c r="AA23" i="8" s="1"/>
  <c r="AB24" i="8"/>
  <c r="AA24" i="8" s="1"/>
  <c r="AB25" i="8"/>
  <c r="AA25" i="8" s="1"/>
  <c r="AB26" i="8"/>
  <c r="AA26" i="8" s="1"/>
  <c r="AB27" i="8"/>
  <c r="AA27" i="8" s="1"/>
  <c r="AB28" i="8"/>
  <c r="AA28" i="8" s="1"/>
  <c r="AB29" i="8"/>
  <c r="AA29" i="8" s="1"/>
  <c r="AB30" i="8"/>
  <c r="AA30" i="8" s="1"/>
  <c r="AB31" i="8"/>
  <c r="AA31" i="8" s="1"/>
  <c r="AB32" i="8"/>
  <c r="AA32" i="8" s="1"/>
  <c r="AB33" i="8"/>
  <c r="AA33" i="8" s="1"/>
  <c r="AB34" i="8"/>
  <c r="AA34" i="8" s="1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9" i="12"/>
  <c r="A10" i="12"/>
  <c r="A11" i="12"/>
  <c r="A12" i="12"/>
  <c r="C12" i="12" s="1"/>
  <c r="A13" i="12"/>
  <c r="B7" i="14" s="1"/>
  <c r="A14" i="12"/>
  <c r="B8" i="14" s="1"/>
  <c r="A15" i="12"/>
  <c r="B123" i="15" s="1"/>
  <c r="A16" i="12"/>
  <c r="C16" i="12" s="1"/>
  <c r="A17" i="12"/>
  <c r="A18" i="12"/>
  <c r="A19" i="12"/>
  <c r="I27" i="9"/>
  <c r="H27" i="9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W7" i="8" s="1"/>
  <c r="V6" i="8"/>
  <c r="R35" i="8"/>
  <c r="S35" i="8"/>
  <c r="T26" i="8"/>
  <c r="T25" i="8"/>
  <c r="T24" i="8"/>
  <c r="T23" i="8"/>
  <c r="T22" i="8"/>
  <c r="W22" i="8" s="1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I34" i="8"/>
  <c r="B231" i="1" s="1"/>
  <c r="I33" i="8"/>
  <c r="B230" i="1" s="1"/>
  <c r="I32" i="8"/>
  <c r="B229" i="1" s="1"/>
  <c r="I31" i="8"/>
  <c r="I30" i="8"/>
  <c r="B227" i="1" s="1"/>
  <c r="I29" i="8"/>
  <c r="I28" i="8"/>
  <c r="I27" i="8"/>
  <c r="B225" i="1" s="1"/>
  <c r="I26" i="8"/>
  <c r="B224" i="1" s="1"/>
  <c r="I25" i="8"/>
  <c r="B223" i="1" s="1"/>
  <c r="I24" i="8"/>
  <c r="I23" i="8"/>
  <c r="B222" i="1" s="1"/>
  <c r="I22" i="8"/>
  <c r="B221" i="1" s="1"/>
  <c r="I21" i="8"/>
  <c r="B220" i="1" s="1"/>
  <c r="I20" i="8"/>
  <c r="B219" i="1" s="1"/>
  <c r="I19" i="8"/>
  <c r="B218" i="1" s="1"/>
  <c r="I18" i="8"/>
  <c r="B217" i="1" s="1"/>
  <c r="I17" i="8"/>
  <c r="B216" i="1" s="1"/>
  <c r="I16" i="8"/>
  <c r="B215" i="1" s="1"/>
  <c r="I15" i="8"/>
  <c r="B214" i="1" s="1"/>
  <c r="I14" i="8"/>
  <c r="B213" i="1" s="1"/>
  <c r="I13" i="8"/>
  <c r="B212" i="1" s="1"/>
  <c r="I12" i="8"/>
  <c r="B211" i="1" s="1"/>
  <c r="I11" i="8"/>
  <c r="B210" i="1" s="1"/>
  <c r="I10" i="8"/>
  <c r="B209" i="1" s="1"/>
  <c r="I9" i="8"/>
  <c r="B208" i="1" s="1"/>
  <c r="I8" i="8"/>
  <c r="B226" i="1" s="1"/>
  <c r="I7" i="8"/>
  <c r="B228" i="1" s="1"/>
  <c r="I6" i="8"/>
  <c r="B207" i="1" s="1"/>
  <c r="I5" i="8"/>
  <c r="B206" i="1" s="1"/>
  <c r="I4" i="8"/>
  <c r="B205" i="1" s="1"/>
  <c r="I3" i="8"/>
  <c r="B204" i="1" s="1"/>
  <c r="AH132" i="6"/>
  <c r="AD132" i="6"/>
  <c r="AA132" i="6" s="1"/>
  <c r="AH131" i="6"/>
  <c r="AD131" i="6"/>
  <c r="AA131" i="6" s="1"/>
  <c r="AH130" i="6"/>
  <c r="AD130" i="6"/>
  <c r="AA130" i="6" s="1"/>
  <c r="AH129" i="6"/>
  <c r="AD129" i="6"/>
  <c r="AA129" i="6" s="1"/>
  <c r="AH128" i="6"/>
  <c r="X128" i="6"/>
  <c r="AD128" i="6" s="1"/>
  <c r="AA128" i="6" s="1"/>
  <c r="AH127" i="6"/>
  <c r="AD127" i="6"/>
  <c r="AA127" i="6" s="1"/>
  <c r="AH125" i="6"/>
  <c r="AD125" i="6"/>
  <c r="AA125" i="6" s="1"/>
  <c r="AH124" i="6"/>
  <c r="AD124" i="6"/>
  <c r="AA124" i="6" s="1"/>
  <c r="AH123" i="6"/>
  <c r="AD123" i="6"/>
  <c r="AA123" i="6" s="1"/>
  <c r="AH122" i="6"/>
  <c r="AD122" i="6"/>
  <c r="AA122" i="6" s="1"/>
  <c r="AF122" i="6" s="1"/>
  <c r="AH121" i="6"/>
  <c r="AD121" i="6"/>
  <c r="AA121" i="6" s="1"/>
  <c r="AH120" i="6"/>
  <c r="X120" i="6"/>
  <c r="AD120" i="6" s="1"/>
  <c r="AA120" i="6" s="1"/>
  <c r="AH119" i="6"/>
  <c r="AD119" i="6"/>
  <c r="AA119" i="6" s="1"/>
  <c r="AH117" i="6"/>
  <c r="AD117" i="6"/>
  <c r="AA117" i="6" s="1"/>
  <c r="AH140" i="6"/>
  <c r="AD140" i="6"/>
  <c r="AA140" i="6" s="1"/>
  <c r="AH139" i="6"/>
  <c r="AD139" i="6"/>
  <c r="AA139" i="6" s="1"/>
  <c r="AH138" i="6"/>
  <c r="AD138" i="6"/>
  <c r="AA138" i="6" s="1"/>
  <c r="AH137" i="6"/>
  <c r="AD137" i="6"/>
  <c r="AA137" i="6" s="1"/>
  <c r="AH136" i="6"/>
  <c r="X136" i="6"/>
  <c r="AD136" i="6" s="1"/>
  <c r="AH135" i="6"/>
  <c r="AD135" i="6"/>
  <c r="AA135" i="6" s="1"/>
  <c r="AH133" i="6"/>
  <c r="AD133" i="6"/>
  <c r="AA133" i="6" s="1"/>
  <c r="AH148" i="6"/>
  <c r="AD148" i="6"/>
  <c r="AH147" i="6"/>
  <c r="AD147" i="6"/>
  <c r="AA147" i="6" s="1"/>
  <c r="AH146" i="6"/>
  <c r="AD146" i="6"/>
  <c r="AA146" i="6" s="1"/>
  <c r="AH145" i="6"/>
  <c r="AD145" i="6"/>
  <c r="AA145" i="6" s="1"/>
  <c r="AH144" i="6"/>
  <c r="X144" i="6"/>
  <c r="AD144" i="6" s="1"/>
  <c r="AA144" i="6" s="1"/>
  <c r="AH143" i="6"/>
  <c r="AD143" i="6"/>
  <c r="AH141" i="6"/>
  <c r="AD141" i="6"/>
  <c r="AA141" i="6" s="1"/>
  <c r="I2" i="2"/>
  <c r="H27" i="2"/>
  <c r="L47" i="2"/>
  <c r="L44" i="2"/>
  <c r="L43" i="2"/>
  <c r="L32" i="2"/>
  <c r="L31" i="2"/>
  <c r="L28" i="2"/>
  <c r="L26" i="2"/>
  <c r="L2" i="2"/>
  <c r="M2" i="2"/>
  <c r="N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N29" i="2"/>
  <c r="O29" i="2" s="1"/>
  <c r="N58" i="2"/>
  <c r="O58" i="2" s="1"/>
  <c r="N59" i="2"/>
  <c r="O59" i="2" s="1"/>
  <c r="N60" i="2"/>
  <c r="O60" i="2" s="1"/>
  <c r="N65" i="2"/>
  <c r="O65" i="2"/>
  <c r="N66" i="2"/>
  <c r="O66" i="2" s="1"/>
  <c r="N67" i="2"/>
  <c r="O67" i="2" s="1"/>
  <c r="A177" i="1"/>
  <c r="A176" i="1"/>
  <c r="A175" i="1"/>
  <c r="A174" i="1"/>
  <c r="A173" i="1"/>
  <c r="A172" i="1"/>
  <c r="A171" i="1"/>
  <c r="A170" i="1"/>
  <c r="A152" i="1"/>
  <c r="A158" i="1" s="1"/>
  <c r="A144" i="1"/>
  <c r="A139" i="1"/>
  <c r="A140" i="1"/>
  <c r="A143" i="1"/>
  <c r="A142" i="1"/>
  <c r="A141" i="1"/>
  <c r="A136" i="1"/>
  <c r="A149" i="1" s="1"/>
  <c r="A130" i="1"/>
  <c r="A131" i="1" s="1"/>
  <c r="A123" i="1"/>
  <c r="A118" i="1"/>
  <c r="A119" i="1"/>
  <c r="A120" i="1"/>
  <c r="A125" i="1"/>
  <c r="A122" i="1"/>
  <c r="A124" i="1"/>
  <c r="A129" i="1"/>
  <c r="A128" i="1"/>
  <c r="A127" i="1"/>
  <c r="A126" i="1"/>
  <c r="A121" i="1"/>
  <c r="A117" i="1"/>
  <c r="A116" i="1"/>
  <c r="A113" i="1"/>
  <c r="A111" i="1"/>
  <c r="A110" i="1"/>
  <c r="A58" i="1" a="1"/>
  <c r="A58" i="1" s="1"/>
  <c r="A60" i="1" a="1"/>
  <c r="A60" i="1" s="1"/>
  <c r="A61" i="1" a="1"/>
  <c r="A61" i="1" s="1"/>
  <c r="A63" i="1" a="1"/>
  <c r="A63" i="1" s="1"/>
  <c r="A103" i="1"/>
  <c r="A101" i="1"/>
  <c r="A100" i="1"/>
  <c r="A102" i="1"/>
  <c r="A109" i="1"/>
  <c r="A107" i="1"/>
  <c r="A106" i="1"/>
  <c r="A105" i="1"/>
  <c r="A104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50" i="1"/>
  <c r="A49" i="1"/>
  <c r="A48" i="1"/>
  <c r="A47" i="1"/>
  <c r="A46" i="1"/>
  <c r="A45" i="1"/>
  <c r="A44" i="1"/>
  <c r="A43" i="1"/>
  <c r="A42" i="1"/>
  <c r="A17" i="1"/>
  <c r="A16" i="1"/>
  <c r="A15" i="1"/>
  <c r="A66" i="1"/>
  <c r="A114" i="1"/>
  <c r="A115" i="1"/>
  <c r="A112" i="1"/>
  <c r="A108" i="1"/>
  <c r="A188" i="1"/>
  <c r="A194" i="1" s="1"/>
  <c r="A160" i="1"/>
  <c r="A180" i="1" s="1"/>
  <c r="A65" i="1"/>
  <c r="A64" i="1"/>
  <c r="A57" i="1" a="1"/>
  <c r="A57" i="1" s="1"/>
  <c r="A41" i="1"/>
  <c r="A40" i="1"/>
  <c r="A39" i="1"/>
  <c r="A38" i="1"/>
  <c r="A37" i="1"/>
  <c r="Q27" i="9"/>
  <c r="P27" i="9"/>
  <c r="O27" i="9"/>
  <c r="N27" i="9"/>
  <c r="M27" i="9"/>
  <c r="L27" i="9"/>
  <c r="K27" i="9"/>
  <c r="J27" i="9"/>
  <c r="G27" i="9"/>
  <c r="E18" i="9"/>
  <c r="E17" i="9"/>
  <c r="E16" i="9"/>
  <c r="E25" i="9"/>
  <c r="E24" i="9"/>
  <c r="E23" i="9"/>
  <c r="E22" i="9"/>
  <c r="E21" i="9"/>
  <c r="E20" i="9"/>
  <c r="E19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6" i="9"/>
  <c r="AH151" i="6"/>
  <c r="Y151" i="6"/>
  <c r="AD151" i="6" s="1"/>
  <c r="AA151" i="6" s="1"/>
  <c r="G67" i="2"/>
  <c r="G66" i="2"/>
  <c r="G65" i="2"/>
  <c r="G64" i="2"/>
  <c r="G63" i="2"/>
  <c r="G62" i="2"/>
  <c r="G61" i="2"/>
  <c r="G60" i="2"/>
  <c r="G59" i="2"/>
  <c r="G58" i="2"/>
  <c r="F65" i="2"/>
  <c r="F64" i="2"/>
  <c r="F63" i="2"/>
  <c r="F62" i="2"/>
  <c r="F61" i="2"/>
  <c r="F60" i="2"/>
  <c r="F59" i="2"/>
  <c r="F58" i="2"/>
  <c r="F37" i="2"/>
  <c r="F39" i="2"/>
  <c r="G32" i="2"/>
  <c r="G31" i="2"/>
  <c r="G29" i="2"/>
  <c r="F29" i="2"/>
  <c r="F31" i="2"/>
  <c r="F32" i="2"/>
  <c r="E30" i="2"/>
  <c r="F30" i="2"/>
  <c r="F73" i="2"/>
  <c r="F72" i="2"/>
  <c r="F71" i="2"/>
  <c r="F70" i="2"/>
  <c r="F69" i="2"/>
  <c r="F68" i="2"/>
  <c r="F57" i="2"/>
  <c r="F56" i="2"/>
  <c r="F55" i="2"/>
  <c r="F54" i="2"/>
  <c r="F53" i="2"/>
  <c r="F52" i="2"/>
  <c r="F50" i="2"/>
  <c r="F49" i="2"/>
  <c r="F48" i="2"/>
  <c r="F47" i="2"/>
  <c r="F46" i="2"/>
  <c r="F45" i="2"/>
  <c r="F44" i="2"/>
  <c r="F43" i="2"/>
  <c r="F42" i="2"/>
  <c r="F40" i="2"/>
  <c r="F22" i="2"/>
  <c r="F21" i="2"/>
  <c r="F20" i="2"/>
  <c r="F19" i="2"/>
  <c r="F18" i="2"/>
  <c r="F17" i="2"/>
  <c r="F16" i="2"/>
  <c r="F15" i="2"/>
  <c r="F14" i="2"/>
  <c r="F13" i="2"/>
  <c r="F12" i="2"/>
  <c r="F34" i="2"/>
  <c r="F33" i="2"/>
  <c r="F28" i="2"/>
  <c r="F26" i="2"/>
  <c r="F25" i="2"/>
  <c r="F24" i="2"/>
  <c r="F23" i="2"/>
  <c r="F11" i="2"/>
  <c r="F10" i="2"/>
  <c r="F9" i="2"/>
  <c r="F8" i="2"/>
  <c r="G73" i="2"/>
  <c r="G72" i="2"/>
  <c r="G71" i="2"/>
  <c r="G70" i="2"/>
  <c r="G69" i="2"/>
  <c r="I69" i="2" s="1"/>
  <c r="G6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7" i="2"/>
  <c r="G36" i="2"/>
  <c r="G35" i="2"/>
  <c r="G22" i="2"/>
  <c r="G21" i="2"/>
  <c r="G20" i="2"/>
  <c r="G19" i="2"/>
  <c r="G18" i="2"/>
  <c r="G17" i="2"/>
  <c r="G16" i="2"/>
  <c r="G15" i="2"/>
  <c r="G14" i="2"/>
  <c r="G13" i="2"/>
  <c r="G12" i="2"/>
  <c r="G34" i="2"/>
  <c r="G33" i="2"/>
  <c r="G30" i="2"/>
  <c r="G28" i="2"/>
  <c r="G27" i="2"/>
  <c r="I27" i="2" s="1"/>
  <c r="G26" i="2"/>
  <c r="G25" i="2"/>
  <c r="G24" i="2"/>
  <c r="G23" i="2"/>
  <c r="G11" i="2"/>
  <c r="G10" i="2"/>
  <c r="G9" i="2"/>
  <c r="G8" i="2"/>
  <c r="AH4" i="6"/>
  <c r="AH5" i="6"/>
  <c r="AH6" i="6"/>
  <c r="AH113" i="6"/>
  <c r="AH114" i="6"/>
  <c r="AH115" i="6"/>
  <c r="AH116" i="6"/>
  <c r="AH149" i="6"/>
  <c r="AH152" i="6"/>
  <c r="AH153" i="6"/>
  <c r="AH154" i="6"/>
  <c r="AH155" i="6"/>
  <c r="AH156" i="6"/>
  <c r="AH3" i="6"/>
  <c r="AD156" i="6"/>
  <c r="AD155" i="6"/>
  <c r="AA155" i="6" s="1"/>
  <c r="AD154" i="6"/>
  <c r="AD153" i="6"/>
  <c r="AA153" i="6" s="1"/>
  <c r="AD149" i="6"/>
  <c r="AA149" i="6" s="1"/>
  <c r="AD116" i="6"/>
  <c r="AA116" i="6" s="1"/>
  <c r="AD115" i="6"/>
  <c r="AA115" i="6" s="1"/>
  <c r="AD114" i="6"/>
  <c r="AD113" i="6"/>
  <c r="AD6" i="6"/>
  <c r="AD5" i="6"/>
  <c r="AD4" i="6"/>
  <c r="AA4" i="6" s="1"/>
  <c r="AD3" i="6"/>
  <c r="AA3" i="6" s="1"/>
  <c r="B10" i="12"/>
  <c r="B11" i="12"/>
  <c r="B12" i="12"/>
  <c r="B13" i="12"/>
  <c r="B14" i="12"/>
  <c r="B18" i="12"/>
  <c r="B19" i="12"/>
  <c r="W13" i="8"/>
  <c r="W25" i="8"/>
  <c r="W19" i="8"/>
  <c r="W12" i="8"/>
  <c r="W24" i="8"/>
  <c r="W16" i="8"/>
  <c r="W18" i="8"/>
  <c r="W6" i="8"/>
  <c r="W8" i="8"/>
  <c r="W20" i="8"/>
  <c r="W9" i="8"/>
  <c r="W21" i="8"/>
  <c r="W11" i="8"/>
  <c r="W23" i="8"/>
  <c r="W14" i="8"/>
  <c r="W26" i="8"/>
  <c r="T35" i="8"/>
  <c r="L31" i="8"/>
  <c r="L32" i="8"/>
  <c r="L33" i="8"/>
  <c r="L34" i="8"/>
  <c r="N40" i="2"/>
  <c r="O40" i="2" s="1"/>
  <c r="H14" i="2"/>
  <c r="H15" i="2"/>
  <c r="H26" i="2"/>
  <c r="H38" i="2"/>
  <c r="I38" i="2" s="1"/>
  <c r="H39" i="2"/>
  <c r="H50" i="2"/>
  <c r="H51" i="2"/>
  <c r="I51" i="2"/>
  <c r="H62" i="2"/>
  <c r="H63" i="2"/>
  <c r="H16" i="2"/>
  <c r="H28" i="2"/>
  <c r="H40" i="2"/>
  <c r="H52" i="2"/>
  <c r="H64" i="2"/>
  <c r="H17" i="2"/>
  <c r="H29" i="2"/>
  <c r="H41" i="2"/>
  <c r="I41" i="2"/>
  <c r="H53" i="2"/>
  <c r="H65" i="2"/>
  <c r="H18" i="2"/>
  <c r="H30" i="2"/>
  <c r="H42" i="2"/>
  <c r="H54" i="2"/>
  <c r="H66" i="2"/>
  <c r="H19" i="2"/>
  <c r="H31" i="2"/>
  <c r="H43" i="2"/>
  <c r="H55" i="2"/>
  <c r="H67" i="2"/>
  <c r="H8" i="2"/>
  <c r="H20" i="2"/>
  <c r="H32" i="2"/>
  <c r="H44" i="2"/>
  <c r="H56" i="2"/>
  <c r="H68" i="2"/>
  <c r="H9" i="2"/>
  <c r="H21" i="2"/>
  <c r="H33" i="2"/>
  <c r="H45" i="2"/>
  <c r="H57" i="2"/>
  <c r="H69" i="2"/>
  <c r="H10" i="2"/>
  <c r="H22" i="2"/>
  <c r="H34" i="2"/>
  <c r="H46" i="2"/>
  <c r="H58" i="2"/>
  <c r="H70" i="2"/>
  <c r="H11" i="2"/>
  <c r="H23" i="2"/>
  <c r="H35" i="2"/>
  <c r="H47" i="2"/>
  <c r="H59" i="2"/>
  <c r="H71" i="2"/>
  <c r="H12" i="2"/>
  <c r="H24" i="2"/>
  <c r="H36" i="2"/>
  <c r="H48" i="2"/>
  <c r="H60" i="2"/>
  <c r="H72" i="2"/>
  <c r="H13" i="2"/>
  <c r="H25" i="2"/>
  <c r="H37" i="2"/>
  <c r="H49" i="2"/>
  <c r="H61" i="2"/>
  <c r="H73" i="2"/>
  <c r="M32" i="2"/>
  <c r="N32" i="2" s="1"/>
  <c r="A135" i="1"/>
  <c r="A151" i="1"/>
  <c r="A137" i="1"/>
  <c r="A138" i="1"/>
  <c r="A145" i="1"/>
  <c r="A146" i="1"/>
  <c r="A148" i="1"/>
  <c r="A150" i="1"/>
  <c r="A133" i="1"/>
  <c r="A134" i="1"/>
  <c r="A132" i="1"/>
  <c r="A154" i="1"/>
  <c r="A155" i="1"/>
  <c r="A179" i="1"/>
  <c r="A161" i="1"/>
  <c r="A162" i="1"/>
  <c r="A164" i="1"/>
  <c r="L23" i="8"/>
  <c r="L19" i="8"/>
  <c r="L6" i="8"/>
  <c r="L5" i="8"/>
  <c r="L18" i="8"/>
  <c r="L11" i="8"/>
  <c r="L4" i="8"/>
  <c r="L20" i="8"/>
  <c r="L7" i="8"/>
  <c r="L17" i="8"/>
  <c r="L24" i="8"/>
  <c r="L22" i="8"/>
  <c r="L30" i="8"/>
  <c r="L10" i="8"/>
  <c r="L16" i="8"/>
  <c r="L9" i="8"/>
  <c r="L8" i="8"/>
  <c r="L26" i="8"/>
  <c r="L21" i="8"/>
  <c r="L15" i="8"/>
  <c r="L14" i="8"/>
  <c r="L27" i="8"/>
  <c r="L29" i="8"/>
  <c r="L28" i="8"/>
  <c r="L13" i="8"/>
  <c r="L25" i="8"/>
  <c r="L12" i="8"/>
  <c r="N38" i="2"/>
  <c r="O38" i="2" s="1"/>
  <c r="N37" i="2"/>
  <c r="O37" i="2" s="1"/>
  <c r="N39" i="2"/>
  <c r="O39" i="2" s="1"/>
  <c r="L3" i="8"/>
  <c r="B21" i="15" l="1"/>
  <c r="B55" i="15"/>
  <c r="B46" i="15"/>
  <c r="B29" i="15"/>
  <c r="B45" i="15"/>
  <c r="B27" i="15"/>
  <c r="B44" i="15"/>
  <c r="B19" i="15"/>
  <c r="B50" i="15"/>
  <c r="B138" i="15"/>
  <c r="B48" i="15"/>
  <c r="B28" i="15"/>
  <c r="B20" i="15"/>
  <c r="B26" i="15"/>
  <c r="B18" i="15"/>
  <c r="B25" i="15"/>
  <c r="B17" i="15"/>
  <c r="B24" i="15"/>
  <c r="B16" i="15"/>
  <c r="B23" i="15"/>
  <c r="B30" i="15"/>
  <c r="I40" i="2"/>
  <c r="I66" i="2"/>
  <c r="W10" i="8"/>
  <c r="A185" i="1"/>
  <c r="A184" i="1"/>
  <c r="I68" i="2"/>
  <c r="A165" i="1"/>
  <c r="A156" i="1"/>
  <c r="A147" i="1"/>
  <c r="I11" i="2"/>
  <c r="I67" i="2"/>
  <c r="W15" i="8"/>
  <c r="A169" i="1"/>
  <c r="I15" i="2"/>
  <c r="W17" i="8"/>
  <c r="A163" i="1"/>
  <c r="A157" i="1"/>
  <c r="M47" i="2"/>
  <c r="N47" i="2" s="1"/>
  <c r="I9" i="2"/>
  <c r="I53" i="2"/>
  <c r="I35" i="2"/>
  <c r="A187" i="1"/>
  <c r="M26" i="2"/>
  <c r="N26" i="2" s="1"/>
  <c r="O26" i="2" s="1"/>
  <c r="A186" i="1"/>
  <c r="A178" i="1"/>
  <c r="M31" i="2"/>
  <c r="N31" i="2" s="1"/>
  <c r="A168" i="1"/>
  <c r="A183" i="1"/>
  <c r="A153" i="1"/>
  <c r="M44" i="2"/>
  <c r="A167" i="1"/>
  <c r="A182" i="1"/>
  <c r="M43" i="2"/>
  <c r="N43" i="2" s="1"/>
  <c r="A166" i="1"/>
  <c r="A181" i="1"/>
  <c r="M28" i="2"/>
  <c r="N28" i="2" s="1"/>
  <c r="I14" i="2"/>
  <c r="I10" i="2"/>
  <c r="I59" i="2"/>
  <c r="I23" i="2"/>
  <c r="I39" i="2"/>
  <c r="I26" i="2"/>
  <c r="I20" i="2"/>
  <c r="I8" i="2"/>
  <c r="I28" i="2"/>
  <c r="I21" i="2"/>
  <c r="I52" i="2"/>
  <c r="I55" i="2"/>
  <c r="A159" i="1"/>
  <c r="I19" i="2"/>
  <c r="I70" i="2"/>
  <c r="I16" i="2"/>
  <c r="I46" i="2"/>
  <c r="I50" i="2"/>
  <c r="AF126" i="6"/>
  <c r="AA143" i="6"/>
  <c r="AF143" i="6" s="1"/>
  <c r="AF142" i="6"/>
  <c r="AF118" i="6"/>
  <c r="AF131" i="6"/>
  <c r="AF3" i="6"/>
  <c r="AA5" i="6"/>
  <c r="AF5" i="6" s="1"/>
  <c r="AA102" i="6"/>
  <c r="AF102" i="6" s="1"/>
  <c r="AF150" i="6"/>
  <c r="AA6" i="6"/>
  <c r="AF6" i="6" s="1"/>
  <c r="AF123" i="6"/>
  <c r="AF128" i="6"/>
  <c r="AA136" i="6"/>
  <c r="AI136" i="6" s="1"/>
  <c r="AA148" i="6"/>
  <c r="AF148" i="6" s="1"/>
  <c r="AA113" i="6"/>
  <c r="AF113" i="6" s="1"/>
  <c r="AF116" i="6"/>
  <c r="AF149" i="6"/>
  <c r="AF134" i="6"/>
  <c r="AA114" i="6"/>
  <c r="AF114" i="6" s="1"/>
  <c r="AF135" i="6"/>
  <c r="AF124" i="6"/>
  <c r="AA156" i="6"/>
  <c r="AF156" i="6" s="1"/>
  <c r="AA154" i="6"/>
  <c r="AF154" i="6" s="1"/>
  <c r="AF133" i="6"/>
  <c r="AF101" i="6"/>
  <c r="AF121" i="6"/>
  <c r="AF4" i="6"/>
  <c r="AI101" i="6"/>
  <c r="AI37" i="6"/>
  <c r="AF37" i="6"/>
  <c r="AI67" i="6"/>
  <c r="AF67" i="6"/>
  <c r="AI8" i="6"/>
  <c r="AF8" i="6"/>
  <c r="AI14" i="6"/>
  <c r="AF14" i="6"/>
  <c r="AI20" i="6"/>
  <c r="AF20" i="6"/>
  <c r="AI26" i="6"/>
  <c r="AF26" i="6"/>
  <c r="AI32" i="6"/>
  <c r="AF32" i="6"/>
  <c r="AI38" i="6"/>
  <c r="AF38" i="6"/>
  <c r="AI44" i="6"/>
  <c r="AF44" i="6"/>
  <c r="AI50" i="6"/>
  <c r="AF50" i="6"/>
  <c r="AI56" i="6"/>
  <c r="AF56" i="6"/>
  <c r="AI62" i="6"/>
  <c r="AF62" i="6"/>
  <c r="AI68" i="6"/>
  <c r="AF68" i="6"/>
  <c r="AI74" i="6"/>
  <c r="AF74" i="6"/>
  <c r="AI80" i="6"/>
  <c r="AF80" i="6"/>
  <c r="AI86" i="6"/>
  <c r="AF86" i="6"/>
  <c r="AI92" i="6"/>
  <c r="AF92" i="6"/>
  <c r="AI98" i="6"/>
  <c r="AF98" i="6"/>
  <c r="AI73" i="6"/>
  <c r="AF73" i="6"/>
  <c r="AI31" i="6"/>
  <c r="AF31" i="6"/>
  <c r="AI91" i="6"/>
  <c r="AF91" i="6"/>
  <c r="AI9" i="6"/>
  <c r="AF9" i="6"/>
  <c r="AI15" i="6"/>
  <c r="AF15" i="6"/>
  <c r="AI21" i="6"/>
  <c r="AF21" i="6"/>
  <c r="AI27" i="6"/>
  <c r="AF27" i="6"/>
  <c r="AI33" i="6"/>
  <c r="AF33" i="6"/>
  <c r="AI45" i="6"/>
  <c r="AF45" i="6"/>
  <c r="AI51" i="6"/>
  <c r="AF51" i="6"/>
  <c r="AI57" i="6"/>
  <c r="AF57" i="6"/>
  <c r="AI63" i="6"/>
  <c r="AF63" i="6"/>
  <c r="AI69" i="6"/>
  <c r="AF69" i="6"/>
  <c r="AI75" i="6"/>
  <c r="AF75" i="6"/>
  <c r="AI81" i="6"/>
  <c r="AF81" i="6"/>
  <c r="AI87" i="6"/>
  <c r="AF87" i="6"/>
  <c r="AI93" i="6"/>
  <c r="AF93" i="6"/>
  <c r="AI99" i="6"/>
  <c r="AF99" i="6"/>
  <c r="AI19" i="6"/>
  <c r="AF19" i="6"/>
  <c r="AI79" i="6"/>
  <c r="AF79" i="6"/>
  <c r="AI39" i="6"/>
  <c r="AF39" i="6"/>
  <c r="AI49" i="6"/>
  <c r="AF49" i="6"/>
  <c r="AI10" i="6"/>
  <c r="AF10" i="6"/>
  <c r="AI16" i="6"/>
  <c r="AF16" i="6"/>
  <c r="AI22" i="6"/>
  <c r="AF22" i="6"/>
  <c r="AI28" i="6"/>
  <c r="AF28" i="6"/>
  <c r="AI34" i="6"/>
  <c r="AF34" i="6"/>
  <c r="AI40" i="6"/>
  <c r="AF40" i="6"/>
  <c r="AI46" i="6"/>
  <c r="AF46" i="6"/>
  <c r="AI52" i="6"/>
  <c r="AF52" i="6"/>
  <c r="AI58" i="6"/>
  <c r="AF58" i="6"/>
  <c r="AI64" i="6"/>
  <c r="AF64" i="6"/>
  <c r="AI70" i="6"/>
  <c r="AF70" i="6"/>
  <c r="AI76" i="6"/>
  <c r="AF76" i="6"/>
  <c r="AI82" i="6"/>
  <c r="AF82" i="6"/>
  <c r="AI88" i="6"/>
  <c r="AF88" i="6"/>
  <c r="AI94" i="6"/>
  <c r="AF94" i="6"/>
  <c r="AI100" i="6"/>
  <c r="AF100" i="6"/>
  <c r="AI43" i="6"/>
  <c r="AF43" i="6"/>
  <c r="AI55" i="6"/>
  <c r="AF55" i="6"/>
  <c r="AI11" i="6"/>
  <c r="AF11" i="6"/>
  <c r="AI17" i="6"/>
  <c r="AF17" i="6"/>
  <c r="AI23" i="6"/>
  <c r="AF23" i="6"/>
  <c r="AI29" i="6"/>
  <c r="AF29" i="6"/>
  <c r="AI35" i="6"/>
  <c r="AF35" i="6"/>
  <c r="AI41" i="6"/>
  <c r="AF41" i="6"/>
  <c r="AI47" i="6"/>
  <c r="AF47" i="6"/>
  <c r="AI53" i="6"/>
  <c r="AF53" i="6"/>
  <c r="AI59" i="6"/>
  <c r="AF59" i="6"/>
  <c r="AI65" i="6"/>
  <c r="AF65" i="6"/>
  <c r="AI71" i="6"/>
  <c r="AF71" i="6"/>
  <c r="AI77" i="6"/>
  <c r="AF77" i="6"/>
  <c r="AI83" i="6"/>
  <c r="AF83" i="6"/>
  <c r="AI89" i="6"/>
  <c r="AF89" i="6"/>
  <c r="AI95" i="6"/>
  <c r="AF95" i="6"/>
  <c r="AI7" i="6"/>
  <c r="AF7" i="6"/>
  <c r="AI61" i="6"/>
  <c r="AF61" i="6"/>
  <c r="AI13" i="6"/>
  <c r="AF13" i="6"/>
  <c r="AI97" i="6"/>
  <c r="AF97" i="6"/>
  <c r="AI12" i="6"/>
  <c r="AF12" i="6"/>
  <c r="AI18" i="6"/>
  <c r="AF18" i="6"/>
  <c r="AI24" i="6"/>
  <c r="AF24" i="6"/>
  <c r="AI30" i="6"/>
  <c r="AF30" i="6"/>
  <c r="AI36" i="6"/>
  <c r="AF36" i="6"/>
  <c r="AI48" i="6"/>
  <c r="AF48" i="6"/>
  <c r="AI54" i="6"/>
  <c r="AF54" i="6"/>
  <c r="AI60" i="6"/>
  <c r="AF60" i="6"/>
  <c r="AI66" i="6"/>
  <c r="AF66" i="6"/>
  <c r="AI72" i="6"/>
  <c r="AF72" i="6"/>
  <c r="AI78" i="6"/>
  <c r="AF78" i="6"/>
  <c r="AI84" i="6"/>
  <c r="AF84" i="6"/>
  <c r="AI90" i="6"/>
  <c r="AF90" i="6"/>
  <c r="AI96" i="6"/>
  <c r="AF96" i="6"/>
  <c r="AI25" i="6"/>
  <c r="AF25" i="6"/>
  <c r="AI85" i="6"/>
  <c r="AF85" i="6"/>
  <c r="AI42" i="6"/>
  <c r="AF42" i="6"/>
  <c r="A6" i="6"/>
  <c r="A7" i="6" s="1"/>
  <c r="AI118" i="6"/>
  <c r="AI150" i="6"/>
  <c r="AI126" i="6"/>
  <c r="AI142" i="6"/>
  <c r="AI134" i="6"/>
  <c r="AI123" i="6"/>
  <c r="AI128" i="6"/>
  <c r="AI135" i="6"/>
  <c r="AI137" i="6"/>
  <c r="AF137" i="6"/>
  <c r="AF119" i="6"/>
  <c r="AI119" i="6"/>
  <c r="I36" i="2"/>
  <c r="I33" i="2"/>
  <c r="I22" i="2"/>
  <c r="I65" i="2"/>
  <c r="I60" i="2"/>
  <c r="O31" i="2"/>
  <c r="I45" i="2"/>
  <c r="I34" i="2"/>
  <c r="I54" i="2"/>
  <c r="I32" i="2"/>
  <c r="I62" i="2"/>
  <c r="I57" i="2"/>
  <c r="I42" i="2"/>
  <c r="I31" i="2"/>
  <c r="I63" i="2"/>
  <c r="I13" i="2"/>
  <c r="I43" i="2"/>
  <c r="I56" i="2"/>
  <c r="I29" i="2"/>
  <c r="I64" i="2"/>
  <c r="O32" i="2"/>
  <c r="I30" i="2"/>
  <c r="I18" i="2"/>
  <c r="I44" i="2"/>
  <c r="I17" i="2"/>
  <c r="A195" i="1"/>
  <c r="I58" i="2"/>
  <c r="AI116" i="6"/>
  <c r="AF115" i="6"/>
  <c r="AI115" i="6"/>
  <c r="AF127" i="6"/>
  <c r="AI127" i="6"/>
  <c r="AI149" i="6"/>
  <c r="AI131" i="6"/>
  <c r="AI133" i="6"/>
  <c r="B115" i="15"/>
  <c r="B116" i="15"/>
  <c r="B117" i="15"/>
  <c r="B118" i="15"/>
  <c r="B119" i="15"/>
  <c r="B120" i="15"/>
  <c r="B121" i="15"/>
  <c r="B122" i="15"/>
  <c r="B114" i="15"/>
  <c r="B139" i="15"/>
  <c r="B140" i="15"/>
  <c r="B141" i="15"/>
  <c r="B142" i="15"/>
  <c r="B143" i="15"/>
  <c r="B144" i="15"/>
  <c r="B145" i="15"/>
  <c r="B146" i="15"/>
  <c r="B147" i="15"/>
  <c r="B132" i="15"/>
  <c r="B133" i="15"/>
  <c r="B134" i="15"/>
  <c r="B135" i="15"/>
  <c r="D10" i="12"/>
  <c r="B15" i="12"/>
  <c r="D18" i="12"/>
  <c r="D14" i="12"/>
  <c r="D12" i="12"/>
  <c r="AI139" i="6"/>
  <c r="AF139" i="6"/>
  <c r="AI146" i="6"/>
  <c r="AF146" i="6"/>
  <c r="AF117" i="6"/>
  <c r="AI117" i="6"/>
  <c r="AI138" i="6"/>
  <c r="AF138" i="6"/>
  <c r="AI120" i="6"/>
  <c r="AF120" i="6"/>
  <c r="AI141" i="6"/>
  <c r="AF141" i="6"/>
  <c r="AF147" i="6"/>
  <c r="AI147" i="6"/>
  <c r="AF155" i="6"/>
  <c r="AI155" i="6"/>
  <c r="AI122" i="6"/>
  <c r="I61" i="2"/>
  <c r="AI145" i="6"/>
  <c r="AI124" i="6"/>
  <c r="AI121" i="6"/>
  <c r="A192" i="1"/>
  <c r="A191" i="1"/>
  <c r="AI144" i="6"/>
  <c r="A193" i="1"/>
  <c r="A189" i="1"/>
  <c r="A190" i="1"/>
  <c r="I24" i="2"/>
  <c r="I37" i="2"/>
  <c r="D19" i="12"/>
  <c r="D13" i="12"/>
  <c r="D15" i="12"/>
  <c r="D16" i="12"/>
  <c r="D11" i="12"/>
  <c r="B17" i="12"/>
  <c r="B16" i="12"/>
  <c r="D17" i="12"/>
  <c r="D9" i="12"/>
  <c r="B9" i="12"/>
  <c r="AD152" i="6"/>
  <c r="AA152" i="6" s="1"/>
  <c r="AF145" i="6"/>
  <c r="I25" i="2"/>
  <c r="I49" i="2"/>
  <c r="I71" i="2"/>
  <c r="AI3" i="6"/>
  <c r="I72" i="2"/>
  <c r="AF130" i="6"/>
  <c r="AI130" i="6"/>
  <c r="AF151" i="6"/>
  <c r="AI151" i="6"/>
  <c r="AF132" i="6"/>
  <c r="AI132" i="6"/>
  <c r="O47" i="2"/>
  <c r="N44" i="2"/>
  <c r="O44" i="2" s="1"/>
  <c r="I12" i="2"/>
  <c r="I73" i="2"/>
  <c r="AI129" i="6"/>
  <c r="AF129" i="6"/>
  <c r="AF125" i="6"/>
  <c r="AI125" i="6"/>
  <c r="I48" i="2"/>
  <c r="O2" i="2"/>
  <c r="AI140" i="6"/>
  <c r="AF140" i="6"/>
  <c r="AI4" i="6"/>
  <c r="AF144" i="6"/>
  <c r="AI153" i="6"/>
  <c r="AF153" i="6"/>
  <c r="I47" i="2"/>
  <c r="C19" i="12"/>
  <c r="C15" i="12"/>
  <c r="C11" i="12"/>
  <c r="B9" i="14"/>
  <c r="B71" i="15"/>
  <c r="E6" i="8"/>
  <c r="B6" i="8" s="1"/>
  <c r="B10" i="14"/>
  <c r="C18" i="12"/>
  <c r="C14" i="12"/>
  <c r="C10" i="12"/>
  <c r="B2" i="14"/>
  <c r="B11" i="14"/>
  <c r="B4" i="14"/>
  <c r="B12" i="14"/>
  <c r="C17" i="12"/>
  <c r="C13" i="12"/>
  <c r="C9" i="12"/>
  <c r="B5" i="14"/>
  <c r="B13" i="14"/>
  <c r="B6" i="14"/>
  <c r="O28" i="2" l="1"/>
  <c r="O43" i="2"/>
  <c r="AI5" i="6"/>
  <c r="AI114" i="6"/>
  <c r="AI6" i="6"/>
  <c r="AI156" i="6"/>
  <c r="AI148" i="6"/>
  <c r="AI102" i="6"/>
  <c r="AI113" i="6"/>
  <c r="AI154" i="6"/>
  <c r="AI143" i="6"/>
  <c r="AF136" i="6"/>
  <c r="A8" i="6"/>
  <c r="A9" i="6" s="1"/>
  <c r="A10" i="6" s="1"/>
  <c r="B97" i="15"/>
  <c r="B96" i="15"/>
  <c r="B95" i="15"/>
  <c r="B94" i="15"/>
  <c r="B93" i="15"/>
  <c r="B92" i="15"/>
  <c r="B91" i="15"/>
  <c r="B90" i="15"/>
  <c r="B89" i="15"/>
  <c r="B88" i="15"/>
  <c r="B87" i="15"/>
  <c r="B129" i="15"/>
  <c r="B128" i="15"/>
  <c r="B127" i="15"/>
  <c r="B126" i="15"/>
  <c r="B77" i="15"/>
  <c r="B76" i="15"/>
  <c r="B75" i="15"/>
  <c r="B73" i="15"/>
  <c r="B61" i="15"/>
  <c r="B72" i="15"/>
  <c r="B70" i="15"/>
  <c r="B69" i="15"/>
  <c r="B68" i="15"/>
  <c r="B67" i="15"/>
  <c r="B66" i="15"/>
  <c r="B65" i="15"/>
  <c r="B64" i="15"/>
  <c r="B63" i="15"/>
  <c r="B62" i="15"/>
  <c r="B82" i="15"/>
  <c r="B81" i="15"/>
  <c r="B80" i="15"/>
  <c r="B79" i="15"/>
  <c r="B78" i="15"/>
  <c r="B74" i="15"/>
  <c r="B111" i="15"/>
  <c r="B110" i="15"/>
  <c r="B109" i="15"/>
  <c r="B108" i="15"/>
  <c r="B107" i="15"/>
  <c r="B150" i="15"/>
  <c r="B152" i="15"/>
  <c r="B151" i="15"/>
  <c r="B103" i="15"/>
  <c r="B102" i="15"/>
  <c r="B101" i="15"/>
  <c r="B100" i="15"/>
  <c r="B99" i="15"/>
  <c r="B98" i="15"/>
  <c r="B86" i="15"/>
  <c r="E7" i="8"/>
  <c r="B7" i="8" s="1"/>
  <c r="AI152" i="6"/>
  <c r="AF152" i="6"/>
  <c r="A11" i="6" l="1"/>
  <c r="A12" i="6" s="1"/>
  <c r="E8" i="8"/>
  <c r="B8" i="8" s="1"/>
  <c r="A13" i="6" l="1"/>
  <c r="E9" i="8"/>
  <c r="B9" i="8" s="1"/>
  <c r="A14" i="6" l="1"/>
  <c r="E10" i="8"/>
  <c r="B10" i="8" s="1"/>
  <c r="A15" i="6" l="1"/>
  <c r="E11" i="8"/>
  <c r="B11" i="8" s="1"/>
  <c r="A16" i="6" l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E12" i="8"/>
  <c r="B12" i="8" s="1"/>
  <c r="E13" i="8"/>
  <c r="B13" i="8" s="1"/>
  <c r="A50" i="6" l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E14" i="8"/>
  <c r="E15" i="8" l="1"/>
  <c r="B14" i="8"/>
  <c r="A103" i="6" l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E16" i="8"/>
  <c r="B15" i="8"/>
  <c r="A138" i="6" l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E17" i="8"/>
  <c r="B16" i="8"/>
  <c r="E18" i="8" l="1"/>
  <c r="B17" i="8"/>
  <c r="E19" i="8" l="1"/>
  <c r="B18" i="8"/>
  <c r="E20" i="8" l="1"/>
  <c r="E21" i="8" s="1"/>
  <c r="B19" i="8"/>
  <c r="E22" i="8" l="1"/>
  <c r="B22" i="8" s="1"/>
  <c r="B21" i="8"/>
  <c r="B20" i="8"/>
  <c r="E23" i="8" l="1"/>
  <c r="E24" i="8" s="1"/>
  <c r="A155" i="6" l="1"/>
  <c r="A156" i="6" s="1"/>
  <c r="B23" i="8"/>
  <c r="E25" i="8"/>
  <c r="B24" i="8"/>
  <c r="E26" i="8" l="1"/>
  <c r="B25" i="8"/>
  <c r="E27" i="8" l="1"/>
  <c r="B26" i="8"/>
  <c r="E28" i="8" l="1"/>
  <c r="B27" i="8"/>
  <c r="E29" i="8" l="1"/>
  <c r="B28" i="8"/>
  <c r="E30" i="8" l="1"/>
  <c r="B29" i="8"/>
  <c r="E31" i="8" l="1"/>
  <c r="B30" i="8"/>
  <c r="E32" i="8" l="1"/>
  <c r="B31" i="8"/>
  <c r="E33" i="8" l="1"/>
  <c r="B32" i="8"/>
  <c r="E34" i="8" l="1"/>
  <c r="B34" i="8" s="1"/>
  <c r="B33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<sst xmlns="http://schemas.openxmlformats.org/spreadsheetml/2006/main" count="4098" uniqueCount="1305">
  <si>
    <t>Table</t>
  </si>
  <si>
    <t>Data Description</t>
  </si>
  <si>
    <t>Individual Record Template</t>
  </si>
  <si>
    <t>Database / List</t>
  </si>
  <si>
    <t>Holds/Alerts</t>
  </si>
  <si>
    <t>Past</t>
  </si>
  <si>
    <t>Clariti</t>
  </si>
  <si>
    <t>Future</t>
  </si>
  <si>
    <t>Contacts</t>
  </si>
  <si>
    <t>Name, email, phone, snail mail, licenses, roles, uniqueID, etc.</t>
  </si>
  <si>
    <t>Y</t>
  </si>
  <si>
    <t>Parcels</t>
  </si>
  <si>
    <t>APN, land use, flood zone, WUI, soils, school district, fire district, uniqueID, etc.</t>
  </si>
  <si>
    <t>Addresses</t>
  </si>
  <si>
    <t>Status, number, street, unit, city, state, ZIP, lat/long, GIS link, uniqueID, etc.</t>
  </si>
  <si>
    <t>CE Cases</t>
  </si>
  <si>
    <t>All case information</t>
  </si>
  <si>
    <t>Reviews</t>
  </si>
  <si>
    <t>Review type, dates, status, etc.</t>
  </si>
  <si>
    <t>Inspections</t>
  </si>
  <si>
    <t>Inspection type, dates, status, etc.</t>
  </si>
  <si>
    <t>Permits</t>
  </si>
  <si>
    <t>The remaining records are all Permit Types and include references to related contacts, parcels, addresses, code cases, reviews, inspections, and other permits.</t>
  </si>
  <si>
    <t>Accessory</t>
  </si>
  <si>
    <t>Unoccupied structures such as private garages, barns, sheds, decks, patio covers, fences, retaining walls, fences, signs, etc.</t>
  </si>
  <si>
    <t>Commercial</t>
  </si>
  <si>
    <t>Occupied nonresidential structures including new construction, additions, and alterations</t>
  </si>
  <si>
    <t>Demolition</t>
  </si>
  <si>
    <t>Demolition of structures, including accessory, residential, commercial, pools, partials, etc.</t>
  </si>
  <si>
    <t>Dwellings</t>
  </si>
  <si>
    <t>Habitable residential buildings, inlcuding new construction, additions, and alterations</t>
  </si>
  <si>
    <t>Electrical</t>
  </si>
  <si>
    <t>All electrical permits including general lighting and receptacles, appliances, equipment, motors, solar photovoltaics, battery energy storage systems, electric vehicle charging stations, etc.</t>
  </si>
  <si>
    <t>Fire</t>
  </si>
  <si>
    <t>Fire access, fire alarms, fire sprinklers, fire-fighting water supply, hazardous materials, operational permits, temporary membrane structures, etc.</t>
  </si>
  <si>
    <t>Flood</t>
  </si>
  <si>
    <t>New construction, non-substantial improvements, substantial improvements/substantial damage, and other development.</t>
  </si>
  <si>
    <t>Grading</t>
  </si>
  <si>
    <t>All grading permits</t>
  </si>
  <si>
    <t>Mechanical</t>
  </si>
  <si>
    <t>HVAC and other mechanical appliances, ducts, vents, etc.</t>
  </si>
  <si>
    <t>Plumbing</t>
  </si>
  <si>
    <t>Water supply, wastewater drain/waste/vent, etc.</t>
  </si>
  <si>
    <t>Pool/Spa</t>
  </si>
  <si>
    <t>Private pools, public pools, spas, and hot tubs. See "Demolition" for pool demolition.</t>
  </si>
  <si>
    <t>Template</t>
  </si>
  <si>
    <t>Template Type</t>
  </si>
  <si>
    <t>Template Description</t>
  </si>
  <si>
    <t>Prerequisites</t>
  </si>
  <si>
    <t>Holds</t>
  </si>
  <si>
    <t>Online</t>
  </si>
  <si>
    <t>OTC</t>
  </si>
  <si>
    <t>New Contact Request</t>
  </si>
  <si>
    <t>Input by customer</t>
  </si>
  <si>
    <t>Include roles and a method to request connection to several records of all types</t>
  </si>
  <si>
    <t>None</t>
  </si>
  <si>
    <t>New Contact</t>
  </si>
  <si>
    <t>Input by staff, or
Approval by staff</t>
  </si>
  <si>
    <t>Direct entry of data by authorized staff</t>
  </si>
  <si>
    <t>Contact Report</t>
  </si>
  <si>
    <t>Output for customer and staff</t>
  </si>
  <si>
    <t>Provide the current contact information and a method to update the data</t>
  </si>
  <si>
    <t>Contact Created</t>
  </si>
  <si>
    <t>Authorized Requestor</t>
  </si>
  <si>
    <t>Fee Invoice</t>
  </si>
  <si>
    <t>Output for customer</t>
  </si>
  <si>
    <t>Standard invoice</t>
  </si>
  <si>
    <t>Permit Application, and
Ready to Pay</t>
  </si>
  <si>
    <t>Payment Form</t>
  </si>
  <si>
    <t>Standard fee invoice</t>
  </si>
  <si>
    <t>Receipt</t>
  </si>
  <si>
    <t>Standard receipt</t>
  </si>
  <si>
    <t>Payment</t>
  </si>
  <si>
    <t>Payment Report(s)</t>
  </si>
  <si>
    <t>Output for staff</t>
  </si>
  <si>
    <t>Standard fiscal report(s)</t>
  </si>
  <si>
    <t>Request Pre-Application Meeting</t>
  </si>
  <si>
    <t>Input by customer and/or staff</t>
  </si>
  <si>
    <t>To apply for a new permit</t>
  </si>
  <si>
    <t>Application</t>
  </si>
  <si>
    <t>Request an Address</t>
  </si>
  <si>
    <t>Request a Plan Review Extension</t>
  </si>
  <si>
    <t>Consultant Assignment</t>
  </si>
  <si>
    <t>Output to users without a yolocounty.org login</t>
  </si>
  <si>
    <t>To assign all tasks such as reviews and inspections</t>
  </si>
  <si>
    <t>Valid task creation</t>
  </si>
  <si>
    <t>Consultant Response</t>
  </si>
  <si>
    <t>Input by users without a yolocounty.org login</t>
  </si>
  <si>
    <t>To complete all tasks such as reviews and inspections</t>
  </si>
  <si>
    <t>Consultant assignment</t>
  </si>
  <si>
    <t>Issue Permit</t>
  </si>
  <si>
    <t>Application Approved</t>
  </si>
  <si>
    <t>Inspection</t>
  </si>
  <si>
    <t>Permit Extension</t>
  </si>
  <si>
    <t>Request Temporary Certificate of Occupancy</t>
  </si>
  <si>
    <t>Request Final Certificate of Occupancy</t>
  </si>
  <si>
    <t>Services</t>
  </si>
  <si>
    <t>To respond to all service requests including a pre-application meeting, an address, plan review extension, inspection, permit extension, certificate of occupancy, etc.</t>
  </si>
  <si>
    <t>Varies: Service Request or none</t>
  </si>
  <si>
    <t>Category</t>
  </si>
  <si>
    <t>Status</t>
  </si>
  <si>
    <t>Description</t>
  </si>
  <si>
    <t>Permit Status</t>
  </si>
  <si>
    <t>Application Pending</t>
  </si>
  <si>
    <t>The application has not been deemed a complete submittal</t>
  </si>
  <si>
    <t>Application Under Review</t>
  </si>
  <si>
    <t>The application is complete but reviews have not been approved</t>
  </si>
  <si>
    <t>The reviews have been approved but the permit has not been issued</t>
  </si>
  <si>
    <t>Permit Issued</t>
  </si>
  <si>
    <t>The permit has been issued but occupancy has not been approved</t>
  </si>
  <si>
    <t>Permit Finaled</t>
  </si>
  <si>
    <t>A certificate of occupancy has been issued and/or final inspection approved.</t>
  </si>
  <si>
    <t>Application Withdrawn</t>
  </si>
  <si>
    <t>The applicant has requested review to be halted and requested a refund of any unused fees.</t>
  </si>
  <si>
    <t>Application Abandoned</t>
  </si>
  <si>
    <t>The permit the application requested was not issued in time. A new application based on updated codes must be submitted. Delays caused by County staff will not be counted against the application time limit.</t>
  </si>
  <si>
    <t>Permit Cancelled</t>
  </si>
  <si>
    <t>The permit holder has requested cancellation of the permit and requested a refund of any unused fees.</t>
  </si>
  <si>
    <t>Permit Expired</t>
  </si>
  <si>
    <t>Construction was not completed in time. A new permit  application based on updated codes must be submitted. Any work completed before expiration is "Existing" as defined in the California Existing Building Code.</t>
  </si>
  <si>
    <t>Permit Suspended</t>
  </si>
  <si>
    <t xml:space="preserve">The Building Official has determined that the permit is no longer approved. The permit is suspended until the permit can approved. If a suspended permit  expires, a new permit application based on current codes must be submitted. </t>
  </si>
  <si>
    <t>Void</t>
  </si>
  <si>
    <t>The application or permit was a test or mistake</t>
  </si>
  <si>
    <t>Review Status</t>
  </si>
  <si>
    <t>Pending</t>
  </si>
  <si>
    <t>The permit application is incomplete and plan review has not started.</t>
  </si>
  <si>
    <t>Initial Review</t>
  </si>
  <si>
    <t>The main detailed review is in progress.</t>
  </si>
  <si>
    <t>Not Applicable</t>
  </si>
  <si>
    <t>Based on the scope of work, this review is not required.</t>
  </si>
  <si>
    <t>Approved</t>
  </si>
  <si>
    <t xml:space="preserve">Based on the submitted application and construction documents, the permit is approved by [Division] to be issued. </t>
  </si>
  <si>
    <t>Comments 1</t>
  </si>
  <si>
    <t>The application and construction documents cannot be approved as submitted. Comments have been added to the permit records and will be sent to the applicant once all comments are received.</t>
  </si>
  <si>
    <t>Response 1</t>
  </si>
  <si>
    <t>The applicant has submitted updates to the application and/or construction documents in response to the reviewers comments.</t>
  </si>
  <si>
    <t>Comments 2</t>
  </si>
  <si>
    <t>Response 2</t>
  </si>
  <si>
    <t>Comments 3</t>
  </si>
  <si>
    <t>Response 3</t>
  </si>
  <si>
    <t>etc.</t>
  </si>
  <si>
    <t>Inspection Status</t>
  </si>
  <si>
    <t>Not Issued</t>
  </si>
  <si>
    <t>The permit status is not "Permit Issued" so inspections cannot be requested.</t>
  </si>
  <si>
    <t>The permit has been issued, but this inspection has not been requested by the permit holder.</t>
  </si>
  <si>
    <t>Requested</t>
  </si>
  <si>
    <t>The permit holder has requested this inspection.</t>
  </si>
  <si>
    <t xml:space="preserve">Partial Requested </t>
  </si>
  <si>
    <t>The permit holder has requested a partial inspection on a large project.</t>
  </si>
  <si>
    <t>Scheduled</t>
  </si>
  <si>
    <t>The inspector has scheduled the requested inspection.</t>
  </si>
  <si>
    <t>Based on the scope of work, this inspection is not required.</t>
  </si>
  <si>
    <t>The inspection has been approved.</t>
  </si>
  <si>
    <t>Partial Approved</t>
  </si>
  <si>
    <t>The partial inspection was approved.</t>
  </si>
  <si>
    <t>Punch List</t>
  </si>
  <si>
    <t>Construction was allowed to proceed, but the inspector gave the permit holder a list of items that will need to be reinspected at the next inspection.</t>
  </si>
  <si>
    <t>Not Approved</t>
  </si>
  <si>
    <t>The inspection was not approved.</t>
  </si>
  <si>
    <t>Red Tag</t>
  </si>
  <si>
    <t>A serious code violation was found. All construction activity must cease except for the specific actions requested by the inspector.</t>
  </si>
  <si>
    <t>Not Ready</t>
  </si>
  <si>
    <t>The inspector was not able to perform the inspection because the work was not complete or because access to the work was not adequate.</t>
  </si>
  <si>
    <t>Group</t>
  </si>
  <si>
    <t>First Name</t>
  </si>
  <si>
    <t>MI</t>
  </si>
  <si>
    <t>Last Name</t>
  </si>
  <si>
    <t>Nick Name</t>
  </si>
  <si>
    <t>Email</t>
  </si>
  <si>
    <t>Read Only</t>
  </si>
  <si>
    <t>Rvw</t>
  </si>
  <si>
    <t>Insp</t>
  </si>
  <si>
    <t>Admin</t>
  </si>
  <si>
    <t>Fisc</t>
  </si>
  <si>
    <t>Bldg</t>
  </si>
  <si>
    <t>EH</t>
  </si>
  <si>
    <t>IWM</t>
  </si>
  <si>
    <t>Plng</t>
  </si>
  <si>
    <t>PW</t>
  </si>
  <si>
    <t>Air Quality</t>
  </si>
  <si>
    <t>Air</t>
  </si>
  <si>
    <t>Quality</t>
  </si>
  <si>
    <t>AIR</t>
  </si>
  <si>
    <t>Notify@ysaqmd.org</t>
  </si>
  <si>
    <t>Assessor</t>
  </si>
  <si>
    <t>Josephine</t>
  </si>
  <si>
    <t>Acevedo</t>
  </si>
  <si>
    <t>Josephine.Acevedo@yolocounty.org</t>
  </si>
  <si>
    <t>Building</t>
  </si>
  <si>
    <t>Angelina</t>
  </si>
  <si>
    <t>Espinoza</t>
  </si>
  <si>
    <t>Angelina.Espinoza@YoloCounty.org</t>
  </si>
  <si>
    <t>Angelica</t>
  </si>
  <si>
    <t>Yepez</t>
  </si>
  <si>
    <t>Angelica.Yepez@YoloCounty.org</t>
  </si>
  <si>
    <t>Division</t>
  </si>
  <si>
    <t>building.division@yolocounty.org</t>
  </si>
  <si>
    <t>Chris</t>
  </si>
  <si>
    <t>Rice</t>
  </si>
  <si>
    <t>Chris.Rice@YoloCounty.org</t>
  </si>
  <si>
    <t>Dawne</t>
  </si>
  <si>
    <t>Koranda</t>
  </si>
  <si>
    <t>Dawne.Koranda@YoloCounty.org</t>
  </si>
  <si>
    <t>Marlin</t>
  </si>
  <si>
    <t>A</t>
  </si>
  <si>
    <t>Nardiello</t>
  </si>
  <si>
    <t>Marlin.Nardiello@YoloCounty.org</t>
  </si>
  <si>
    <t>Scott</t>
  </si>
  <si>
    <t>P</t>
  </si>
  <si>
    <t>Doolittle</t>
  </si>
  <si>
    <t>Scott.Doolittle@yolocounty.org</t>
  </si>
  <si>
    <t>Environmental Health</t>
  </si>
  <si>
    <t>Cassandra</t>
  </si>
  <si>
    <t>Mendoza</t>
  </si>
  <si>
    <t>Cassandra.Mendoza@YoloCounty.org</t>
  </si>
  <si>
    <t>Deborah</t>
  </si>
  <si>
    <t>Anderson</t>
  </si>
  <si>
    <t>Deborah.Anderson@YoloCounty.org</t>
  </si>
  <si>
    <t>Jianmin</t>
  </si>
  <si>
    <t>Huang</t>
  </si>
  <si>
    <t>Jianmin.Huang@YoloCounty.org</t>
  </si>
  <si>
    <t>Jeremy</t>
  </si>
  <si>
    <t>Van Horn</t>
  </si>
  <si>
    <t>Jeremy.vanhorn@yolocounty.org</t>
  </si>
  <si>
    <t>Suzie</t>
  </si>
  <si>
    <t>Dawley</t>
  </si>
  <si>
    <t>Susie.Dawlwy@YoloCounty.org</t>
  </si>
  <si>
    <t>Fiscal</t>
  </si>
  <si>
    <t>Shriti</t>
  </si>
  <si>
    <t>Jeet</t>
  </si>
  <si>
    <t>Shriti.Jeet@YoloCounty.org</t>
  </si>
  <si>
    <t>Shelby</t>
  </si>
  <si>
    <t>Miliren</t>
  </si>
  <si>
    <t xml:space="preserve">Shelby.Milliren@YoloCounty.org </t>
  </si>
  <si>
    <t>Maryam</t>
  </si>
  <si>
    <t>Farhoudi</t>
  </si>
  <si>
    <t xml:space="preserve">Maryam.Farhoodi@YoloCounty.org </t>
  </si>
  <si>
    <t>Pam</t>
  </si>
  <si>
    <t>Hedrick</t>
  </si>
  <si>
    <t>Pam.Hedrick@YoloCounty.org</t>
  </si>
  <si>
    <t>Planning</t>
  </si>
  <si>
    <t>Charlie</t>
  </si>
  <si>
    <t>Tschudin</t>
  </si>
  <si>
    <t>Charlie.Tschudin@YoloCounty.org</t>
  </si>
  <si>
    <t>Jeff</t>
  </si>
  <si>
    <t>Jeff.Anderson@YoloCounty.org</t>
  </si>
  <si>
    <t>JD</t>
  </si>
  <si>
    <t>Trebec</t>
  </si>
  <si>
    <t>JD.Trebec@YoloCounty.org</t>
  </si>
  <si>
    <t>Stephanie</t>
  </si>
  <si>
    <t>Cormier</t>
  </si>
  <si>
    <t>Stephanie.Cormier@YoloCounty.org</t>
  </si>
  <si>
    <t>Tracy</t>
  </si>
  <si>
    <t>Gonzalez</t>
  </si>
  <si>
    <t>Tracy.Gonzalez@YoloCounty.org</t>
  </si>
  <si>
    <t>Public Works</t>
  </si>
  <si>
    <t>Jair</t>
  </si>
  <si>
    <t>Bautisa</t>
  </si>
  <si>
    <t>Jair.Bautista@YoloCounty.org</t>
  </si>
  <si>
    <t>Josue</t>
  </si>
  <si>
    <t>Pimentel-Morra</t>
  </si>
  <si>
    <t>Josue.Pimentel@YoloCounty.org</t>
  </si>
  <si>
    <t>User Groups</t>
  </si>
  <si>
    <t>Code Enforcement</t>
  </si>
  <si>
    <t>CSD/CSA</t>
  </si>
  <si>
    <t>Fire District</t>
  </si>
  <si>
    <t>Field</t>
  </si>
  <si>
    <t>Related
(click to see detailed info)</t>
  </si>
  <si>
    <t>Button</t>
  </si>
  <si>
    <t>Application Condition</t>
  </si>
  <si>
    <t>Project Location</t>
  </si>
  <si>
    <t>Address and/or APN</t>
  </si>
  <si>
    <t>Add more location information</t>
  </si>
  <si>
    <t>Required</t>
  </si>
  <si>
    <t>Permit Number</t>
  </si>
  <si>
    <t>Skip</t>
  </si>
  <si>
    <t>Remaining Fees</t>
  </si>
  <si>
    <t>Permit Description</t>
  </si>
  <si>
    <t>Permit Categories</t>
  </si>
  <si>
    <t>Next / Run Sub PermitCategory</t>
  </si>
  <si>
    <t>Valuation</t>
  </si>
  <si>
    <t>Review Workflow</t>
  </si>
  <si>
    <t>[OTC, Rapid, Expedited, Full, Major]</t>
  </si>
  <si>
    <t>Request Expedited Review</t>
  </si>
  <si>
    <t>Variable used to determine review workflow</t>
  </si>
  <si>
    <t>Owner</t>
  </si>
  <si>
    <t>&lt;contact&gt; = [owner, applicant, contractor, architect, engineer, other]</t>
  </si>
  <si>
    <t>Add an additional contact</t>
  </si>
  <si>
    <t>Applicant</t>
  </si>
  <si>
    <t>Autofill if previous is applicant</t>
  </si>
  <si>
    <t>CA Licensed Contractor</t>
  </si>
  <si>
    <t>Required, with Owner-Builder option; 
Autofill if previous is contractor</t>
  </si>
  <si>
    <t>CA Licensed Design Professional</t>
  </si>
  <si>
    <t>&lt;contact&gt;</t>
  </si>
  <si>
    <t>Required for some permit types</t>
  </si>
  <si>
    <t>Array with the names of all required inspections paired with uniqueID</t>
  </si>
  <si>
    <t>Add an additional inspection
Mark as not required</t>
  </si>
  <si>
    <t>Required except for admin records</t>
  </si>
  <si>
    <t>Submittal Requirements</t>
  </si>
  <si>
    <t>Array with the names of all required submittals paired with uniqueID</t>
  </si>
  <si>
    <t>Add an additional requirement
Mark as not required</t>
  </si>
  <si>
    <t>Required except for OTC permit types</t>
  </si>
  <si>
    <t>Array with the names of all required reviews paired with uniqueID</t>
  </si>
  <si>
    <t>Add an additional review
Mark as not required</t>
  </si>
  <si>
    <t>Fees</t>
  </si>
  <si>
    <t>Array with the names of all required fees paired with uniqueID</t>
  </si>
  <si>
    <t>Add an additional fee
Mark as not required</t>
  </si>
  <si>
    <t>Display?</t>
  </si>
  <si>
    <t>Name</t>
  </si>
  <si>
    <t>Entry</t>
  </si>
  <si>
    <t>Data Validation</t>
  </si>
  <si>
    <t>Always</t>
  </si>
  <si>
    <t>Project Type (select all that apply)</t>
  </si>
  <si>
    <t>Building/Structure</t>
  </si>
  <si>
    <t>Which of these best describes the structure?</t>
  </si>
  <si>
    <t>List: Residential Dwelling, Commercial Building, Accessory Structure</t>
  </si>
  <si>
    <t>The scope of work is for which of the following?</t>
  </si>
  <si>
    <t>List: New, Addition, Alteration/Repair/Replacement</t>
  </si>
  <si>
    <t>Project Scope / Description</t>
  </si>
  <si>
    <t>Project Construction Valuation (Market value for all labor and material)</t>
  </si>
  <si>
    <t>Positive Integer</t>
  </si>
  <si>
    <t>Address</t>
  </si>
  <si>
    <t>any</t>
  </si>
  <si>
    <t>APN</t>
  </si>
  <si>
    <t>Applicant Role (select all that apply)</t>
  </si>
  <si>
    <t>Applicant is Owner</t>
  </si>
  <si>
    <t>List: Yes, No</t>
  </si>
  <si>
    <t>Applicant is Contractor</t>
  </si>
  <si>
    <t>Applicant is Designer</t>
  </si>
  <si>
    <t>Applicant is Other (explain in description)</t>
  </si>
  <si>
    <t>Applicant Name</t>
  </si>
  <si>
    <t>Applicant Address</t>
  </si>
  <si>
    <t>Applicant City-State-Zip</t>
  </si>
  <si>
    <t>Applicant Email</t>
  </si>
  <si>
    <t>Applicant Phone</t>
  </si>
  <si>
    <t>Owner Role (select all that apply)</t>
  </si>
  <si>
    <t xml:space="preserve">The owner has hired, or will hire, a contractor </t>
  </si>
  <si>
    <t>The owner will perform all of the work</t>
  </si>
  <si>
    <t>The owner employs the workers</t>
  </si>
  <si>
    <t>Other (explain in description)</t>
  </si>
  <si>
    <t>Owner Name</t>
  </si>
  <si>
    <t>Owner Address</t>
  </si>
  <si>
    <t>Owner City-State-Zip</t>
  </si>
  <si>
    <t>Owner Email</t>
  </si>
  <si>
    <t>Owner Phone</t>
  </si>
  <si>
    <t>Contractor CSLB Type</t>
  </si>
  <si>
    <t>Contractor License Description</t>
  </si>
  <si>
    <t>Contractor License Number</t>
  </si>
  <si>
    <t>Contractor Business Name</t>
  </si>
  <si>
    <t>Contractor Contact Name</t>
  </si>
  <si>
    <t>Contractor Address</t>
  </si>
  <si>
    <t>Contractor City-State-Zip</t>
  </si>
  <si>
    <t>Contractor Email</t>
  </si>
  <si>
    <t>Contractor Phone</t>
  </si>
  <si>
    <t>Designer License Type (select all that apply)</t>
  </si>
  <si>
    <t>Architect</t>
  </si>
  <si>
    <t>Engineer</t>
  </si>
  <si>
    <t>Surveyor</t>
  </si>
  <si>
    <t>Contractor</t>
  </si>
  <si>
    <t>Designer License Number</t>
  </si>
  <si>
    <t>Designer Business Name</t>
  </si>
  <si>
    <t>Designer Contact Name</t>
  </si>
  <si>
    <t>Designer Address</t>
  </si>
  <si>
    <t>Designer City-State-Zip</t>
  </si>
  <si>
    <t>Designer Email</t>
  </si>
  <si>
    <t>Designer Phone</t>
  </si>
  <si>
    <t>Workers Compensation is Probably Required</t>
  </si>
  <si>
    <t>Will workers' compensation insurance be provided?</t>
  </si>
  <si>
    <t>Explain why workers' compensation insurance is not required.</t>
  </si>
  <si>
    <t>Policy Holder</t>
  </si>
  <si>
    <t>Policy Number</t>
  </si>
  <si>
    <t>Insurance Company</t>
  </si>
  <si>
    <t>Insurance Agent</t>
  </si>
  <si>
    <t>Insurance Agent Phone</t>
  </si>
  <si>
    <t>Ag Exempt</t>
  </si>
  <si>
    <t>What is the current permitted use of the structure?</t>
  </si>
  <si>
    <t>List: Habitable, Occupiable, Non-Occupiable, Not-Permitted</t>
  </si>
  <si>
    <t>Demolition Scope</t>
  </si>
  <si>
    <t>List: Total, Partial, Pool</t>
  </si>
  <si>
    <t>Existing Area (square feet)</t>
  </si>
  <si>
    <t>Existing Height (feet)</t>
  </si>
  <si>
    <t>Existing Height (stories)</t>
  </si>
  <si>
    <t>Total Disturbed Area (sf)</t>
  </si>
  <si>
    <t>Total Disturbed Area (acres)</t>
  </si>
  <si>
    <t>Maximum Depth of Cut (ft)</t>
  </si>
  <si>
    <t>Maximum Depth of Fill (ft)</t>
  </si>
  <si>
    <t>Steepest Cut Slope (H:1)</t>
  </si>
  <si>
    <t>Steepest Fill Slope (H:1)</t>
  </si>
  <si>
    <t>Total Cut Volume (Cubic Yards)</t>
  </si>
  <si>
    <t>Total Fill Volume (Cubic Yards)</t>
  </si>
  <si>
    <t>Total Export (cubic yards)</t>
  </si>
  <si>
    <t>Total Import (cubic yards)</t>
  </si>
  <si>
    <t>Is a pool enclosure or automatic pool cover proposed?</t>
  </si>
  <si>
    <t>What is the second method of drowning prevention?</t>
  </si>
  <si>
    <t>Replace or Install Main Service Panel</t>
  </si>
  <si>
    <t>Panel Potential (Volts)</t>
  </si>
  <si>
    <t>Panel Current (Amperes)</t>
  </si>
  <si>
    <t>Install or replace general lighting and receptacles</t>
  </si>
  <si>
    <t>Area served by general lighting/receptacles (square feet)</t>
  </si>
  <si>
    <t>Install or Replace Solar Photovoltaic Equipment</t>
  </si>
  <si>
    <t>Install or Replace Energy Storage Systems (Batteries)</t>
  </si>
  <si>
    <t>Install or Replace Electric Vehicle Charging Station</t>
  </si>
  <si>
    <t>Install or Replace Fire Alarms</t>
  </si>
  <si>
    <t>Area served by Fire Alarms (square feet)</t>
  </si>
  <si>
    <t>Install or Replace Motor Loads</t>
  </si>
  <si>
    <t>Install or Replace HVAC Unit(s)</t>
  </si>
  <si>
    <t>HVAC Quantity</t>
  </si>
  <si>
    <t>Install or Replace Other Appliance or Equipment</t>
  </si>
  <si>
    <t>Describe the Applicance or Equipment</t>
  </si>
  <si>
    <t>Mechanical Appliance Quantity</t>
  </si>
  <si>
    <t>Install or Replace Gas Line(s)</t>
  </si>
  <si>
    <t>Length of gas line (feet)</t>
  </si>
  <si>
    <t>Diameter of gas pipe (inches)</t>
  </si>
  <si>
    <t>Fuel load demand (btu/hour)</t>
  </si>
  <si>
    <t>Install or Replace Water Heater(s)</t>
  </si>
  <si>
    <t>Is the water heater a heat pump water heater?</t>
  </si>
  <si>
    <t>Describe the water heater type</t>
  </si>
  <si>
    <t>Install or replace general plumbing fixtures and piping</t>
  </si>
  <si>
    <t>Area served by general plumbing (square feet)</t>
  </si>
  <si>
    <t>Install or replace building sewer</t>
  </si>
  <si>
    <t>Install or replace water supply</t>
  </si>
  <si>
    <t>Install or replace drain/waste/vent piping</t>
  </si>
  <si>
    <t>Install or replace plumbing fixture(s)</t>
  </si>
  <si>
    <t>Residential Dwelling, Addition</t>
  </si>
  <si>
    <t>Which of these best describes the addition?</t>
  </si>
  <si>
    <t>Add Deck</t>
  </si>
  <si>
    <t>Add Patio Cover</t>
  </si>
  <si>
    <t>Add Living Area</t>
  </si>
  <si>
    <t>Will this project also alter the existing structure?</t>
  </si>
  <si>
    <t>Residential Dwelling, Alteration</t>
  </si>
  <si>
    <t>What parts of the dwelling are being altered, repaired or replaced? (check all that apply)</t>
  </si>
  <si>
    <t>Reroof</t>
  </si>
  <si>
    <t>Roof Slope ( x:12)</t>
  </si>
  <si>
    <t>Positive Integer up to 100</t>
  </si>
  <si>
    <t>Will the existing roofing be removed?</t>
  </si>
  <si>
    <t>Existing Roof Material</t>
  </si>
  <si>
    <t>Existing Roofing Description</t>
  </si>
  <si>
    <t>Proposed Roof Material</t>
  </si>
  <si>
    <t>Proposed Roof Description</t>
  </si>
  <si>
    <t>Replace Siding</t>
  </si>
  <si>
    <t>Replace Stucco</t>
  </si>
  <si>
    <t>Replace Windows/Doors (like for like)</t>
  </si>
  <si>
    <t>Bathroom Remodel</t>
  </si>
  <si>
    <t>Kitchen Remodel</t>
  </si>
  <si>
    <t>Remove or relocate interior walls</t>
  </si>
  <si>
    <t>Other:</t>
  </si>
  <si>
    <t>Residential New</t>
  </si>
  <si>
    <t>Detached Single-Family Dwelling up to 2 stories</t>
  </si>
  <si>
    <t>Accessory Dwelling Unit</t>
  </si>
  <si>
    <t>Townhouse</t>
  </si>
  <si>
    <t>Manufactured Home or Tiny Home on Wheels</t>
  </si>
  <si>
    <t>Multi-Family (3+ Dwelling Units)</t>
  </si>
  <si>
    <t>Detached Habitable Area (Non-Dwelling)</t>
  </si>
  <si>
    <t>Commercial Building</t>
  </si>
  <si>
    <t>Group A Assembly (50+ occupants)</t>
  </si>
  <si>
    <t>Group B: Business / Office</t>
  </si>
  <si>
    <t>Group F: Factory / Industrial / Processing</t>
  </si>
  <si>
    <t>Group H: High Hazard</t>
  </si>
  <si>
    <t>Group M: Mercantile / Retail</t>
  </si>
  <si>
    <t>Group R: Residential (not covered by CRC)</t>
  </si>
  <si>
    <t>Group S: Storage / Warehouse</t>
  </si>
  <si>
    <t>Group U: Utility / Accessory</t>
  </si>
  <si>
    <t>Area of Group A (square feet)</t>
  </si>
  <si>
    <t>Area of Group B (square feet)</t>
  </si>
  <si>
    <t>Area of Group F (square feet)</t>
  </si>
  <si>
    <t>Area of Group H (square feet)</t>
  </si>
  <si>
    <t>Area of Group M (square feet)</t>
  </si>
  <si>
    <t>Area of Group R (square feet)</t>
  </si>
  <si>
    <t>Area of Group S (square feet)</t>
  </si>
  <si>
    <t>Area of Group U (square feet)</t>
  </si>
  <si>
    <t>Total Area, Conditioned</t>
  </si>
  <si>
    <t>Total Area, Unconditioned but Enclosed</t>
  </si>
  <si>
    <t>Total Area, Not Enclosed but Covered</t>
  </si>
  <si>
    <t>Type of Construction = VB (any materials)</t>
  </si>
  <si>
    <t>Type of Construction = IIB (non-combustible)</t>
  </si>
  <si>
    <t>Type of Construction = other</t>
  </si>
  <si>
    <t>Fire Separation Distance</t>
  </si>
  <si>
    <t>Is the structure separated into multiple fire areas?</t>
  </si>
  <si>
    <t>No</t>
  </si>
  <si>
    <t>Are fire sprinklers required?</t>
  </si>
  <si>
    <t>Area fire sprinklers provided?</t>
  </si>
  <si>
    <t>Group U Utility / Accessory Structure</t>
  </si>
  <si>
    <t>Cell Tower</t>
  </si>
  <si>
    <t>Garage</t>
  </si>
  <si>
    <t>Propane Tank (Above Ground)</t>
  </si>
  <si>
    <t>Propane Tank (Underground)</t>
  </si>
  <si>
    <t>Shed</t>
  </si>
  <si>
    <t>Water Tank</t>
  </si>
  <si>
    <t>Other</t>
  </si>
  <si>
    <t>School District</t>
  </si>
  <si>
    <t>Land Use Zoning</t>
  </si>
  <si>
    <t>High Expansive Potential of Soils</t>
  </si>
  <si>
    <t>Flood Zone</t>
  </si>
  <si>
    <t>WUI</t>
  </si>
  <si>
    <t>[END.APPLICATION]</t>
  </si>
  <si>
    <t>Default Review Value</t>
  </si>
  <si>
    <t>Review</t>
  </si>
  <si>
    <t>Yes</t>
  </si>
  <si>
    <t>Type</t>
  </si>
  <si>
    <t>Column2</t>
  </si>
  <si>
    <t>Fence</t>
  </si>
  <si>
    <t>Retaining Wall</t>
  </si>
  <si>
    <t>Sign</t>
  </si>
  <si>
    <t>Assembly</t>
  </si>
  <si>
    <t>Business/Office</t>
  </si>
  <si>
    <t>Factory/Industrial/Processing</t>
  </si>
  <si>
    <t>High-Hazard</t>
  </si>
  <si>
    <t>Mercantile</t>
  </si>
  <si>
    <t>Storage/Warehouse</t>
  </si>
  <si>
    <t>Utility/Miscellaneous</t>
  </si>
  <si>
    <t>See Accessory</t>
  </si>
  <si>
    <t>Partial</t>
  </si>
  <si>
    <t>Dwelling</t>
  </si>
  <si>
    <t>Manufactured Home</t>
  </si>
  <si>
    <t>General Lighting and Receptacles</t>
  </si>
  <si>
    <t>Generator</t>
  </si>
  <si>
    <t>Column4</t>
  </si>
  <si>
    <t>Index</t>
  </si>
  <si>
    <t>Units</t>
  </si>
  <si>
    <t>Quantity</t>
  </si>
  <si>
    <t>Total Inspection Time (on-site)</t>
  </si>
  <si>
    <t>Standard Stops</t>
  </si>
  <si>
    <t>Special Trips</t>
  </si>
  <si>
    <t>Total Fee</t>
  </si>
  <si>
    <t>Bldg.Insp.Default</t>
  </si>
  <si>
    <t>LOW</t>
  </si>
  <si>
    <t>HI</t>
  </si>
  <si>
    <t>* Final Bldg</t>
  </si>
  <si>
    <t>* Final C&amp;D</t>
  </si>
  <si>
    <t>* Final EH</t>
  </si>
  <si>
    <t>* Final Fire</t>
  </si>
  <si>
    <t>Tasks for configuring this sheet:</t>
  </si>
  <si>
    <t>* Final PW</t>
  </si>
  <si>
    <t>Review which inspections are "flat" and which require variation by project size/type</t>
  </si>
  <si>
    <t>** PERMIT FINAL **</t>
  </si>
  <si>
    <t>Flat Fee</t>
  </si>
  <si>
    <t>Review the low side of the scale and minimum time/trips spent on inspection.</t>
  </si>
  <si>
    <t>AgExempt.1.Fnd/Site/EC2</t>
  </si>
  <si>
    <t>Review the high side of the scale and "maximum" time/trips spent on an inspection.</t>
  </si>
  <si>
    <t>AgExempt.2.Final/C&amp;D/EC3</t>
  </si>
  <si>
    <t>Add any missing inspections or variants</t>
  </si>
  <si>
    <t>AgExempt.3.Annual</t>
  </si>
  <si>
    <t>Arch.Insul.Ceiling</t>
  </si>
  <si>
    <t>Arch.Insul.Floor</t>
  </si>
  <si>
    <t>Arch.Insul.Rafters</t>
  </si>
  <si>
    <t>Arch.Insul.RoofDeck</t>
  </si>
  <si>
    <t>Arch.Insul.Wall.Cavity</t>
  </si>
  <si>
    <t>Arch.Insul.Wall.Panels</t>
  </si>
  <si>
    <t>Arch.Roofing</t>
  </si>
  <si>
    <t>Arch.Siding</t>
  </si>
  <si>
    <t>Arch.Stucco.Lath</t>
  </si>
  <si>
    <t>Arch.Stucco.Scratch</t>
  </si>
  <si>
    <t>Arch.Windows</t>
  </si>
  <si>
    <t>Demo.1.Pre</t>
  </si>
  <si>
    <t>Demo.2.Post</t>
  </si>
  <si>
    <t>Elc.Battery</t>
  </si>
  <si>
    <t>Elc.Equipment</t>
  </si>
  <si>
    <t>Elc.EV</t>
  </si>
  <si>
    <t>Elc.Final</t>
  </si>
  <si>
    <t>Elc.FireAlarms</t>
  </si>
  <si>
    <t>Elc.MeterRelease</t>
  </si>
  <si>
    <t>V-A</t>
  </si>
  <si>
    <t>Elc.Rough</t>
  </si>
  <si>
    <t>Elc.Solar</t>
  </si>
  <si>
    <t>kilowatt</t>
  </si>
  <si>
    <t>Elc.Switchgear</t>
  </si>
  <si>
    <t>Elc.Underground</t>
  </si>
  <si>
    <t>Flood.EC2.LowestFloor</t>
  </si>
  <si>
    <t>Flood.EC3.FinishedConstruction</t>
  </si>
  <si>
    <t>Grading.Final</t>
  </si>
  <si>
    <t>acres</t>
  </si>
  <si>
    <t>Per Acre</t>
  </si>
  <si>
    <t>Grading.Lift/Progress</t>
  </si>
  <si>
    <t>cubic yards</t>
  </si>
  <si>
    <t>Per CY</t>
  </si>
  <si>
    <t>Grading.SitePrep</t>
  </si>
  <si>
    <t>Mch.Final</t>
  </si>
  <si>
    <t>Mch.HoodT1</t>
  </si>
  <si>
    <t>Mch.HoodT2</t>
  </si>
  <si>
    <t>Mch.HVAC</t>
  </si>
  <si>
    <t>Mch.Rough</t>
  </si>
  <si>
    <t>Plb.Final</t>
  </si>
  <si>
    <t>Plb.Gas</t>
  </si>
  <si>
    <t>Plb.Rough</t>
  </si>
  <si>
    <t>Plb.Underground</t>
  </si>
  <si>
    <t>Plb.WH.Gas</t>
  </si>
  <si>
    <t>Flat</t>
  </si>
  <si>
    <t>Plb.WH.HeatPump</t>
  </si>
  <si>
    <t>Plb.WH.Solar</t>
  </si>
  <si>
    <t>Pool.HotTub</t>
  </si>
  <si>
    <t>Pool.PreDeck</t>
  </si>
  <si>
    <t>Pool.PreGunite</t>
  </si>
  <si>
    <t>Pool.PrePlaster</t>
  </si>
  <si>
    <t>Reroof.1.RoofDeck</t>
  </si>
  <si>
    <t>Reroof.2.Final</t>
  </si>
  <si>
    <t>Str.Conc.Footings/Piers</t>
  </si>
  <si>
    <t>Str.Conc.Slab</t>
  </si>
  <si>
    <t>Str.Conc.Walls</t>
  </si>
  <si>
    <t>Str.GypsumNailing</t>
  </si>
  <si>
    <t>Str.Mason.1.Footing</t>
  </si>
  <si>
    <t>Str.Mason.2.Lift</t>
  </si>
  <si>
    <t>Str.Mason.3.Cap</t>
  </si>
  <si>
    <t>Str.Wood.1.Subfloor</t>
  </si>
  <si>
    <t>Str.Wood.2.Shear&amp;RoofDeck</t>
  </si>
  <si>
    <t>Str.Wood.3.Frame</t>
  </si>
  <si>
    <t>T25.1.Anchoring/Setup</t>
  </si>
  <si>
    <t>T25.3.Marriage/Utilities</t>
  </si>
  <si>
    <t>T25.5.Egress</t>
  </si>
  <si>
    <t>T25.6.DisabledAccess</t>
  </si>
  <si>
    <t>T25.7.Final</t>
  </si>
  <si>
    <t>Document</t>
  </si>
  <si>
    <t>Building Permit Application</t>
  </si>
  <si>
    <t>Calculations</t>
  </si>
  <si>
    <t xml:space="preserve">Drainage Hydraulics </t>
  </si>
  <si>
    <t>Fire Sprinkler Hydraulics</t>
  </si>
  <si>
    <t>Foundation</t>
  </si>
  <si>
    <t>Framing</t>
  </si>
  <si>
    <t>Lateral</t>
  </si>
  <si>
    <t>Trusses</t>
  </si>
  <si>
    <t>Forms</t>
  </si>
  <si>
    <t>Air District Form</t>
  </si>
  <si>
    <t>EH Land Use Review Survey</t>
  </si>
  <si>
    <t>IWM C&amp;D Plan</t>
  </si>
  <si>
    <t>Plans</t>
  </si>
  <si>
    <t>Accessible Routes</t>
  </si>
  <si>
    <t>Details</t>
  </si>
  <si>
    <t>Elevations</t>
  </si>
  <si>
    <t>Floor</t>
  </si>
  <si>
    <t>Foos Safety</t>
  </si>
  <si>
    <t>Means of Egress</t>
  </si>
  <si>
    <t>Roof</t>
  </si>
  <si>
    <t>Sections</t>
  </si>
  <si>
    <t>Site</t>
  </si>
  <si>
    <t>Specs</t>
  </si>
  <si>
    <t xml:space="preserve">Manufacturer's Installation Instructions </t>
  </si>
  <si>
    <t>Product Listing</t>
  </si>
  <si>
    <t>Review Index</t>
  </si>
  <si>
    <t>Review Cycle</t>
  </si>
  <si>
    <t>#</t>
  </si>
  <si>
    <t>B</t>
  </si>
  <si>
    <t>C</t>
  </si>
  <si>
    <t>Auto Fire</t>
  </si>
  <si>
    <t>Staff Override</t>
  </si>
  <si>
    <t>Req'd</t>
  </si>
  <si>
    <t>Notes</t>
  </si>
  <si>
    <t>Review Coordinator</t>
  </si>
  <si>
    <t>Cycle 1 Days</t>
  </si>
  <si>
    <t>Cycle 2 Days</t>
  </si>
  <si>
    <t>Allotted Time (Hours)</t>
  </si>
  <si>
    <t>Actual Time (Hours)</t>
  </si>
  <si>
    <t>Delta (hrs)</t>
  </si>
  <si>
    <t>Hourly Rate</t>
  </si>
  <si>
    <t>Allotted Review Fee</t>
  </si>
  <si>
    <t>Allotted Review Fee2</t>
  </si>
  <si>
    <t>Completed by</t>
  </si>
  <si>
    <t>Completed</t>
  </si>
  <si>
    <t>Assigned To</t>
  </si>
  <si>
    <t>Days Until Due</t>
  </si>
  <si>
    <t>Due</t>
  </si>
  <si>
    <t>Sent To</t>
  </si>
  <si>
    <t>Sent</t>
  </si>
  <si>
    <t>Age</t>
  </si>
  <si>
    <t>Created by</t>
  </si>
  <si>
    <t>Created Date</t>
  </si>
  <si>
    <t>Created Time</t>
  </si>
  <si>
    <t>TEST.001</t>
  </si>
  <si>
    <t>Applicant.</t>
  </si>
  <si>
    <t>&lt;applicant&gt;</t>
  </si>
  <si>
    <t>Created</t>
  </si>
  <si>
    <t>&lt;user&gt;</t>
  </si>
  <si>
    <t>FSA</t>
  </si>
  <si>
    <t>School</t>
  </si>
  <si>
    <t>District.</t>
  </si>
  <si>
    <t>DCS.</t>
  </si>
  <si>
    <t>Bldg.</t>
  </si>
  <si>
    <t>Full</t>
  </si>
  <si>
    <t>Accessibility</t>
  </si>
  <si>
    <t>Addressing</t>
  </si>
  <si>
    <t>AgExempt</t>
  </si>
  <si>
    <t>Architectural</t>
  </si>
  <si>
    <t>CC/MH/THOW</t>
  </si>
  <si>
    <t>Green/Energy</t>
  </si>
  <si>
    <t>Fire.Alarms</t>
  </si>
  <si>
    <t>Fire.Sprinklers</t>
  </si>
  <si>
    <t>Pool</t>
  </si>
  <si>
    <t>Rapid</t>
  </si>
  <si>
    <t>Structural</t>
  </si>
  <si>
    <t>CE.</t>
  </si>
  <si>
    <t>Compliance</t>
  </si>
  <si>
    <t>EH.</t>
  </si>
  <si>
    <t>Cannabis.Unit</t>
  </si>
  <si>
    <t>Consumer.Protection</t>
  </si>
  <si>
    <t>Land.Use</t>
  </si>
  <si>
    <t>HazMat</t>
  </si>
  <si>
    <t>N/A</t>
  </si>
  <si>
    <t>IWM.</t>
  </si>
  <si>
    <t>C&amp;D</t>
  </si>
  <si>
    <t>Planning.</t>
  </si>
  <si>
    <t>Corrections Sent</t>
  </si>
  <si>
    <t>PW.</t>
  </si>
  <si>
    <t>See Next Cycle</t>
  </si>
  <si>
    <t>QTY</t>
  </si>
  <si>
    <t>Review Time (each)</t>
  </si>
  <si>
    <t>Review Fee</t>
  </si>
  <si>
    <t>Insp. Time (each)</t>
  </si>
  <si>
    <t>Insp. Fee</t>
  </si>
  <si>
    <t>Rate</t>
  </si>
  <si>
    <t>Pay Now?</t>
  </si>
  <si>
    <t>Receipt #</t>
  </si>
  <si>
    <t>Paid</t>
  </si>
  <si>
    <t>Percentage</t>
  </si>
  <si>
    <t>Account Nickname</t>
  </si>
  <si>
    <t>Fund</t>
  </si>
  <si>
    <t>Budget Unit</t>
  </si>
  <si>
    <t>Cost Center</t>
  </si>
  <si>
    <t>GL Account</t>
  </si>
  <si>
    <t>GL Transfer Fund</t>
  </si>
  <si>
    <t>CAMS Project Number</t>
  </si>
  <si>
    <t>Infor Activity</t>
  </si>
  <si>
    <t>Infor Account Category</t>
  </si>
  <si>
    <t>California Building Standards Fee (State Pass-Through Fee)</t>
  </si>
  <si>
    <t>BldgStds(State)</t>
  </si>
  <si>
    <t>StrongMotion(State)</t>
  </si>
  <si>
    <t>each</t>
  </si>
  <si>
    <t>Hrs</t>
  </si>
  <si>
    <t>Administration</t>
  </si>
  <si>
    <t>01002</t>
  </si>
  <si>
    <t>2029</t>
  </si>
  <si>
    <t>716350</t>
  </si>
  <si>
    <t>400310</t>
  </si>
  <si>
    <t>0000</t>
  </si>
  <si>
    <t>5031</t>
  </si>
  <si>
    <t>756350</t>
  </si>
  <si>
    <t>40400</t>
  </si>
  <si>
    <t>9900</t>
  </si>
  <si>
    <t>0100012</t>
  </si>
  <si>
    <t>10700</t>
  </si>
  <si>
    <t>0022</t>
  </si>
  <si>
    <t>0033</t>
  </si>
  <si>
    <t>756315</t>
  </si>
  <si>
    <t>756325</t>
  </si>
  <si>
    <t>Object</t>
  </si>
  <si>
    <t>Sub-Type</t>
  </si>
  <si>
    <t>Administrative</t>
  </si>
  <si>
    <t>Aircraft Hangar</t>
  </si>
  <si>
    <t>Canopy, Carport, or Patio Cover</t>
  </si>
  <si>
    <t>Deck, Dock, or Platform</t>
  </si>
  <si>
    <t>Detached Habitable Area or Pool House</t>
  </si>
  <si>
    <t>Enclosed Porch or Patio</t>
  </si>
  <si>
    <t>Foundation Only</t>
  </si>
  <si>
    <t>Greenhouse</t>
  </si>
  <si>
    <t>Private Garage, Shop, Shed, or Barn</t>
  </si>
  <si>
    <t>Tank</t>
  </si>
  <si>
    <t>Tower</t>
  </si>
  <si>
    <t>Trash Enclosure</t>
  </si>
  <si>
    <t>Addition</t>
  </si>
  <si>
    <t>Alteration</t>
  </si>
  <si>
    <t>New</t>
  </si>
  <si>
    <t>Temporary</t>
  </si>
  <si>
    <t>Install Fireplace/Stove</t>
  </si>
  <si>
    <t>Move</t>
  </si>
  <si>
    <t>Multi-Family (3 or more units)</t>
  </si>
  <si>
    <t>One-Family</t>
  </si>
  <si>
    <t>Two-Family</t>
  </si>
  <si>
    <t>Plan Review Model Floor Plan</t>
  </si>
  <si>
    <t>Rebuild</t>
  </si>
  <si>
    <t>Remodel</t>
  </si>
  <si>
    <t>Repair</t>
  </si>
  <si>
    <t>Replace</t>
  </si>
  <si>
    <t>Siding</t>
  </si>
  <si>
    <t>Siding and/or Stucco</t>
  </si>
  <si>
    <t>Siding/Stucco</t>
  </si>
  <si>
    <t>Stucco and/or Siding</t>
  </si>
  <si>
    <t>Windows</t>
  </si>
  <si>
    <t>Electric Vehicle Charging Station</t>
  </si>
  <si>
    <t>Energy Storage System (Batteries)</t>
  </si>
  <si>
    <t>Fuel Dispenser</t>
  </si>
  <si>
    <t>Fuel Dispensers</t>
  </si>
  <si>
    <t>Service 400A or less</t>
  </si>
  <si>
    <t>Service 401A or more</t>
  </si>
  <si>
    <t>Solar Photovoltaic</t>
  </si>
  <si>
    <t>Temporary Power</t>
  </si>
  <si>
    <t>Transformer</t>
  </si>
  <si>
    <t>Wind Turbine</t>
  </si>
  <si>
    <t>Alarms</t>
  </si>
  <si>
    <t>Pump</t>
  </si>
  <si>
    <t>Sprinklers</t>
  </si>
  <si>
    <t>CLOMR</t>
  </si>
  <si>
    <t>CLOMR-F</t>
  </si>
  <si>
    <t>FLOOD DETERMINATION</t>
  </si>
  <si>
    <t>LOMA</t>
  </si>
  <si>
    <t>LOMR</t>
  </si>
  <si>
    <t>NEW STRUCTURE</t>
  </si>
  <si>
    <t>NON-SUB IMPROVEMENT</t>
  </si>
  <si>
    <t>SUB IMPROVEMENT</t>
  </si>
  <si>
    <t>TRACKING ONLY</t>
  </si>
  <si>
    <t>VARIANCE</t>
  </si>
  <si>
    <t>Huge (100K or more CY)</t>
  </si>
  <si>
    <t>Large (10,000 CY to 100,000 CY)</t>
  </si>
  <si>
    <t>Medium (1,000 CY to 10,000 CY)</t>
  </si>
  <si>
    <t>Small (1,000 CY or less)</t>
  </si>
  <si>
    <t>Hood</t>
  </si>
  <si>
    <t>HVAC</t>
  </si>
  <si>
    <t>Process Piping</t>
  </si>
  <si>
    <t>Bathtub/Shower</t>
  </si>
  <si>
    <t>Building Sewer</t>
  </si>
  <si>
    <t>Gas Lines</t>
  </si>
  <si>
    <t>Landscape Irrigation</t>
  </si>
  <si>
    <t>Propane Tank</t>
  </si>
  <si>
    <t>Solar Water Heating</t>
  </si>
  <si>
    <t>Temporary Gas</t>
  </si>
  <si>
    <t>Water Heater</t>
  </si>
  <si>
    <t>Water Treatment</t>
  </si>
  <si>
    <t>Private Residential</t>
  </si>
  <si>
    <t>Public Pool</t>
  </si>
  <si>
    <t>RV</t>
  </si>
  <si>
    <t>Copies</t>
  </si>
  <si>
    <t>Court Hearing</t>
  </si>
  <si>
    <t>Fireworks Booth</t>
  </si>
  <si>
    <t>Maps</t>
  </si>
  <si>
    <t>Meeting Request</t>
  </si>
  <si>
    <t>Notary</t>
  </si>
  <si>
    <t>Records Request</t>
  </si>
  <si>
    <t>Proposed Sublabel</t>
  </si>
  <si>
    <t>Current Fee Title</t>
  </si>
  <si>
    <t>Proposed Fee Title</t>
  </si>
  <si>
    <t>Proposed Policy</t>
  </si>
  <si>
    <t>Revised</t>
  </si>
  <si>
    <t>Adopted</t>
  </si>
  <si>
    <t>Current Sublabel</t>
  </si>
  <si>
    <t>Current Fee</t>
  </si>
  <si>
    <t>Proposed Fee</t>
  </si>
  <si>
    <t>Building Division Fee</t>
  </si>
  <si>
    <t>4.00 / 4.00 (Based on Valuation)</t>
  </si>
  <si>
    <t>H&amp;S 17951, GC66014</t>
  </si>
  <si>
    <t>Miscellaneous Building Services Fee</t>
  </si>
  <si>
    <t>Strong Motion Instrumentation and Seismic Hazard Mapping (State Pass Through Fee) ($7 for Strong Motion Instrumentation and $3 for Seismic Hazard Mapp</t>
  </si>
  <si>
    <t>Per $100,000 Valuation, Set by State</t>
  </si>
  <si>
    <t>H&amp;S 17951, YCC 7-1.03</t>
  </si>
  <si>
    <t>Impact Fees</t>
  </si>
  <si>
    <t>Commercial Davis</t>
  </si>
  <si>
    <t>500.00 / per 1,000 sq. ft.</t>
  </si>
  <si>
    <t>GC66000, 66001</t>
  </si>
  <si>
    <t>Commercial Unincorporated</t>
  </si>
  <si>
    <t>936.00 / per 1,000 sq. ft.</t>
  </si>
  <si>
    <t>Commercial West Sacramento</t>
  </si>
  <si>
    <t>Commercial Winters</t>
  </si>
  <si>
    <t>Commercial Woodland</t>
  </si>
  <si>
    <t>GC 66000,66001</t>
  </si>
  <si>
    <t>Warehouse Woodland</t>
  </si>
  <si>
    <t>200.00 / per 1,000 sq. ft.</t>
  </si>
  <si>
    <t>Warehouse Winters</t>
  </si>
  <si>
    <t>Warehouse West Sacramento</t>
  </si>
  <si>
    <t>Warehouse Unincorporated</t>
  </si>
  <si>
    <t>375.00 / per 1,000 sq. ft.</t>
  </si>
  <si>
    <t>Warehouse Davis</t>
  </si>
  <si>
    <t>Office Woodland</t>
  </si>
  <si>
    <t>666.00 / per 1,000 sq. ft.</t>
  </si>
  <si>
    <t>Office Winters</t>
  </si>
  <si>
    <t>Office West Sacramento</t>
  </si>
  <si>
    <t>Office Unincorporated</t>
  </si>
  <si>
    <t>1247.00 / per 1,000 sq. ft.</t>
  </si>
  <si>
    <t>Office Davis</t>
  </si>
  <si>
    <t>Industrial Winters</t>
  </si>
  <si>
    <t>334.00 / per 1,000 sq. ft.</t>
  </si>
  <si>
    <t>Industrial Unincorporated</t>
  </si>
  <si>
    <t>626.00 / per 1,000 sq. ft.</t>
  </si>
  <si>
    <t>Industrial Davis</t>
  </si>
  <si>
    <t>Industrial  West Sacramento</t>
  </si>
  <si>
    <t>Industrial  Woodland</t>
  </si>
  <si>
    <t>Multi-family (2 or more) Woodland</t>
  </si>
  <si>
    <t>2312.00 / per unit</t>
  </si>
  <si>
    <t>Multi-family (2 or more) Winters</t>
  </si>
  <si>
    <t>3267.00 / per unit</t>
  </si>
  <si>
    <t>Multi-family (2 or more) West Sacramento</t>
  </si>
  <si>
    <t>Multi-family (2 or more) Unincorporated</t>
  </si>
  <si>
    <t>4830.00 / per unit</t>
  </si>
  <si>
    <t>Multi-family (2 or more) Davis</t>
  </si>
  <si>
    <t>3180.00 / per unit</t>
  </si>
  <si>
    <t>Multi-Fam</t>
  </si>
  <si>
    <t>Single Family Housing-Woodland</t>
  </si>
  <si>
    <t>3118.00 / dwelling</t>
  </si>
  <si>
    <t>Single Family Housing-Winters</t>
  </si>
  <si>
    <t>4407.00 / dwelling</t>
  </si>
  <si>
    <t>Single Family Housing-West Sacramento</t>
  </si>
  <si>
    <t>Single Family Housing-Unincorporated</t>
  </si>
  <si>
    <t>6515.00 / dwelling</t>
  </si>
  <si>
    <t>Single Family Housing-Davis</t>
  </si>
  <si>
    <t>4290.00 / dwelling</t>
  </si>
  <si>
    <t>Code Enforcement Fee</t>
  </si>
  <si>
    <t>31-60 days overdue</t>
  </si>
  <si>
    <t>10.00 / percent</t>
  </si>
  <si>
    <t>H&amp;S 101325</t>
  </si>
  <si>
    <t>61-90 days overdue</t>
  </si>
  <si>
    <t>Administrative Citation</t>
  </si>
  <si>
    <t>1300.00 / each citation</t>
  </si>
  <si>
    <t>GC66104, 54988</t>
  </si>
  <si>
    <t>Administrative Citation Appeal Hearing Deposit</t>
  </si>
  <si>
    <t>1000.00 / Deposit, Actual Cost</t>
  </si>
  <si>
    <t>YCC 1-5.09</t>
  </si>
  <si>
    <t>Code Enforcement Hourly Rate-additional inspections, hearings (Min 1 hr.)</t>
  </si>
  <si>
    <t>149.00 / Per Hour</t>
  </si>
  <si>
    <t>GC 54988</t>
  </si>
  <si>
    <t>Delinquent Account Referral Fee</t>
  </si>
  <si>
    <t>25.00 / percent</t>
  </si>
  <si>
    <t>Hearing Officer Hourly Rate</t>
  </si>
  <si>
    <t>220.00 / 0</t>
  </si>
  <si>
    <t>Initial Code Enforcement Investigation Fee</t>
  </si>
  <si>
    <t>223.00 / Per Case</t>
  </si>
  <si>
    <t>GC54988; H&amp;S17951</t>
  </si>
  <si>
    <t>Notice of Violation</t>
  </si>
  <si>
    <t>650.00 / each violation</t>
  </si>
  <si>
    <t>GC66104</t>
  </si>
  <si>
    <t>Zoning Violation Application (50%) of penalty)</t>
  </si>
  <si>
    <t>50% of application fee</t>
  </si>
  <si>
    <t>GC65354.5</t>
  </si>
  <si>
    <t>percent</t>
  </si>
  <si>
    <t>Overdue</t>
  </si>
  <si>
    <t>Hourly</t>
  </si>
  <si>
    <t>Deposit</t>
  </si>
  <si>
    <t>Active</t>
  </si>
  <si>
    <t>General Plan Cost Recovery</t>
  </si>
  <si>
    <t>General Plan Cost Recovery (value $50,000 and under)</t>
  </si>
  <si>
    <t>5% of Building Fees</t>
  </si>
  <si>
    <t>GC 66104</t>
  </si>
  <si>
    <t>General Plan Cost Recovery (value over $50,000)</t>
  </si>
  <si>
    <t>10% of Building Fee</t>
  </si>
  <si>
    <t>Grading Fee Inspections</t>
  </si>
  <si>
    <t>Manufactured Home Fee - Permit Inspection</t>
  </si>
  <si>
    <t>455.00 / Per Permit</t>
  </si>
  <si>
    <t>H&amp;S 17951</t>
  </si>
  <si>
    <t>Additional Time Spent for Activities not Listed on Fee List</t>
  </si>
  <si>
    <t>149.00 / Actual Cost, Charged Per Hour</t>
  </si>
  <si>
    <t>Cal Green</t>
  </si>
  <si>
    <t>15% of the Plan Review Fee, as applicable</t>
  </si>
  <si>
    <t>Certificate of Occupancy/Temporary Certificate of Occupancy</t>
  </si>
  <si>
    <t>101.00 / Per Permit</t>
  </si>
  <si>
    <t>Disabled Access</t>
  </si>
  <si>
    <t>Returned Check Fee</t>
  </si>
  <si>
    <t>25.00 / Per Occurance</t>
  </si>
  <si>
    <t>Stucco/ Siding</t>
  </si>
  <si>
    <t>434.00 / Flat Fee</t>
  </si>
  <si>
    <t>Title 24 Review</t>
  </si>
  <si>
    <t>10% of the Plan Review Fee, as applicable</t>
  </si>
  <si>
    <t>Sign Fee</t>
  </si>
  <si>
    <t>New/Replace Sign Rate Illuminated, Non-Illuminated Monument or Pole</t>
  </si>
  <si>
    <t>Sign - Monument or Pole Sign</t>
  </si>
  <si>
    <t>434.00 / Per Permit</t>
  </si>
  <si>
    <t>New/Replacement Building Sign Rate Illuminate or Non- Illuminated</t>
  </si>
  <si>
    <t>Sign - Building Sign</t>
  </si>
  <si>
    <t>217.00 / Per Permit</t>
  </si>
  <si>
    <t>Flood Protection</t>
  </si>
  <si>
    <t>Flood Elevation Certificate</t>
  </si>
  <si>
    <t>558.00 / Flat Fee</t>
  </si>
  <si>
    <t>GC 65104, 66016; Cal. Const. Art. XI @ 7</t>
  </si>
  <si>
    <t>Flood Plain Substantial Improvement Determination</t>
  </si>
  <si>
    <t>267.00 / Per Permit</t>
  </si>
  <si>
    <t>Flood Zone Determination Fee</t>
  </si>
  <si>
    <t>33.00 / per 15 minutes (15 minute minimum)</t>
  </si>
  <si>
    <t>Flood Management Fee</t>
  </si>
  <si>
    <t>4.66% of the Plan Review Fee, as applicable</t>
  </si>
  <si>
    <t>Miscellaneous Building Services Fees</t>
  </si>
  <si>
    <t>Disability Access: CASp</t>
  </si>
  <si>
    <t>4.00 / Per Business License</t>
  </si>
  <si>
    <t>SB1186</t>
  </si>
  <si>
    <t>Miscellaneous</t>
  </si>
  <si>
    <t>Technology Recovery Fee</t>
  </si>
  <si>
    <t>6% of permit cost</t>
  </si>
  <si>
    <t>Ordinance 1381</t>
  </si>
  <si>
    <t>Addressing Fee</t>
  </si>
  <si>
    <t>134.00 / Flat Fee</t>
  </si>
  <si>
    <t>Staff time to assign a new address</t>
  </si>
  <si>
    <t>173.00 / Flat Fee</t>
  </si>
  <si>
    <t>Staff time to verify the ag exempt structure meets the requirements of Yolo County Count Section 7-1.03</t>
  </si>
  <si>
    <t>YCC 7-1.03</t>
  </si>
  <si>
    <t>Alternate Building Materials Requests</t>
  </si>
  <si>
    <t>269.00 / per hour (min. 5 hours)</t>
  </si>
  <si>
    <t>Staff time for the review required by CBC 104.11</t>
  </si>
  <si>
    <t>H&amp;S 17951, GC66014, YCC 7-1.03</t>
  </si>
  <si>
    <t>Alternative Energy; Wind Turbine, Methane Gas Conversion, Agricultural Crop Conversion For Bio-Fuels, Etc.</t>
  </si>
  <si>
    <t>[ DELETE FEE ]</t>
  </si>
  <si>
    <t>Based on construction valuation</t>
  </si>
  <si>
    <t>H &amp; S 17951</t>
  </si>
  <si>
    <t>Building Permit Application Fee</t>
  </si>
  <si>
    <t>67.00 / Per Permit</t>
  </si>
  <si>
    <t>Staff time to intake a building permit application</t>
  </si>
  <si>
    <t>H&amp;S17951</t>
  </si>
  <si>
    <t>Building Permit Application Fee - Only for HVAC, Solar, Water Heater, or other small projects as determined by CBO</t>
  </si>
  <si>
    <t>33.00 / Per Permit</t>
  </si>
  <si>
    <t>Building Permit Fee - $1,000,001+ Valuation</t>
  </si>
  <si>
    <t>Building Inspection Tier 7 - Over $1,000,000</t>
  </si>
  <si>
    <t>Building Permit Fee - $1-$10,000 Valuation</t>
  </si>
  <si>
    <t>Building Inspection Tier 1 - $10,000 or less</t>
  </si>
  <si>
    <t>Staff time for building inspection. Valuation is a proxy measurement for the overall complexity of a project used to determine the overall inspection workload based on records from past permits.</t>
  </si>
  <si>
    <t>Building Permit Fee - $10,001-$25,000 Valuation</t>
  </si>
  <si>
    <t>Building Inspection Tier 2 - $25,000 or less</t>
  </si>
  <si>
    <t>Building Permit Fee - $100,001-$200,000 Valuation</t>
  </si>
  <si>
    <t>Building Inspection Tier 5 - $500,000 or less</t>
  </si>
  <si>
    <t>Building Permit Fee - $25,001-$50,000 Valuation</t>
  </si>
  <si>
    <t>Building Inspection Tier 3 - $50,000 or less</t>
  </si>
  <si>
    <t>Building Permit Fee - $50,001-$100,000 Valuation</t>
  </si>
  <si>
    <t>Building Inspection Tier 4 - $100,000 or less</t>
  </si>
  <si>
    <t>Building Permit Fee - $500,001-$1,000,000 Valuation</t>
  </si>
  <si>
    <t>Building Inspection Tier 6 - $1,000,000 or less</t>
  </si>
  <si>
    <t>Building Permit Issuance Fee</t>
  </si>
  <si>
    <t>56.00 / Per Permit</t>
  </si>
  <si>
    <t>Staff time to issue a building permit</t>
  </si>
  <si>
    <t>Business Site Inspection</t>
  </si>
  <si>
    <t>145.00 / per hour (min 1.5 hours)</t>
  </si>
  <si>
    <t>YCC 12-1.513, 7-1.03, GC 66014</t>
  </si>
  <si>
    <t>Cellular Tower, Co-location</t>
  </si>
  <si>
    <t>579.00 / Per Permit</t>
  </si>
  <si>
    <t>Cellular Tower, Equipment container</t>
  </si>
  <si>
    <t>Cellular Tower, Free Standing</t>
  </si>
  <si>
    <t>Cell Tower - New Construction</t>
  </si>
  <si>
    <t>869.00 / Per Permit</t>
  </si>
  <si>
    <t>Copy of Plans (non-standard sizes)</t>
  </si>
  <si>
    <t>5.00 / Per Sheet</t>
  </si>
  <si>
    <t>Deferred Submittal Request</t>
  </si>
  <si>
    <t>134.00 / Each Request</t>
  </si>
  <si>
    <t>434.00 / Per Building</t>
  </si>
  <si>
    <t>Expedited Plan Review</t>
  </si>
  <si>
    <t>1.5 times the original plan review fee</t>
  </si>
  <si>
    <t>Moved Structure (In addition to permit fees)</t>
  </si>
  <si>
    <t>Move Structure</t>
  </si>
  <si>
    <t>585.00 / Per Permit</t>
  </si>
  <si>
    <t>Other Requested Inspections</t>
  </si>
  <si>
    <t>Inspections - Hourly</t>
  </si>
  <si>
    <t>145.00 / per hour (min. 1.5 hours)</t>
  </si>
  <si>
    <t>H&amp;S 17951, GC 66014, YCC 7-1.03</t>
  </si>
  <si>
    <t>Patio Cover Enclosed/Trellis</t>
  </si>
  <si>
    <t>Use "Simple Permits: 2 Inspections"</t>
  </si>
  <si>
    <t>Patio Deck, Uncovered</t>
  </si>
  <si>
    <t>Permit Extension Request</t>
  </si>
  <si>
    <t>101.00 / Each Request</t>
  </si>
  <si>
    <t>Use "Inspections - Hourly"</t>
  </si>
  <si>
    <t>Permit Reviews and Requests</t>
  </si>
  <si>
    <t>Plan Review - Hourly</t>
  </si>
  <si>
    <t>149.00 / Per Hour, Actual Cost</t>
  </si>
  <si>
    <t>GC66014, YCC 7-1.03</t>
  </si>
  <si>
    <t>Plan Check Extension Request</t>
  </si>
  <si>
    <t>76.00 / Each Request</t>
  </si>
  <si>
    <t>Use "Plan Review - Hourly"</t>
  </si>
  <si>
    <t>Plan Review Fee-Master plan development after model approval      (1 hr minimum)</t>
  </si>
  <si>
    <t>149.00 / per hour</t>
  </si>
  <si>
    <t>Plan Review Fee-Single Family/Garages</t>
  </si>
  <si>
    <t>Plan Review - General</t>
  </si>
  <si>
    <t>65% of building permit fee up to two reviews</t>
  </si>
  <si>
    <t>Pre-Application Review</t>
  </si>
  <si>
    <t>414.00 / Per Meeting</t>
  </si>
  <si>
    <t>Re-Inspection Fee - 1.5 Hour Minimum</t>
  </si>
  <si>
    <t>Inspections - Not-Ready / Late Cancellation</t>
  </si>
  <si>
    <t>145.00 / Per Hour, Minimum 1.5 Hours</t>
  </si>
  <si>
    <t>Re-Instate Permit Fee (validated)</t>
  </si>
  <si>
    <t>1/2 of all related fees for a new permit</t>
  </si>
  <si>
    <t>Re-Roof (Residential, Commercial, Multi-Family)</t>
  </si>
  <si>
    <t>Simple Permits: 2 Inspections</t>
  </si>
  <si>
    <t>Records research</t>
  </si>
  <si>
    <t>Site inspection</t>
  </si>
  <si>
    <t>Soil review</t>
  </si>
  <si>
    <t>Special inspection request and/or pre-construction meeting</t>
  </si>
  <si>
    <t>149.00 / Per Hour (min. 2 hours)</t>
  </si>
  <si>
    <t>Temporary Occupancy</t>
  </si>
  <si>
    <t>491.00 / Flat Fee</t>
  </si>
  <si>
    <t>Window Installation and/or Replacement (Covers 1 Inspection)</t>
  </si>
  <si>
    <t>217.00 / Flat Fee</t>
  </si>
  <si>
    <t>Electrical Fee</t>
  </si>
  <si>
    <t>Install, Alter, Add Services  and/or Sub-Panel - over 1,001 amps</t>
  </si>
  <si>
    <t>Use "Service- or Sub-Panel Tier 2, all others"</t>
  </si>
  <si>
    <t>Install, Alter, Add Services 0-325 amp/panel</t>
  </si>
  <si>
    <t>290.00 / Per Permit</t>
  </si>
  <si>
    <t>Install, Alter, Add Services 325-1,000 amp/panel</t>
  </si>
  <si>
    <t>Photovoltaic/Solar System, Commercial - Ground mounted</t>
  </si>
  <si>
    <t>Solar PV Tier 4, 250 kW or more</t>
  </si>
  <si>
    <t>145.00 / Per Hour (min. 3 hours)</t>
  </si>
  <si>
    <t>Photovoltaic/Solar System, Commercial - Roof mounted</t>
  </si>
  <si>
    <t>Solar PV Tier 3, 50-249 kW</t>
  </si>
  <si>
    <t>Photovoltaic/Solar System, Residential - Ground mounted</t>
  </si>
  <si>
    <t>Solar PV Tier 2, 16-49 kW</t>
  </si>
  <si>
    <t>145.00 / Per Hour (min. 2 hours)</t>
  </si>
  <si>
    <t>Photovoltaic/Solar System, Residential - Roof mounted</t>
  </si>
  <si>
    <t>Solar PV Tier 1, 0-15 kW</t>
  </si>
  <si>
    <t>290.00 / Flat Fee</t>
  </si>
  <si>
    <t>Temporary Electric</t>
  </si>
  <si>
    <t>Use "Service- or Sub-Panel"</t>
  </si>
  <si>
    <t>Fire Prevention Fees</t>
  </si>
  <si>
    <t>Additional Fire Inspections</t>
  </si>
  <si>
    <t>223.00 / Per Inspection</t>
  </si>
  <si>
    <t>H&amp;S17951, GC66014</t>
  </si>
  <si>
    <t>Additional Fire Plan Review (over 2 reviews)</t>
  </si>
  <si>
    <t>223.00 / Per Review</t>
  </si>
  <si>
    <t>Commercial Kitchen Hood System / Special Systems</t>
  </si>
  <si>
    <t>446.00 / Per Permit</t>
  </si>
  <si>
    <t>Commercial Sprinkler System - 201+ Sprinkler Heads (underground systems included, new systems only)</t>
  </si>
  <si>
    <t>1189.00 / Per Permit</t>
  </si>
  <si>
    <t>Commercial/Residential Sprinkler Add/Alternative</t>
  </si>
  <si>
    <t>Fire Alarm System Plan Review Fee</t>
  </si>
  <si>
    <t>595.00 / Per Permit</t>
  </si>
  <si>
    <t>Fire Construction Plan Review/Special Review</t>
  </si>
  <si>
    <t>Fire Inspection Fee</t>
  </si>
  <si>
    <t>297.00 / Per Permit</t>
  </si>
  <si>
    <t>Fire Inspection Fee - Underground, Hazmat, Hydrant, Tanks, Tents, Special Events, Fire Investigation, Weed/ Fire Hazard Abatement</t>
  </si>
  <si>
    <t>Flammable or Combustible Liquid Tank  - Installation or Removel (Above Ground or Underground)</t>
  </si>
  <si>
    <t>Residential Fire Sprinklers (New Buildings)</t>
  </si>
  <si>
    <t>Grading Fee</t>
  </si>
  <si>
    <t>Grading Inspection: 1 - 10,000 Cubic Yards</t>
  </si>
  <si>
    <t>Grading Inspection: 10,001 - 100,000 Cubic Yards</t>
  </si>
  <si>
    <t>Grading Inspection: 100,000+ Cubic Yards</t>
  </si>
  <si>
    <t>579.00 / Flat Fee</t>
  </si>
  <si>
    <t>Mechanical Fee</t>
  </si>
  <si>
    <t>Approved Fireplace Insert</t>
  </si>
  <si>
    <t>E.P.A. Approved Freestanding Wood Stove</t>
  </si>
  <si>
    <t>HVAC Installation, Commercial: Furnace and/or A/C Condenser - over 3 units</t>
  </si>
  <si>
    <t>145.00 / Per Unit</t>
  </si>
  <si>
    <t>HVAC Installation, Commercial: Furnace, A/C Condenser - up to 3 units</t>
  </si>
  <si>
    <t>HVAC Installation, Residential: Furnace and/or A/C Condenser</t>
  </si>
  <si>
    <t>Masonry fireplace with appliance insert</t>
  </si>
  <si>
    <t>Plumbing Fee</t>
  </si>
  <si>
    <t>Propane Tank Installation</t>
  </si>
  <si>
    <t>Water Heater Installation - up to 2 units</t>
  </si>
  <si>
    <t>Water Heater Installation</t>
  </si>
  <si>
    <t>130.00 / Per Permit</t>
  </si>
  <si>
    <t>Pool &amp; Spa Fees</t>
  </si>
  <si>
    <t>Commercial Pool and/or Spa</t>
  </si>
  <si>
    <t>Based on Valuation</t>
  </si>
  <si>
    <t>Demolition of Swimming Pool</t>
  </si>
  <si>
    <t>Pool and/or Spa remodel</t>
  </si>
  <si>
    <t>Solar Heating for Pool / Spa</t>
  </si>
  <si>
    <t>Spa/Hot Tub Permit-Basic</t>
  </si>
  <si>
    <t>Hot Tub</t>
  </si>
  <si>
    <t>Swimming Pool Permit-Residential</t>
  </si>
  <si>
    <t>Residential Swimming Pool</t>
  </si>
  <si>
    <t>Authorization</t>
  </si>
  <si>
    <t>Program</t>
  </si>
  <si>
    <t>Main Account</t>
  </si>
  <si>
    <t>Seismic</t>
  </si>
  <si>
    <t>Bldg Std</t>
  </si>
  <si>
    <t>Disability Access</t>
  </si>
  <si>
    <t>A - Temp Occ and Permit Ext</t>
  </si>
  <si>
    <t>Bldg Permit Reviews</t>
  </si>
  <si>
    <t>7908.00 / Base Fee Plus
$3.25 per $1,000; based on valuation</t>
  </si>
  <si>
    <t>149.00 / Base Fee Plus
$12.00 per $1,000; based on valuatio</t>
  </si>
  <si>
    <t>251.00 / Base Fee Plus
$31.18 per $1,000; based on valuatio</t>
  </si>
  <si>
    <t>1359.00 / Base Fee Plus
$7.20 per $1,000; based on valuation</t>
  </si>
  <si>
    <t>718.00 / Base Fee Plus
$5.79 per $1,000; based on valuation</t>
  </si>
  <si>
    <t>863.00 / Base Fee Plus
$9.91 per $1,000; based on valuation</t>
  </si>
  <si>
    <t>4238.00 / Base Fee Plus
$7.34 per $1,000; based on valuation</t>
  </si>
  <si>
    <t>Hide</t>
  </si>
  <si>
    <t>Show</t>
  </si>
  <si>
    <t>Mech</t>
  </si>
  <si>
    <t>Each</t>
  </si>
  <si>
    <t>Balance</t>
  </si>
  <si>
    <t>Due Now</t>
  </si>
  <si>
    <t>Staff
Override</t>
  </si>
  <si>
    <t>Account 1 Amount</t>
  </si>
  <si>
    <t>Account 1 Percentage</t>
  </si>
  <si>
    <t>Account 1 Name</t>
  </si>
  <si>
    <t>Account 2 Percentage</t>
  </si>
  <si>
    <t>Account 2 Amount</t>
  </si>
  <si>
    <t>Account 2 Name</t>
  </si>
  <si>
    <t>State mandated fee with 90% retained for staff training.</t>
  </si>
  <si>
    <t>&lt;no change&gt;</t>
  </si>
  <si>
    <t>CA</t>
  </si>
  <si>
    <t>Agency</t>
  </si>
  <si>
    <t>DCS</t>
  </si>
  <si>
    <t>Yolo</t>
  </si>
  <si>
    <t>CE</t>
  </si>
  <si>
    <t>Davis</t>
  </si>
  <si>
    <t>WestSac</t>
  </si>
  <si>
    <t>Winters</t>
  </si>
  <si>
    <t>Woodland</t>
  </si>
  <si>
    <t>OH</t>
  </si>
  <si>
    <t>Plumb</t>
  </si>
  <si>
    <t>Violation</t>
  </si>
  <si>
    <t>Hearing</t>
  </si>
  <si>
    <t>SFD</t>
  </si>
  <si>
    <t>ADU1</t>
  </si>
  <si>
    <t>ADU2</t>
  </si>
  <si>
    <t>Factory</t>
  </si>
  <si>
    <t>Office</t>
  </si>
  <si>
    <t>Retail</t>
  </si>
  <si>
    <t>Warehouse</t>
  </si>
  <si>
    <t>Fee2</t>
  </si>
  <si>
    <t>Plan Review</t>
  </si>
  <si>
    <t>State Fee</t>
  </si>
  <si>
    <t>[ DELETE FEE ] Roll into plan review fees</t>
  </si>
  <si>
    <t>[ DELETE FEE ] Roll into inspection fees</t>
  </si>
  <si>
    <t>Cell Tower - Modify Equipment</t>
  </si>
  <si>
    <t>Electrical Service Panel Tier 1 (120V, 400 Amps or less)</t>
  </si>
  <si>
    <t>Electrical Service Panel Tier 2, all others</t>
  </si>
  <si>
    <t>HVAC Replacement</t>
  </si>
  <si>
    <t>per 1,000 SQFT</t>
  </si>
  <si>
    <t>per Unit</t>
  </si>
  <si>
    <t>ADU up to 750 square feet</t>
  </si>
  <si>
    <t>ADU 750 to 1,250 square fee</t>
  </si>
  <si>
    <t>n/a</t>
  </si>
  <si>
    <t>FSA Fees</t>
  </si>
  <si>
    <t>1101</t>
  </si>
  <si>
    <t>110015</t>
  </si>
  <si>
    <t>1000</t>
  </si>
  <si>
    <t>401327</t>
  </si>
  <si>
    <t>110210</t>
  </si>
  <si>
    <t>1003</t>
  </si>
  <si>
    <t>3905</t>
  </si>
  <si>
    <t>400327</t>
  </si>
  <si>
    <t>010020</t>
  </si>
  <si>
    <t>1501</t>
  </si>
  <si>
    <t>6100</t>
  </si>
  <si>
    <t>403090</t>
  </si>
  <si>
    <t>030120</t>
  </si>
  <si>
    <t>3011</t>
  </si>
  <si>
    <t>6402</t>
  </si>
  <si>
    <t>403699</t>
  </si>
  <si>
    <t>1001</t>
  </si>
  <si>
    <t>2971</t>
  </si>
  <si>
    <t>12003</t>
  </si>
  <si>
    <t>401315</t>
  </si>
  <si>
    <t>126220</t>
  </si>
  <si>
    <t>6320</t>
  </si>
  <si>
    <t>400320</t>
  </si>
  <si>
    <t>2030</t>
  </si>
  <si>
    <t>2152</t>
  </si>
  <si>
    <t>6031</t>
  </si>
  <si>
    <t>2975</t>
  </si>
  <si>
    <t>120041</t>
  </si>
  <si>
    <t>440080</t>
  </si>
  <si>
    <t>440081</t>
  </si>
  <si>
    <t>12009</t>
  </si>
  <si>
    <t>401320</t>
  </si>
  <si>
    <t>12001</t>
  </si>
  <si>
    <t>120028</t>
  </si>
  <si>
    <t>403091</t>
  </si>
  <si>
    <t>440690</t>
  </si>
  <si>
    <t>6330</t>
  </si>
  <si>
    <t>400328</t>
  </si>
  <si>
    <t>120013</t>
  </si>
  <si>
    <t>401329</t>
  </si>
  <si>
    <t>120003</t>
  </si>
  <si>
    <t>401330</t>
  </si>
  <si>
    <t>1030</t>
  </si>
  <si>
    <t>44080</t>
  </si>
  <si>
    <t>4051</t>
  </si>
  <si>
    <t>120039</t>
  </si>
  <si>
    <t>401360</t>
  </si>
  <si>
    <t>5051</t>
  </si>
  <si>
    <t>PW-Proj</t>
  </si>
  <si>
    <t>120001</t>
  </si>
  <si>
    <t>Accounting Unit Strings
Account Number</t>
  </si>
  <si>
    <t>ROAD FUND ROAD MAINTENANCE</t>
  </si>
  <si>
    <t>6403</t>
  </si>
  <si>
    <t>20</t>
  </si>
  <si>
    <t>0301</t>
  </si>
  <si>
    <t>ROAD FUND ENGINEERING</t>
  </si>
  <si>
    <t>ROAD FUND ADMINISTRATION</t>
  </si>
  <si>
    <t>6401</t>
  </si>
  <si>
    <t>ROAD FUND</t>
  </si>
  <si>
    <t>6400</t>
  </si>
  <si>
    <t>BUILDING ENTERPRISE FD TECH COST RECOVERY</t>
  </si>
  <si>
    <t>BUILDING TECH COST RECOVERY</t>
  </si>
  <si>
    <t>6360</t>
  </si>
  <si>
    <t>BUILDING ENTERPRISE FD BLDG</t>
  </si>
  <si>
    <t>6350</t>
  </si>
  <si>
    <t>BUILDING ENTERPRISE FD DISABILITY</t>
  </si>
  <si>
    <t>BUILDING ENTERPRISE FD DISABIL</t>
  </si>
  <si>
    <t>6325</t>
  </si>
  <si>
    <t>BUILDING ENTERPRISE FD SEISMIC</t>
  </si>
  <si>
    <t>6315</t>
  </si>
  <si>
    <t>CODE ENFORCEMENT ABATEMENT PROG</t>
  </si>
  <si>
    <t>GF CODE ENFORE ABATEMENT PROG</t>
  </si>
  <si>
    <t>6335</t>
  </si>
  <si>
    <t>0100</t>
  </si>
  <si>
    <t>GF CODE ENFORCEMENT</t>
  </si>
  <si>
    <t>GF PLANNING</t>
  </si>
  <si>
    <t>6300</t>
  </si>
  <si>
    <t>DCS RESILIENCY</t>
  </si>
  <si>
    <t>3913</t>
  </si>
  <si>
    <t>DCS PACE PRGM OVERSIGHT</t>
  </si>
  <si>
    <t>3912</t>
  </si>
  <si>
    <t>PGE GRANT</t>
  </si>
  <si>
    <t>DCS PGE GRANT</t>
  </si>
  <si>
    <t>3911</t>
  </si>
  <si>
    <t>Budget Unit Description</t>
  </si>
  <si>
    <t>FD3_Budget Unit</t>
  </si>
  <si>
    <t>Fund Description</t>
  </si>
  <si>
    <t>FD1_Fund</t>
  </si>
  <si>
    <t>4102</t>
  </si>
  <si>
    <t>Dept</t>
  </si>
  <si>
    <t>Infor Lawson (v10)</t>
  </si>
  <si>
    <t>OLD</t>
  </si>
  <si>
    <t>NEW</t>
  </si>
  <si>
    <t>Nickname</t>
  </si>
  <si>
    <t>PGE Grant</t>
  </si>
  <si>
    <t>PACE</t>
  </si>
  <si>
    <t>Resiliency</t>
  </si>
  <si>
    <t>CE Abatement</t>
  </si>
  <si>
    <t>Bldg Seismic</t>
  </si>
  <si>
    <t>Bldg Disabled Access</t>
  </si>
  <si>
    <t>Bldg Enterprise</t>
  </si>
  <si>
    <t>Bldg Tech Recovery</t>
  </si>
  <si>
    <t>PW Road</t>
  </si>
  <si>
    <t>PW Admin</t>
  </si>
  <si>
    <t>PW Engineering</t>
  </si>
  <si>
    <t>PW Maintenance</t>
  </si>
  <si>
    <t>CE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</si>
</sst>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"/>
    <numFmt numFmtId="166" formatCode="_([$$-409]* #,##0.00000_);_([$$-409]* \(#,##0.00000\);_([$$-409]* &quot;-&quot;??_);_(@_)"/>
    <numFmt numFmtId="167" formatCode="_([$$-409]* #,##0_);_([$$-409]* \(#,##0\);_([$$-409]* &quot;-&quot;??_);_(@_)"/>
    <numFmt numFmtId="168" formatCode="#,##0.0"/>
    <numFmt numFmtId="169" formatCode="yyyy\.mm\.dd"/>
    <numFmt numFmtId="170" formatCode="hh:mm\.ss;@"/>
    <numFmt numFmtId="171" formatCode="mm/dd/yyyy;@"/>
    <numFmt numFmtId="172" formatCode="_(&quot;$&quot;* #,##0_);_(&quot;$&quot;* \(#,##0\);_(&quot;$&quot;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00000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11" borderId="0" xfId="0" applyFill="1"/>
    <xf numFmtId="0" fontId="4" fillId="11" borderId="0" xfId="0" applyFont="1" applyFill="1" applyAlignment="1">
      <alignment vertical="center"/>
    </xf>
    <xf numFmtId="0" fontId="1" fillId="0" borderId="1" xfId="0" applyFont="1" applyBorder="1"/>
    <xf numFmtId="0" fontId="1" fillId="11" borderId="1" xfId="0" applyFont="1" applyFill="1" applyBorder="1"/>
    <xf numFmtId="0" fontId="0" fillId="0" borderId="2" xfId="0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2" borderId="2" xfId="0" applyFill="1" applyBorder="1"/>
    <xf numFmtId="0" fontId="0" fillId="11" borderId="2" xfId="0" applyFill="1" applyBorder="1"/>
    <xf numFmtId="0" fontId="0" fillId="7" borderId="2" xfId="0" applyFill="1" applyBorder="1"/>
    <xf numFmtId="0" fontId="3" fillId="7" borderId="2" xfId="0" applyFont="1" applyFill="1" applyBorder="1"/>
    <xf numFmtId="0" fontId="3" fillId="11" borderId="2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8" borderId="2" xfId="0" applyFill="1" applyBorder="1"/>
    <xf numFmtId="42" fontId="0" fillId="6" borderId="2" xfId="0" applyNumberFormat="1" applyFill="1" applyBorder="1" applyAlignment="1">
      <alignment horizontal="left" vertical="center" wrapText="1"/>
    </xf>
    <xf numFmtId="42" fontId="0" fillId="6" borderId="2" xfId="0" applyNumberFormat="1" applyFill="1" applyBorder="1" applyAlignment="1">
      <alignment horizontal="left"/>
    </xf>
    <xf numFmtId="3" fontId="0" fillId="6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9" borderId="11" xfId="0" applyFill="1" applyBorder="1"/>
    <xf numFmtId="0" fontId="0" fillId="9" borderId="13" xfId="0" applyFill="1" applyBorder="1"/>
    <xf numFmtId="0" fontId="0" fillId="9" borderId="13" xfId="0" applyFill="1" applyBorder="1" applyAlignment="1">
      <alignment horizontal="left" vertical="center" wrapText="1"/>
    </xf>
    <xf numFmtId="0" fontId="0" fillId="9" borderId="8" xfId="0" applyFill="1" applyBorder="1"/>
    <xf numFmtId="0" fontId="0" fillId="9" borderId="8" xfId="0" applyFill="1" applyBorder="1" applyAlignment="1">
      <alignment horizontal="left"/>
    </xf>
    <xf numFmtId="0" fontId="0" fillId="9" borderId="10" xfId="0" applyFill="1" applyBorder="1"/>
    <xf numFmtId="0" fontId="0" fillId="9" borderId="12" xfId="0" applyFill="1" applyBorder="1"/>
    <xf numFmtId="4" fontId="0" fillId="6" borderId="2" xfId="0" applyNumberForma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 wrapText="1"/>
    </xf>
    <xf numFmtId="0" fontId="0" fillId="12" borderId="2" xfId="0" applyFill="1" applyBorder="1" applyAlignment="1">
      <alignment horizontal="center"/>
    </xf>
    <xf numFmtId="165" fontId="0" fillId="0" borderId="6" xfId="0" applyNumberFormat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9" borderId="9" xfId="0" applyFill="1" applyBorder="1"/>
    <xf numFmtId="0" fontId="0" fillId="9" borderId="14" xfId="0" applyFill="1" applyBorder="1"/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6" fillId="13" borderId="0" xfId="0" applyFont="1" applyFill="1"/>
    <xf numFmtId="0" fontId="1" fillId="9" borderId="4" xfId="0" applyFont="1" applyFill="1" applyBorder="1" applyAlignment="1">
      <alignment horizontal="center"/>
    </xf>
    <xf numFmtId="0" fontId="0" fillId="9" borderId="12" xfId="0" applyFill="1" applyBorder="1" applyAlignment="1">
      <alignment horizontal="left" vertical="center" wrapText="1"/>
    </xf>
    <xf numFmtId="44" fontId="1" fillId="0" borderId="5" xfId="3" applyFont="1" applyBorder="1" applyAlignment="1">
      <alignment horizontal="center" vertical="center" wrapText="1"/>
    </xf>
    <xf numFmtId="44" fontId="0" fillId="0" borderId="6" xfId="3" applyFont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44" fontId="1" fillId="0" borderId="19" xfId="3" applyFont="1" applyBorder="1" applyAlignment="1">
      <alignment horizontal="center" vertical="center" wrapText="1"/>
    </xf>
    <xf numFmtId="0" fontId="0" fillId="10" borderId="15" xfId="0" applyFill="1" applyBorder="1" applyAlignment="1">
      <alignment horizontal="center"/>
    </xf>
    <xf numFmtId="44" fontId="0" fillId="0" borderId="18" xfId="3" applyFont="1" applyBorder="1" applyAlignment="1">
      <alignment horizontal="center" vertical="center" wrapText="1"/>
    </xf>
    <xf numFmtId="0" fontId="0" fillId="10" borderId="0" xfId="0" applyFill="1" applyAlignment="1">
      <alignment horizontal="left" vertical="center" wrapText="1"/>
    </xf>
    <xf numFmtId="0" fontId="0" fillId="10" borderId="0" xfId="0" applyFill="1" applyAlignment="1">
      <alignment horizontal="centerContinuous" vertical="center" wrapText="1"/>
    </xf>
    <xf numFmtId="0" fontId="0" fillId="10" borderId="19" xfId="0" applyFill="1" applyBorder="1" applyAlignment="1">
      <alignment horizontal="left" vertical="center" wrapText="1"/>
    </xf>
    <xf numFmtId="0" fontId="0" fillId="10" borderId="17" xfId="0" applyFill="1" applyBorder="1" applyAlignment="1">
      <alignment horizontal="left" vertical="center" wrapText="1"/>
    </xf>
    <xf numFmtId="44" fontId="0" fillId="10" borderId="16" xfId="3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44" fontId="0" fillId="10" borderId="14" xfId="3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centerContinuous" vertical="center" wrapText="1"/>
    </xf>
    <xf numFmtId="44" fontId="0" fillId="10" borderId="14" xfId="3" applyFont="1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Continuous" vertical="center" wrapText="1"/>
    </xf>
    <xf numFmtId="0" fontId="0" fillId="10" borderId="12" xfId="0" applyFill="1" applyBorder="1" applyAlignment="1">
      <alignment horizontal="centerContinuous" vertical="center" wrapText="1"/>
    </xf>
    <xf numFmtId="44" fontId="0" fillId="10" borderId="10" xfId="3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left"/>
    </xf>
    <xf numFmtId="3" fontId="0" fillId="0" borderId="0" xfId="0" applyNumberFormat="1" applyAlignment="1">
      <alignment horizontal="center" vertical="center" wrapText="1"/>
    </xf>
    <xf numFmtId="3" fontId="1" fillId="0" borderId="5" xfId="4" applyNumberFormat="1" applyFont="1" applyBorder="1" applyAlignment="1">
      <alignment horizontal="center" vertical="center" wrapText="1"/>
    </xf>
    <xf numFmtId="3" fontId="0" fillId="10" borderId="2" xfId="4" applyNumberFormat="1" applyFont="1" applyFill="1" applyBorder="1" applyAlignment="1">
      <alignment horizontal="center"/>
    </xf>
    <xf numFmtId="3" fontId="0" fillId="9" borderId="8" xfId="0" applyNumberFormat="1" applyFill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42" fontId="0" fillId="6" borderId="15" xfId="0" applyNumberFormat="1" applyFill="1" applyBorder="1" applyAlignment="1">
      <alignment horizontal="left"/>
    </xf>
    <xf numFmtId="3" fontId="0" fillId="10" borderId="15" xfId="4" applyNumberFormat="1" applyFont="1" applyFill="1" applyBorder="1" applyAlignment="1">
      <alignment horizontal="center"/>
    </xf>
    <xf numFmtId="0" fontId="0" fillId="10" borderId="20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left" vertical="center" wrapText="1"/>
    </xf>
    <xf numFmtId="44" fontId="0" fillId="10" borderId="10" xfId="3" applyFont="1" applyFill="1" applyBorder="1" applyAlignment="1">
      <alignment horizontal="left" vertical="center" wrapText="1"/>
    </xf>
    <xf numFmtId="42" fontId="0" fillId="7" borderId="2" xfId="0" applyNumberFormat="1" applyFill="1" applyBorder="1" applyAlignment="1">
      <alignment horizontal="left" vertical="center" wrapText="1"/>
    </xf>
    <xf numFmtId="44" fontId="0" fillId="0" borderId="2" xfId="3" applyFont="1" applyBorder="1" applyAlignment="1">
      <alignment horizontal="center" vertical="center" wrapText="1"/>
    </xf>
    <xf numFmtId="42" fontId="0" fillId="7" borderId="2" xfId="0" applyNumberFormat="1" applyFill="1" applyBorder="1" applyAlignment="1">
      <alignment horizontal="left"/>
    </xf>
    <xf numFmtId="0" fontId="0" fillId="7" borderId="2" xfId="0" applyFill="1" applyBorder="1" applyAlignment="1">
      <alignment horizontal="center" vertical="center" wrapText="1"/>
    </xf>
    <xf numFmtId="37" fontId="0" fillId="7" borderId="2" xfId="2" applyNumberFormat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49" fontId="0" fillId="16" borderId="1" xfId="0" applyNumberForma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49" fontId="0" fillId="0" borderId="2" xfId="0" applyNumberFormat="1" applyBorder="1" applyAlignment="1" applyProtection="1">
      <alignment vertical="center"/>
      <protection locked="0"/>
    </xf>
    <xf numFmtId="0" fontId="0" fillId="0" borderId="7" xfId="0" applyBorder="1" applyAlignment="1" applyProtection="1">
      <alignment horizontal="left" vertical="center" indent="1"/>
      <protection locked="0"/>
    </xf>
    <xf numFmtId="0" fontId="0" fillId="0" borderId="3" xfId="0" applyBorder="1" applyAlignment="1" applyProtection="1">
      <alignment horizontal="left" vertical="center" indent="1"/>
      <protection locked="0"/>
    </xf>
    <xf numFmtId="0" fontId="0" fillId="0" borderId="2" xfId="0" applyBorder="1" applyAlignment="1" applyProtection="1">
      <alignment vertical="center"/>
      <protection locked="0"/>
    </xf>
    <xf numFmtId="49" fontId="0" fillId="0" borderId="3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0" fontId="0" fillId="0" borderId="15" xfId="0" applyBorder="1" applyAlignment="1" applyProtection="1">
      <alignment vertical="center" wrapText="1"/>
      <protection locked="0"/>
    </xf>
    <xf numFmtId="167" fontId="0" fillId="0" borderId="15" xfId="0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 indent="1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49" fontId="0" fillId="0" borderId="7" xfId="0" applyNumberFormat="1" applyBorder="1" applyAlignment="1" applyProtection="1">
      <alignment vertical="center"/>
      <protection locked="0"/>
    </xf>
    <xf numFmtId="3" fontId="0" fillId="0" borderId="7" xfId="0" applyNumberFormat="1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49" fontId="0" fillId="0" borderId="15" xfId="0" applyNumberFormat="1" applyBorder="1" applyAlignment="1" applyProtection="1">
      <alignment vertical="center"/>
      <protection locked="0"/>
    </xf>
    <xf numFmtId="49" fontId="0" fillId="16" borderId="15" xfId="0" applyNumberFormat="1" applyFill="1" applyBorder="1" applyAlignment="1" applyProtection="1">
      <alignment vertical="center"/>
      <protection locked="0"/>
    </xf>
    <xf numFmtId="0" fontId="0" fillId="0" borderId="15" xfId="0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8" fontId="7" fillId="0" borderId="0" xfId="1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69" fontId="7" fillId="0" borderId="0" xfId="0" applyNumberFormat="1" applyFont="1" applyAlignment="1">
      <alignment horizontal="center" vertical="top"/>
    </xf>
    <xf numFmtId="0" fontId="7" fillId="0" borderId="0" xfId="1" applyFont="1" applyFill="1" applyBorder="1" applyAlignment="1">
      <alignment horizontal="center" vertical="top"/>
    </xf>
    <xf numFmtId="49" fontId="7" fillId="0" borderId="0" xfId="1" applyNumberFormat="1" applyFont="1" applyFill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 shrinkToFit="1"/>
    </xf>
    <xf numFmtId="169" fontId="7" fillId="0" borderId="0" xfId="1" applyNumberFormat="1" applyFont="1" applyFill="1" applyBorder="1" applyAlignment="1">
      <alignment horizontal="center" vertical="top"/>
    </xf>
    <xf numFmtId="1" fontId="7" fillId="0" borderId="0" xfId="1" applyNumberFormat="1" applyFont="1" applyFill="1" applyBorder="1" applyAlignment="1">
      <alignment horizontal="center" vertical="top"/>
    </xf>
    <xf numFmtId="170" fontId="7" fillId="0" borderId="0" xfId="1" applyNumberFormat="1" applyFont="1" applyFill="1" applyBorder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shrinkToFit="1"/>
    </xf>
    <xf numFmtId="1" fontId="7" fillId="0" borderId="0" xfId="0" applyNumberFormat="1" applyFont="1" applyAlignment="1">
      <alignment horizontal="center" vertical="top"/>
    </xf>
    <xf numFmtId="170" fontId="7" fillId="0" borderId="0" xfId="0" applyNumberFormat="1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Border="1" applyAlignment="1">
      <alignment vertical="top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44" fontId="0" fillId="0" borderId="0" xfId="0" applyNumberFormat="1"/>
    <xf numFmtId="0" fontId="2" fillId="0" borderId="0" xfId="1" applyFill="1" applyBorder="1" applyAlignment="1">
      <alignment vertical="top"/>
    </xf>
    <xf numFmtId="168" fontId="7" fillId="0" borderId="0" xfId="1" applyNumberFormat="1" applyFont="1" applyFill="1" applyBorder="1" applyAlignment="1">
      <alignment horizontal="center" vertical="top"/>
    </xf>
    <xf numFmtId="168" fontId="7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1" fillId="17" borderId="0" xfId="0" applyFont="1" applyFill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17" borderId="0" xfId="0" applyFont="1" applyFill="1" applyAlignment="1">
      <alignment horizontal="left" vertical="center" wrapText="1" indent="1"/>
    </xf>
    <xf numFmtId="9" fontId="11" fillId="23" borderId="0" xfId="0" applyNumberFormat="1" applyFont="1" applyFill="1" applyAlignment="1">
      <alignment horizontal="right" vertical="center" wrapText="1" indent="1"/>
    </xf>
    <xf numFmtId="0" fontId="11" fillId="23" borderId="0" xfId="0" applyFont="1" applyFill="1" applyAlignment="1">
      <alignment horizontal="right" vertical="center" wrapText="1" indent="1"/>
    </xf>
    <xf numFmtId="0" fontId="0" fillId="18" borderId="0" xfId="0" applyFill="1" applyAlignment="1">
      <alignment horizontal="center" vertical="center" wrapText="1" indent="1"/>
    </xf>
    <xf numFmtId="0" fontId="0" fillId="18" borderId="0" xfId="0" applyFill="1" applyAlignment="1">
      <alignment horizontal="left" vertical="center" wrapText="1" indent="1"/>
    </xf>
    <xf numFmtId="0" fontId="0" fillId="18" borderId="0" xfId="0" applyFill="1" applyAlignment="1">
      <alignment horizontal="right" vertical="center" wrapText="1" indent="1"/>
    </xf>
    <xf numFmtId="0" fontId="0" fillId="25" borderId="0" xfId="0" applyFill="1" applyAlignment="1">
      <alignment horizontal="center" vertical="top"/>
    </xf>
    <xf numFmtId="0" fontId="0" fillId="25" borderId="0" xfId="0" applyFill="1" applyAlignment="1">
      <alignment horizontal="center" vertical="center" wrapText="1"/>
    </xf>
    <xf numFmtId="0" fontId="0" fillId="25" borderId="0" xfId="0" applyFill="1" applyAlignment="1">
      <alignment vertical="top"/>
    </xf>
    <xf numFmtId="9" fontId="0" fillId="0" borderId="0" xfId="0" applyNumberFormat="1"/>
    <xf numFmtId="0" fontId="0" fillId="17" borderId="0" xfId="0" applyFill="1"/>
    <xf numFmtId="0" fontId="7" fillId="0" borderId="0" xfId="0" applyFont="1"/>
    <xf numFmtId="0" fontId="7" fillId="2" borderId="0" xfId="0" applyFont="1" applyFill="1"/>
    <xf numFmtId="9" fontId="7" fillId="0" borderId="0" xfId="0" applyNumberFormat="1" applyFont="1"/>
    <xf numFmtId="0" fontId="7" fillId="26" borderId="0" xfId="0" applyFont="1" applyFill="1"/>
    <xf numFmtId="0" fontId="7" fillId="15" borderId="0" xfId="0" applyFont="1" applyFill="1"/>
    <xf numFmtId="0" fontId="7" fillId="14" borderId="0" xfId="0" applyFont="1" applyFill="1"/>
    <xf numFmtId="0" fontId="14" fillId="0" borderId="33" xfId="0" applyFont="1" applyBorder="1" applyAlignment="1">
      <alignment horizontal="center" vertical="center" wrapText="1" indent="1"/>
    </xf>
    <xf numFmtId="0" fontId="14" fillId="0" borderId="34" xfId="0" applyFont="1" applyBorder="1" applyAlignment="1">
      <alignment horizontal="center" vertical="center" wrapText="1" indent="1"/>
    </xf>
    <xf numFmtId="0" fontId="14" fillId="0" borderId="35" xfId="0" applyFont="1" applyBorder="1" applyAlignment="1">
      <alignment horizontal="center" vertical="center" wrapText="1" indent="1"/>
    </xf>
    <xf numFmtId="0" fontId="14" fillId="0" borderId="32" xfId="0" applyFont="1" applyBorder="1" applyAlignment="1">
      <alignment horizontal="center" vertical="center" wrapText="1" indent="1"/>
    </xf>
    <xf numFmtId="0" fontId="7" fillId="0" borderId="28" xfId="0" applyFont="1" applyBorder="1" applyAlignment="1">
      <alignment horizontal="right" vertical="center" wrapText="1" indent="1"/>
    </xf>
    <xf numFmtId="0" fontId="7" fillId="0" borderId="24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7" fillId="0" borderId="30" xfId="0" applyFont="1" applyBorder="1" applyAlignment="1">
      <alignment horizontal="left" vertical="center" wrapText="1" indent="1"/>
    </xf>
    <xf numFmtId="0" fontId="14" fillId="0" borderId="28" xfId="0" applyFont="1" applyBorder="1" applyAlignment="1">
      <alignment horizontal="left" vertical="center" wrapText="1" indent="2"/>
    </xf>
    <xf numFmtId="0" fontId="14" fillId="0" borderId="0" xfId="0" applyFont="1" applyAlignment="1">
      <alignment horizontal="left" vertical="center" wrapText="1" indent="2"/>
    </xf>
    <xf numFmtId="0" fontId="7" fillId="0" borderId="28" xfId="0" applyFont="1" applyBorder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7" fillId="0" borderId="28" xfId="0" applyFont="1" applyBorder="1" applyAlignment="1">
      <alignment horizontal="left" vertical="center" wrapText="1" indent="1"/>
    </xf>
    <xf numFmtId="9" fontId="7" fillId="20" borderId="28" xfId="0" applyNumberFormat="1" applyFont="1" applyFill="1" applyBorder="1" applyAlignment="1">
      <alignment horizontal="right" vertical="center" wrapText="1" indent="1"/>
    </xf>
    <xf numFmtId="0" fontId="7" fillId="2" borderId="28" xfId="0" applyFont="1" applyFill="1" applyBorder="1" applyAlignment="1">
      <alignment horizontal="right" vertical="center" wrapText="1" indent="1"/>
    </xf>
    <xf numFmtId="0" fontId="7" fillId="0" borderId="31" xfId="0" applyFont="1" applyBorder="1" applyAlignment="1">
      <alignment horizontal="left" vertical="center" wrapText="1" inden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7" fillId="18" borderId="0" xfId="0" applyFont="1" applyFill="1" applyAlignment="1">
      <alignment vertical="center"/>
    </xf>
    <xf numFmtId="0" fontId="7" fillId="0" borderId="19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16" fillId="0" borderId="17" xfId="1" applyFont="1" applyFill="1" applyBorder="1" applyAlignment="1">
      <alignment horizontal="left" vertical="center" indent="1"/>
    </xf>
    <xf numFmtId="0" fontId="7" fillId="21" borderId="17" xfId="0" applyFont="1" applyFill="1" applyBorder="1" applyAlignment="1">
      <alignment horizontal="center" vertical="center"/>
    </xf>
    <xf numFmtId="0" fontId="7" fillId="20" borderId="17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6" fillId="0" borderId="0" xfId="1" applyFont="1" applyFill="1" applyBorder="1" applyAlignment="1">
      <alignment horizontal="left" vertical="center" indent="1"/>
    </xf>
    <xf numFmtId="0" fontId="7" fillId="21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16" fillId="20" borderId="0" xfId="1" applyFont="1" applyFill="1" applyBorder="1" applyAlignment="1">
      <alignment horizontal="center" vertical="center"/>
    </xf>
    <xf numFmtId="0" fontId="16" fillId="20" borderId="14" xfId="1" applyFont="1" applyFill="1" applyBorder="1" applyAlignment="1">
      <alignment horizontal="center" vertical="center"/>
    </xf>
    <xf numFmtId="0" fontId="16" fillId="18" borderId="0" xfId="1" applyFont="1" applyFill="1" applyAlignment="1">
      <alignment vertical="center"/>
    </xf>
    <xf numFmtId="0" fontId="7" fillId="0" borderId="20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16" fillId="0" borderId="12" xfId="1" applyFont="1" applyFill="1" applyBorder="1" applyAlignment="1">
      <alignment horizontal="left" vertical="center" indent="1"/>
    </xf>
    <xf numFmtId="0" fontId="7" fillId="21" borderId="12" xfId="0" applyFont="1" applyFill="1" applyBorder="1" applyAlignment="1">
      <alignment horizontal="center" vertical="center"/>
    </xf>
    <xf numFmtId="0" fontId="7" fillId="20" borderId="12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6" fillId="21" borderId="29" xfId="0" applyFont="1" applyFill="1" applyBorder="1" applyAlignment="1">
      <alignment horizontal="center" vertical="center"/>
    </xf>
    <xf numFmtId="0" fontId="6" fillId="20" borderId="29" xfId="0" applyFont="1" applyFill="1" applyBorder="1" applyAlignment="1">
      <alignment horizontal="center" vertical="center"/>
    </xf>
    <xf numFmtId="0" fontId="7" fillId="18" borderId="0" xfId="0" applyFont="1" applyFill="1" applyAlignment="1">
      <alignment vertical="top"/>
    </xf>
    <xf numFmtId="0" fontId="7" fillId="17" borderId="0" xfId="0" applyFont="1" applyFill="1"/>
    <xf numFmtId="0" fontId="15" fillId="18" borderId="0" xfId="0" applyFont="1" applyFill="1" applyAlignment="1">
      <alignment horizontal="left" vertical="center" indent="1"/>
    </xf>
    <xf numFmtId="0" fontId="7" fillId="18" borderId="0" xfId="0" applyFont="1" applyFill="1" applyAlignment="1">
      <alignment vertical="center" wrapText="1"/>
    </xf>
    <xf numFmtId="0" fontId="7" fillId="21" borderId="21" xfId="0" applyFont="1" applyFill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 wrapText="1" indent="1"/>
    </xf>
    <xf numFmtId="0" fontId="7" fillId="21" borderId="23" xfId="0" applyFont="1" applyFill="1" applyBorder="1" applyAlignment="1">
      <alignment horizontal="left" vertical="center" wrapText="1" indent="1"/>
    </xf>
    <xf numFmtId="0" fontId="7" fillId="19" borderId="23" xfId="0" applyFont="1" applyFill="1" applyBorder="1" applyAlignment="1">
      <alignment horizontal="left" vertical="center" wrapText="1" indent="1"/>
    </xf>
    <xf numFmtId="0" fontId="7" fillId="21" borderId="25" xfId="0" applyFont="1" applyFill="1" applyBorder="1" applyAlignment="1">
      <alignment horizontal="left" vertical="center" wrapText="1" indent="1"/>
    </xf>
    <xf numFmtId="0" fontId="7" fillId="0" borderId="29" xfId="0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7" fillId="17" borderId="0" xfId="0" applyFont="1" applyFill="1" applyAlignment="1">
      <alignment horizontal="left" vertical="center" wrapText="1" indent="1"/>
    </xf>
    <xf numFmtId="0" fontId="7" fillId="23" borderId="0" xfId="0" applyFont="1" applyFill="1" applyAlignment="1">
      <alignment horizontal="left" vertical="center" wrapText="1" indent="1"/>
    </xf>
    <xf numFmtId="9" fontId="7" fillId="0" borderId="0" xfId="0" applyNumberFormat="1" applyFont="1" applyAlignment="1">
      <alignment horizontal="left" vertical="center" wrapText="1" indent="1"/>
    </xf>
    <xf numFmtId="0" fontId="7" fillId="17" borderId="0" xfId="0" applyFont="1" applyFill="1" applyAlignment="1">
      <alignment horizontal="left" vertical="center" wrapText="1" indent="1"/>
    </xf>
    <xf numFmtId="0" fontId="7" fillId="22" borderId="0" xfId="0" applyFont="1" applyFill="1" applyAlignment="1">
      <alignment horizontal="left" vertical="center" wrapText="1" indent="1"/>
    </xf>
    <xf numFmtId="9" fontId="7" fillId="22" borderId="0" xfId="0" applyNumberFormat="1" applyFont="1" applyFill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13" fillId="27" borderId="36" xfId="0" applyFont="1" applyFill="1" applyBorder="1"/>
    <xf numFmtId="0" fontId="13" fillId="27" borderId="37" xfId="0" applyFont="1" applyFill="1" applyBorder="1"/>
    <xf numFmtId="0" fontId="13" fillId="27" borderId="38" xfId="0" applyFont="1" applyFill="1" applyBorder="1"/>
    <xf numFmtId="0" fontId="20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6" fillId="28" borderId="0" xfId="0" applyFont="1" applyFill="1" applyAlignment="1">
      <alignment horizontal="left" vertical="center" wrapText="1" indent="1"/>
    </xf>
    <xf numFmtId="0" fontId="0" fillId="17" borderId="0" xfId="0" applyFill="1" applyAlignment="1">
      <alignment horizontal="left" vertical="center" indent="1"/>
    </xf>
    <xf numFmtId="0" fontId="6" fillId="28" borderId="0" xfId="0" applyFont="1" applyFill="1" applyAlignment="1">
      <alignment horizontal="left" vertical="center" indent="1"/>
    </xf>
    <xf numFmtId="0" fontId="19" fillId="1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1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17" borderId="0" xfId="0" applyFont="1" applyFill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1" fontId="7" fillId="0" borderId="0" xfId="0" applyNumberFormat="1" applyFont="1" applyAlignment="1">
      <alignment horizontal="left" vertical="center" indent="1"/>
    </xf>
    <xf numFmtId="167" fontId="7" fillId="0" borderId="0" xfId="0" applyNumberFormat="1" applyFont="1" applyAlignment="1">
      <alignment horizontal="left" vertical="center" indent="1"/>
    </xf>
    <xf numFmtId="165" fontId="7" fillId="0" borderId="0" xfId="0" applyNumberFormat="1" applyFont="1" applyAlignment="1">
      <alignment horizontal="left" vertical="center" indent="1"/>
    </xf>
    <xf numFmtId="166" fontId="7" fillId="0" borderId="0" xfId="0" applyNumberFormat="1" applyFont="1" applyAlignment="1">
      <alignment horizontal="left" vertical="center" indent="1"/>
    </xf>
    <xf numFmtId="164" fontId="7" fillId="0" borderId="0" xfId="0" applyNumberFormat="1" applyFont="1" applyAlignment="1">
      <alignment horizontal="left" vertical="center" indent="1"/>
    </xf>
    <xf numFmtId="10" fontId="6" fillId="0" borderId="0" xfId="0" applyNumberFormat="1" applyFont="1" applyAlignment="1">
      <alignment horizontal="left" vertical="center" indent="1"/>
    </xf>
    <xf numFmtId="10" fontId="7" fillId="0" borderId="0" xfId="0" applyNumberFormat="1" applyFont="1" applyAlignment="1">
      <alignment horizontal="left" vertical="center" indent="1"/>
    </xf>
    <xf numFmtId="1" fontId="7" fillId="17" borderId="0" xfId="0" applyNumberFormat="1" applyFont="1" applyFill="1" applyAlignment="1">
      <alignment horizontal="left" vertical="center" indent="1"/>
    </xf>
    <xf numFmtId="164" fontId="7" fillId="17" borderId="0" xfId="0" applyNumberFormat="1" applyFont="1" applyFill="1" applyAlignment="1">
      <alignment horizontal="left" vertical="center" indent="1"/>
    </xf>
    <xf numFmtId="44" fontId="7" fillId="0" borderId="0" xfId="0" applyNumberFormat="1" applyFont="1" applyAlignment="1">
      <alignment horizontal="left" vertical="center" indent="1"/>
    </xf>
    <xf numFmtId="44" fontId="7" fillId="0" borderId="0" xfId="0" applyNumberFormat="1" applyFont="1" applyAlignment="1">
      <alignment horizontal="left" vertical="center" wrapText="1" indent="1"/>
    </xf>
    <xf numFmtId="171" fontId="7" fillId="0" borderId="0" xfId="0" applyNumberFormat="1" applyFont="1" applyAlignment="1">
      <alignment horizontal="left" vertical="center" indent="1" shrinkToFit="1"/>
    </xf>
    <xf numFmtId="0" fontId="6" fillId="0" borderId="0" xfId="0" applyFont="1" applyAlignment="1">
      <alignment horizontal="left" vertical="center" wrapText="1" indent="1"/>
    </xf>
    <xf numFmtId="0" fontId="19" fillId="29" borderId="0" xfId="0" applyFont="1" applyFill="1" applyAlignment="1">
      <alignment horizontal="center" vertical="center" wrapText="1"/>
    </xf>
    <xf numFmtId="0" fontId="13" fillId="2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30" borderId="0" xfId="0" applyFont="1" applyFill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71" fontId="7" fillId="0" borderId="0" xfId="0" applyNumberFormat="1" applyFont="1" applyAlignment="1">
      <alignment horizontal="left" vertical="center" indent="1"/>
    </xf>
    <xf numFmtId="171" fontId="7" fillId="0" borderId="0" xfId="0" applyNumberFormat="1" applyFont="1" applyAlignment="1">
      <alignment horizontal="left" vertical="center" wrapText="1" indent="1"/>
    </xf>
    <xf numFmtId="0" fontId="7" fillId="31" borderId="0" xfId="0" applyFont="1" applyFill="1" applyAlignment="1">
      <alignment horizontal="left" vertical="center" indent="2"/>
    </xf>
    <xf numFmtId="0" fontId="7" fillId="31" borderId="0" xfId="0" applyFont="1" applyFill="1" applyAlignment="1">
      <alignment horizontal="left" vertical="center" indent="1"/>
    </xf>
    <xf numFmtId="171" fontId="7" fillId="31" borderId="0" xfId="0" applyNumberFormat="1" applyFont="1" applyFill="1" applyAlignment="1">
      <alignment horizontal="left" vertical="center" indent="1"/>
    </xf>
    <xf numFmtId="0" fontId="23" fillId="0" borderId="0" xfId="0" applyFont="1" applyAlignment="1">
      <alignment horizontal="left" vertical="center" wrapText="1" indent="1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7" fillId="31" borderId="0" xfId="0" applyFont="1" applyFill="1" applyAlignment="1">
      <alignment horizontal="left" vertical="center" wrapText="1" indent="1"/>
    </xf>
    <xf numFmtId="0" fontId="7" fillId="31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7" fillId="26" borderId="0" xfId="0" applyFont="1" applyFill="1" applyAlignment="1">
      <alignment horizontal="left" vertical="center" wrapText="1"/>
    </xf>
    <xf numFmtId="0" fontId="21" fillId="26" borderId="0" xfId="0" applyFont="1" applyFill="1" applyAlignment="1">
      <alignment horizontal="left" vertical="center" wrapText="1" indent="1"/>
    </xf>
    <xf numFmtId="0" fontId="7" fillId="26" borderId="0" xfId="0" applyFont="1" applyFill="1" applyAlignment="1">
      <alignment horizontal="left" vertical="center" wrapText="1" indent="1"/>
    </xf>
    <xf numFmtId="171" fontId="7" fillId="26" borderId="0" xfId="0" applyNumberFormat="1" applyFont="1" applyFill="1" applyAlignment="1">
      <alignment horizontal="left" vertical="center" indent="1"/>
    </xf>
    <xf numFmtId="0" fontId="7" fillId="26" borderId="0" xfId="0" applyFont="1" applyFill="1" applyAlignment="1">
      <alignment horizontal="left" vertical="center" indent="1"/>
    </xf>
    <xf numFmtId="172" fontId="7" fillId="0" borderId="0" xfId="0" applyNumberFormat="1" applyFont="1" applyAlignment="1">
      <alignment horizontal="left" vertical="center" wrapText="1" indent="1"/>
    </xf>
    <xf numFmtId="1" fontId="7" fillId="24" borderId="0" xfId="0" applyNumberFormat="1" applyFont="1" applyFill="1" applyAlignment="1">
      <alignment horizontal="left" vertical="center" indent="1"/>
    </xf>
    <xf numFmtId="0" fontId="7" fillId="24" borderId="0" xfId="0" applyFont="1" applyFill="1" applyAlignment="1">
      <alignment horizontal="left" vertical="center" indent="1"/>
    </xf>
    <xf numFmtId="165" fontId="7" fillId="24" borderId="0" xfId="0" applyNumberFormat="1" applyFont="1" applyFill="1" applyAlignment="1">
      <alignment horizontal="left" vertical="center" indent="1"/>
    </xf>
    <xf numFmtId="2" fontId="7" fillId="24" borderId="0" xfId="0" applyNumberFormat="1" applyFont="1" applyFill="1" applyAlignment="1">
      <alignment horizontal="left" vertical="center" indent="1"/>
    </xf>
    <xf numFmtId="0" fontId="13" fillId="32" borderId="0" xfId="0" applyFont="1" applyFill="1" applyAlignment="1">
      <alignment horizontal="center" vertical="center" wrapText="1"/>
    </xf>
    <xf numFmtId="49" fontId="7" fillId="15" borderId="0" xfId="0" applyNumberFormat="1" applyFont="1" applyFill="1" applyAlignment="1">
      <alignment horizontal="center" vertical="center"/>
    </xf>
    <xf numFmtId="0" fontId="1" fillId="15" borderId="0" xfId="0" applyFont="1" applyFill="1"/>
    <xf numFmtId="0" fontId="1" fillId="17" borderId="0" xfId="0" applyFont="1" applyFill="1"/>
    <xf numFmtId="0" fontId="6" fillId="17" borderId="0" xfId="0" applyFont="1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quotePrefix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1" fontId="6" fillId="0" borderId="43" xfId="0" applyNumberFormat="1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 vertical="center" wrapText="1" indent="1"/>
    </xf>
    <xf numFmtId="0" fontId="25" fillId="2" borderId="46" xfId="0" applyFont="1" applyFill="1" applyBorder="1" applyAlignment="1">
      <alignment horizontal="centerContinuous" vertical="center"/>
    </xf>
    <xf numFmtId="0" fontId="25" fillId="2" borderId="45" xfId="0" applyFont="1" applyFill="1" applyBorder="1" applyAlignment="1">
      <alignment horizontal="centerContinuous" vertical="center"/>
    </xf>
    <xf numFmtId="0" fontId="25" fillId="2" borderId="44" xfId="0" applyFont="1" applyFill="1" applyBorder="1" applyAlignment="1">
      <alignment horizontal="centerContinuous" vertical="center"/>
    </xf>
    <xf numFmtId="0" fontId="25" fillId="15" borderId="46" xfId="0" applyFont="1" applyFill="1" applyBorder="1" applyAlignment="1">
      <alignment horizontal="centerContinuous" vertical="center"/>
    </xf>
    <xf numFmtId="0" fontId="0" fillId="15" borderId="45" xfId="0" applyFill="1" applyBorder="1" applyAlignment="1">
      <alignment horizontal="centerContinuous" vertical="center"/>
    </xf>
    <xf numFmtId="0" fontId="0" fillId="15" borderId="44" xfId="0" applyFill="1" applyBorder="1" applyAlignment="1">
      <alignment horizontal="centerContinuous" vertical="center"/>
    </xf>
    <xf numFmtId="0" fontId="1" fillId="15" borderId="43" xfId="0" applyFont="1" applyFill="1" applyBorder="1"/>
    <xf numFmtId="0" fontId="1" fillId="15" borderId="42" xfId="0" applyFont="1" applyFill="1" applyBorder="1"/>
    <xf numFmtId="1" fontId="6" fillId="2" borderId="43" xfId="0" applyNumberFormat="1" applyFont="1" applyFill="1" applyBorder="1" applyAlignment="1">
      <alignment horizontal="left" vertical="center" indent="1"/>
    </xf>
    <xf numFmtId="0" fontId="1" fillId="2" borderId="0" xfId="0" applyFont="1" applyFill="1"/>
    <xf numFmtId="0" fontId="1" fillId="2" borderId="42" xfId="0" applyFont="1" applyFill="1" applyBorder="1"/>
    <xf numFmtId="0" fontId="0" fillId="0" borderId="0" xfId="0" applyAlignment="1">
      <alignment horizontal="center" vertical="top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59">
    <dxf>
      <font>
        <color rgb="FFFF0000"/>
      </font>
      <fill>
        <patternFill>
          <bgColor rgb="FFFFFF00"/>
        </patternFill>
      </fill>
    </dxf>
    <dxf>
      <font>
        <color theme="0" tint="-0.14996795556505021"/>
      </font>
    </dxf>
    <dxf>
      <font>
        <b/>
        <i val="0"/>
        <color auto="1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mm/dd/yyyy;@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mm/dd/yyyy;@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hh:mm\.ss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yyyy\.mm\.dd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3" formatCode="0%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relativeIndent="1" justifyLastLine="0" shrinkToFit="0" readingOrder="0"/>
      <border outline="0">
        <left style="thin">
          <color rgb="FF505050"/>
        </left>
        <right style="thin">
          <color rgb="FF505050"/>
        </right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wrapText="1" relativeIndent="1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right" vertical="center" textRotation="0" wrapText="1" relativeIndent="1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/>
      </fill>
      <alignment horizontal="left" vertical="center" wrapText="1" relativeIndent="1"/>
    </dxf>
    <dxf>
      <border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wrapText="1" relativeInden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indent="1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808080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wrapText="1" relativeInden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59303</xdr:colOff>
          <xdr:row>2</xdr:row>
          <xdr:rowOff>39618</xdr:rowOff>
        </xdr:from>
        <xdr:to>
          <xdr:col>1</xdr:col>
          <xdr:colOff>2185320</xdr:colOff>
          <xdr:row>11</xdr:row>
          <xdr:rowOff>252482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GrpSpPr/>
          </xdr:nvGrpSpPr>
          <xdr:grpSpPr>
            <a:xfrm>
              <a:off x="2179651" y="662470"/>
              <a:ext cx="2126017" cy="3015699"/>
              <a:chOff x="11902109" y="3156915"/>
              <a:chExt cx="2145196" cy="3147394"/>
            </a:xfrm>
            <a:solidFill>
              <a:schemeClr val="bg1">
                <a:lumMod val="85000"/>
                <a:alpha val="50000"/>
              </a:schemeClr>
            </a:solidFill>
          </xdr:grpSpPr>
          <xdr:sp macro="" textlink="">
            <xdr:nvSpPr>
              <xdr:cNvPr id="4107" name="CheckBox1" hidden="1">
                <a:extLst>
                  <a:ext uri="{63B3BB69-23CF-44E3-9099-C40C66FF867C}">
                    <a14:compatExt spid="_x0000_s4107"/>
                  </a:ext>
                  <a:ext uri="{FF2B5EF4-FFF2-40B4-BE49-F238E27FC236}">
                    <a16:creationId xmlns:a16="http://schemas.microsoft.com/office/drawing/2014/main" id="{00000000-0008-0000-0600-00000B100000}"/>
                  </a:ext>
                </a:extLst>
              </xdr:cNvPr>
              <xdr:cNvSpPr/>
            </xdr:nvSpPr>
            <xdr:spPr bwMode="auto">
              <a:xfrm>
                <a:off x="11902109" y="3156915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8" name="Demo" hidden="1">
                <a:extLst>
                  <a:ext uri="{63B3BB69-23CF-44E3-9099-C40C66FF867C}">
                    <a14:compatExt spid="_x0000_s4108"/>
                  </a:ext>
                  <a:ext uri="{FF2B5EF4-FFF2-40B4-BE49-F238E27FC236}">
                    <a16:creationId xmlns:a16="http://schemas.microsoft.com/office/drawing/2014/main" id="{00000000-0008-0000-0600-00000C100000}"/>
                  </a:ext>
                </a:extLst>
              </xdr:cNvPr>
              <xdr:cNvSpPr/>
            </xdr:nvSpPr>
            <xdr:spPr bwMode="auto">
              <a:xfrm>
                <a:off x="11902109" y="3471655"/>
                <a:ext cx="2145196" cy="31474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9" name="Grading" hidden="1">
                <a:extLst>
                  <a:ext uri="{63B3BB69-23CF-44E3-9099-C40C66FF867C}">
                    <a14:compatExt spid="_x0000_s4109"/>
                  </a:ext>
                  <a:ext uri="{FF2B5EF4-FFF2-40B4-BE49-F238E27FC236}">
                    <a16:creationId xmlns:a16="http://schemas.microsoft.com/office/drawing/2014/main" id="{00000000-0008-0000-0600-00000D100000}"/>
                  </a:ext>
                </a:extLst>
              </xdr:cNvPr>
              <xdr:cNvSpPr/>
            </xdr:nvSpPr>
            <xdr:spPr bwMode="auto">
              <a:xfrm>
                <a:off x="11902109" y="3786395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0" name="Pool" hidden="1">
                <a:extLst>
                  <a:ext uri="{63B3BB69-23CF-44E3-9099-C40C66FF867C}">
                    <a14:compatExt spid="_x0000_s4110"/>
                  </a:ext>
                  <a:ext uri="{FF2B5EF4-FFF2-40B4-BE49-F238E27FC236}">
                    <a16:creationId xmlns:a16="http://schemas.microsoft.com/office/drawing/2014/main" id="{00000000-0008-0000-0600-00000E100000}"/>
                  </a:ext>
                </a:extLst>
              </xdr:cNvPr>
              <xdr:cNvSpPr/>
            </xdr:nvSpPr>
            <xdr:spPr bwMode="auto">
              <a:xfrm>
                <a:off x="11902109" y="4101134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1" name="Elc" hidden="1">
                <a:extLst>
                  <a:ext uri="{63B3BB69-23CF-44E3-9099-C40C66FF867C}">
                    <a14:compatExt spid="_x0000_s4111"/>
                  </a:ext>
                  <a:ext uri="{FF2B5EF4-FFF2-40B4-BE49-F238E27FC236}">
                    <a16:creationId xmlns:a16="http://schemas.microsoft.com/office/drawing/2014/main" id="{00000000-0008-0000-0600-00000F100000}"/>
                  </a:ext>
                </a:extLst>
              </xdr:cNvPr>
              <xdr:cNvSpPr/>
            </xdr:nvSpPr>
            <xdr:spPr bwMode="auto">
              <a:xfrm>
                <a:off x="11902109" y="4415873"/>
                <a:ext cx="2145196" cy="3143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2" name="Mch" hidden="1">
                <a:extLst>
                  <a:ext uri="{63B3BB69-23CF-44E3-9099-C40C66FF867C}">
                    <a14:compatExt spid="_x0000_s4112"/>
                  </a:ext>
                  <a:ext uri="{FF2B5EF4-FFF2-40B4-BE49-F238E27FC236}">
                    <a16:creationId xmlns:a16="http://schemas.microsoft.com/office/drawing/2014/main" id="{00000000-0008-0000-0600-000010100000}"/>
                  </a:ext>
                </a:extLst>
              </xdr:cNvPr>
              <xdr:cNvSpPr/>
            </xdr:nvSpPr>
            <xdr:spPr bwMode="auto">
              <a:xfrm>
                <a:off x="11902109" y="4730611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3" name="Plb" hidden="1">
                <a:extLst>
                  <a:ext uri="{63B3BB69-23CF-44E3-9099-C40C66FF867C}">
                    <a14:compatExt spid="_x0000_s4113"/>
                  </a:ext>
                  <a:ext uri="{FF2B5EF4-FFF2-40B4-BE49-F238E27FC236}">
                    <a16:creationId xmlns:a16="http://schemas.microsoft.com/office/drawing/2014/main" id="{00000000-0008-0000-0600-000011100000}"/>
                  </a:ext>
                </a:extLst>
              </xdr:cNvPr>
              <xdr:cNvSpPr/>
            </xdr:nvSpPr>
            <xdr:spPr bwMode="auto">
              <a:xfrm>
                <a:off x="11902109" y="5045351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4" name="Dwelling" hidden="1">
                <a:extLst>
                  <a:ext uri="{63B3BB69-23CF-44E3-9099-C40C66FF867C}">
                    <a14:compatExt spid="_x0000_s4114"/>
                  </a:ext>
                  <a:ext uri="{FF2B5EF4-FFF2-40B4-BE49-F238E27FC236}">
                    <a16:creationId xmlns:a16="http://schemas.microsoft.com/office/drawing/2014/main" id="{00000000-0008-0000-0600-000012100000}"/>
                  </a:ext>
                </a:extLst>
              </xdr:cNvPr>
              <xdr:cNvSpPr/>
            </xdr:nvSpPr>
            <xdr:spPr bwMode="auto">
              <a:xfrm>
                <a:off x="11902109" y="5360090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5" name="Commercial" hidden="1">
                <a:extLst>
                  <a:ext uri="{63B3BB69-23CF-44E3-9099-C40C66FF867C}">
                    <a14:compatExt spid="_x0000_s4115"/>
                  </a:ext>
                  <a:ext uri="{FF2B5EF4-FFF2-40B4-BE49-F238E27FC236}">
                    <a16:creationId xmlns:a16="http://schemas.microsoft.com/office/drawing/2014/main" id="{00000000-0008-0000-0600-000013100000}"/>
                  </a:ext>
                </a:extLst>
              </xdr:cNvPr>
              <xdr:cNvSpPr/>
            </xdr:nvSpPr>
            <xdr:spPr bwMode="auto">
              <a:xfrm>
                <a:off x="11902109" y="5674829"/>
                <a:ext cx="2145196" cy="314739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16" name="Accessory" hidden="1">
                <a:extLst>
                  <a:ext uri="{63B3BB69-23CF-44E3-9099-C40C66FF867C}">
                    <a14:compatExt spid="_x0000_s4116"/>
                  </a:ext>
                  <a:ext uri="{FF2B5EF4-FFF2-40B4-BE49-F238E27FC236}">
                    <a16:creationId xmlns:a16="http://schemas.microsoft.com/office/drawing/2014/main" id="{00000000-0008-0000-0600-000014100000}"/>
                  </a:ext>
                </a:extLst>
              </xdr:cNvPr>
              <xdr:cNvSpPr/>
            </xdr:nvSpPr>
            <xdr:spPr bwMode="auto">
              <a:xfrm>
                <a:off x="11902109" y="5989569"/>
                <a:ext cx="2145196" cy="31474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30480</xdr:rowOff>
        </xdr:from>
        <xdr:to>
          <xdr:col>2</xdr:col>
          <xdr:colOff>617220</xdr:colOff>
          <xdr:row>39</xdr:row>
          <xdr:rowOff>137160</xdr:rowOff>
        </xdr:to>
        <xdr:sp macro="" textlink="">
          <xdr:nvSpPr>
            <xdr:cNvPr id="1033" name="UnhideColumns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9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30480</xdr:rowOff>
        </xdr:from>
        <xdr:to>
          <xdr:col>2</xdr:col>
          <xdr:colOff>617220</xdr:colOff>
          <xdr:row>42</xdr:row>
          <xdr:rowOff>137160</xdr:rowOff>
        </xdr:to>
        <xdr:sp macro="" textlink="">
          <xdr:nvSpPr>
            <xdr:cNvPr id="1035" name="CommandButton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9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DB71DB-C5A1-49B9-96C6-594F4116F7D0}" name="Table512" displayName="Table512" ref="A1:H19" totalsRowShown="0" headerRowDxfId="258" dataDxfId="257" tableBorderDxfId="256">
  <autoFilter ref="A1:H19" xr:uid="{95A465D7-6690-4BED-93E0-B798B745F82C}"/>
  <tableColumns count="8">
    <tableColumn id="8" xr3:uid="{38796A96-3C5E-460C-8EC3-8388EBA271F2}" name="Table" dataDxfId="255"/>
    <tableColumn id="1" xr3:uid="{8722EDBD-C3EB-42C0-A8BF-79CA8F66A3F2}" name="Data Description" dataDxfId="254"/>
    <tableColumn id="10" xr3:uid="{5F72F8E8-B59F-4A54-8CE5-D9D034FEA398}" name="Individual Record Template" dataDxfId="253"/>
    <tableColumn id="2" xr3:uid="{C4D6C99D-915E-4278-8DC7-A348D73B4B80}" name="Database / List" dataDxfId="252"/>
    <tableColumn id="3" xr3:uid="{1B643A3C-07E7-492C-B76F-981A111A967C}" name="Holds/Alerts" dataDxfId="251"/>
    <tableColumn id="4" xr3:uid="{A03A66E8-09CA-4FE9-9CB8-A199001B18F5}" name="Past" dataDxfId="250"/>
    <tableColumn id="5" xr3:uid="{28EEB8D3-3F96-4EAB-AD73-BC9BF0EC1390}" name="Clariti" dataDxfId="249"/>
    <tableColumn id="13" xr3:uid="{605951C4-261B-482B-9F04-69C90BB66436}" name="Future" dataDxfId="2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A465D7-6690-4BED-93E0-B798B745F82C}" name="Table5" displayName="Table5" ref="A1:G20" totalsRowShown="0" headerRowDxfId="247" dataDxfId="246" tableBorderDxfId="245">
  <autoFilter ref="A1:G20" xr:uid="{95A465D7-6690-4BED-93E0-B798B745F82C}"/>
  <tableColumns count="7">
    <tableColumn id="8" xr3:uid="{0E82E072-D9C6-4613-9BCE-8F9E1586A467}" name="Template" dataDxfId="244"/>
    <tableColumn id="9" xr3:uid="{D5848FE3-B2F1-49E0-8D59-D90E2FA9A4C6}" name="Template Type" dataDxfId="243"/>
    <tableColumn id="1" xr3:uid="{2376DE67-EDC3-49AB-BE65-CE64C2DD94C4}" name="Template Description" dataDxfId="242"/>
    <tableColumn id="14" xr3:uid="{8BFCCD47-B04D-4EF5-AD6B-3C935808B641}" name="Prerequisites" dataDxfId="241"/>
    <tableColumn id="15" xr3:uid="{2F87F393-73C7-4CB4-9AFB-0E71AF317D6E}" name="Holds" dataDxfId="240"/>
    <tableColumn id="12" xr3:uid="{70629783-7E33-4627-BB1E-4F9D936CE33F}" name="Online" dataDxfId="239"/>
    <tableColumn id="13" xr3:uid="{2817D400-46AB-41A8-9829-4D3CCAFFDCE4}" name="OTC" dataDxfId="2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6A84C-04BD-4F80-8C15-FEECF2DB5070}" name="Table3" displayName="Table3" ref="A1:C35" totalsRowShown="0" headerRowDxfId="237" dataDxfId="236" tableBorderDxfId="235">
  <autoFilter ref="A1:C35" xr:uid="{81A6A84C-04BD-4F80-8C15-FEECF2DB5070}"/>
  <tableColumns count="3">
    <tableColumn id="1" xr3:uid="{F062E5EC-B1C2-4734-834C-F3F62D7C4322}" name="Object" dataDxfId="234"/>
    <tableColumn id="3" xr3:uid="{082353A6-D3D8-4F90-9D1D-5643554DB226}" name="Status" dataDxfId="233"/>
    <tableColumn id="2" xr3:uid="{B9D047C7-35F4-4545-8DC0-50FB5D5B41E2}" name="Description" dataDxfId="2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371DC-98EC-FA42-BC8F-93210C42A6D7}" name="Table1" displayName="Table1" ref="A1:B39" totalsRowShown="0" headerRowDxfId="231" dataDxfId="230">
  <autoFilter ref="A1:B39" xr:uid="{D73371DC-98EC-FA42-BC8F-93210C42A6D7}"/>
  <sortState xmlns:xlrd2="http://schemas.microsoft.com/office/spreadsheetml/2017/richdata2" ref="A2:B39">
    <sortCondition ref="A1:A39"/>
  </sortState>
  <tableColumns count="2">
    <tableColumn id="1" xr3:uid="{EAB7A5E5-9F6F-DE4B-A079-1811CA08A417}" name="Category" dataDxfId="229"/>
    <tableColumn id="2" xr3:uid="{F8C41A38-7810-4640-80D5-5A3B128C3FC9}" name="Document" dataDxfId="2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5551A8-3879-4A12-BAF3-B55A0880278A}" name="Table8" displayName="Table8" ref="A1:Q26" totalsRowShown="0" headerRowDxfId="227" dataDxfId="226" tableBorderDxfId="225">
  <autoFilter ref="A1:Q26" xr:uid="{61BCEE3D-86C7-425D-AE82-05540C2DD1F4}"/>
  <sortState xmlns:xlrd2="http://schemas.microsoft.com/office/spreadsheetml/2017/richdata2" ref="A2:Q26">
    <sortCondition ref="A1:A26"/>
  </sortState>
  <tableColumns count="17">
    <tableColumn id="1" xr3:uid="{1AC4561E-D8F9-49F5-9E8B-C6AF27BA26DA}" name="Group" dataDxfId="224"/>
    <tableColumn id="2" xr3:uid="{28E39473-880D-4265-B53F-78184661933E}" name="First Name" dataDxfId="223"/>
    <tableColumn id="3" xr3:uid="{92AF5E32-549B-4E70-B926-CBCA51893A91}" name="MI" dataDxfId="222"/>
    <tableColumn id="4" xr3:uid="{69BE3E02-4ED5-4D6C-AE26-FA1C7477496B}" name="Last Name" dataDxfId="221"/>
    <tableColumn id="5" xr3:uid="{CC90D37B-E55D-4D9D-9C94-78DDF0DF4F5C}" name="Nick Name" dataDxfId="220">
      <calculatedColumnFormula>CONCATENATE(LEFT(B2,1),C2,LEFT(D2,1))</calculatedColumnFormula>
    </tableColumn>
    <tableColumn id="6" xr3:uid="{827F4F33-C1BC-4E7E-A654-D9D95DA762F2}" name="Email" dataDxfId="219" dataCellStyle="Hyperlink"/>
    <tableColumn id="7" xr3:uid="{6D3C9516-A164-4859-AA78-4F32955BDC8D}" name="Read Only" dataDxfId="218"/>
    <tableColumn id="18" xr3:uid="{1BF8A7CD-81A4-4321-8457-D132D443EF20}" name="Rvw" dataDxfId="217"/>
    <tableColumn id="19" xr3:uid="{4CB51101-547A-4AF3-AB53-411F4D4C5DFB}" name="Insp" dataDxfId="216"/>
    <tableColumn id="8" xr3:uid="{A931B87F-9801-4CA9-B2FB-7FBBB97A8408}" name="Admin" dataDxfId="215"/>
    <tableColumn id="9" xr3:uid="{0B2CFA71-C9BE-4A23-B5CD-BB8DB3C537C5}" name="Fisc" dataDxfId="214"/>
    <tableColumn id="12" xr3:uid="{A7191EEE-B12E-4EFE-A10F-4763F9C3E8DC}" name="Bldg" dataDxfId="213"/>
    <tableColumn id="13" xr3:uid="{80568810-6746-4B8D-9CB1-F74BBB41DC91}" name="EH" dataDxfId="212"/>
    <tableColumn id="14" xr3:uid="{A2CD3AA5-E66E-4DA5-B891-4D327C95E911}" name="Fire" dataDxfId="211"/>
    <tableColumn id="15" xr3:uid="{590C19C8-7162-46C7-A6DC-956D728CE0E8}" name="IWM" dataDxfId="210"/>
    <tableColumn id="16" xr3:uid="{7C979061-366E-4FA9-9AF3-E6749B3109F6}" name="Plng" dataDxfId="209"/>
    <tableColumn id="17" xr3:uid="{C8058A75-9CC0-4ACD-AD79-40F60FB24EE2}" name="PW" dataDxfId="20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005293-8526-42D5-94D5-9B940997C4AB}" name="Table9" displayName="Table9" ref="A28:A39" totalsRowShown="0" headerRowDxfId="207" dataDxfId="206" tableBorderDxfId="205">
  <autoFilter ref="A28:A39" xr:uid="{BC005293-8526-42D5-94D5-9B940997C4AB}"/>
  <tableColumns count="1">
    <tableColumn id="1" xr3:uid="{F1747933-0EC6-4BCD-90A6-B892CF443E19}" name="User Groups" dataDxfId="20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69D975-796F-4999-B6F1-A3CE8D026E92}" name="Table7" displayName="Table7" ref="A1:D28" totalsRowShown="0" headerRowDxfId="203" dataDxfId="201" headerRowBorderDxfId="202" tableBorderDxfId="200">
  <autoFilter ref="A1:D28" xr:uid="{2F69D975-796F-4999-B6F1-A3CE8D026E92}"/>
  <tableColumns count="4">
    <tableColumn id="4" xr3:uid="{34E0E3E8-DE45-4582-BBD4-ACA6D69FC768}" name="Field" dataDxfId="199"/>
    <tableColumn id="2" xr3:uid="{A8D85A06-84EE-42D4-A60F-771BDE4487FE}" name="Related_x000a_(click to see detailed info)" dataDxfId="198"/>
    <tableColumn id="5" xr3:uid="{F1A4DB50-9421-45E0-9980-39C37DE690E8}" name="Button" dataDxfId="197"/>
    <tableColumn id="3" xr3:uid="{2E7347B6-F69F-42D5-8C25-06042442CF54}" name="Application Condition" dataDxfId="1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32C481-399A-B544-8C71-501E6901C98B}" name="Dwelling" displayName="Dwelling" ref="B59:G82" totalsRowShown="0" headerRowDxfId="195" dataDxfId="194">
  <autoFilter ref="B59:G82" xr:uid="{B032C481-399A-B544-8C71-501E6901C98B}"/>
  <tableColumns count="6">
    <tableColumn id="1" xr3:uid="{F192F2A5-34EB-D54D-9A6E-A2BA5522C2DE}" name="Category" dataDxfId="193"/>
    <tableColumn id="2" xr3:uid="{D97D92FC-C576-8A42-BDF8-5DE4828F6A8F}" name="Type" dataDxfId="192"/>
    <tableColumn id="5" xr3:uid="{0487DB84-7938-4186-AB4E-EA1BBF6AF3E2}" name="Sub-Type"/>
    <tableColumn id="6" xr3:uid="{36B28D68-8DF3-4B1E-9E8D-6DCDE9FDA066}" name="Description"/>
    <tableColumn id="3" xr3:uid="{69273F23-69BC-0947-A14B-97015131A4D5}" name="Notes" dataDxfId="191"/>
    <tableColumn id="4" xr3:uid="{46719973-1111-9943-8A46-B221744AE1A2}" name="Column2" dataDxfId="19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AB9690-9D1B-6947-A1E4-A61E326FFBE4}" name="Demolition" displayName="Demolition" ref="B52:G57" totalsRowShown="0" headerRowDxfId="189" dataDxfId="188">
  <autoFilter ref="B52:G57" xr:uid="{71AB9690-9D1B-6947-A1E4-A61E326FFBE4}"/>
  <tableColumns count="6">
    <tableColumn id="1" xr3:uid="{A5575516-F7AD-BA44-8329-358FAAC5DC7D}" name="Category" dataDxfId="187"/>
    <tableColumn id="2" xr3:uid="{D895390F-7F22-BC49-9AD3-0D6D7D86452E}" name="Type" dataDxfId="186"/>
    <tableColumn id="5" xr3:uid="{2C12FB9F-3361-4818-B446-8E52E12EEBCF}" name="Sub-Type"/>
    <tableColumn id="6" xr3:uid="{104B505C-0DDB-43DC-AD82-96A73C300A65}" name="Description"/>
    <tableColumn id="3" xr3:uid="{6B4799A4-35D5-E049-B70D-D26C13CF0213}" name="Notes" dataDxfId="185"/>
    <tableColumn id="4" xr3:uid="{AEAEB1BE-478D-6747-8890-2E15CBE4C71F}" name="Column2" dataDxfId="1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B5349C-BEBD-9342-A7A1-D4B31B3169D2}" name="Commercial" displayName="Commercial" ref="B43:G50" totalsRowShown="0" headerRowDxfId="183" dataDxfId="182">
  <autoFilter ref="B43:G50" xr:uid="{CFB5349C-BEBD-9342-A7A1-D4B31B3169D2}"/>
  <tableColumns count="6">
    <tableColumn id="1" xr3:uid="{CD32CE02-840C-5B4F-A894-27288CA81BD1}" name="Category" dataDxfId="181"/>
    <tableColumn id="2" xr3:uid="{7865227C-AA40-E449-A2B4-EAB7D9AE00E3}" name="Type" dataDxfId="180"/>
    <tableColumn id="5" xr3:uid="{3BDC0579-CD75-435A-B1B3-5E783ED3DC4B}" name="Sub-Type"/>
    <tableColumn id="6" xr3:uid="{73793024-E52D-4464-B819-123AEFF25F99}" name="Description"/>
    <tableColumn id="3" xr3:uid="{BCE8A797-7AF4-2443-A651-442F29AAE8B2}" name="Notes" dataDxfId="179"/>
    <tableColumn id="4" xr3:uid="{FD564E72-443F-4943-BBFF-FFAB6FEC88C7}" name="Column2" dataDxfId="17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46163D-708C-A649-89F5-C12AFCB26F16}" name="Accessory" displayName="Accessory" ref="B15:G30" totalsRowShown="0" headerRowDxfId="177" dataDxfId="176">
  <autoFilter ref="B15:G30" xr:uid="{D846163D-708C-A649-89F5-C12AFCB26F16}"/>
  <tableColumns count="6">
    <tableColumn id="1" xr3:uid="{7DFF7E78-D214-D340-9D05-86D386FCE11B}" name="Category" dataDxfId="175"/>
    <tableColumn id="2" xr3:uid="{38487F4E-F30E-3C44-A83E-73656D9863A6}" name="Type" dataDxfId="174"/>
    <tableColumn id="5" xr3:uid="{848BFF89-BCA7-4B31-87C6-15103F7D6CB4}" name="Sub-Type"/>
    <tableColumn id="6" xr3:uid="{28B2EB8C-0545-4358-AD0E-0A2E3B64E3A8}" name="Description"/>
    <tableColumn id="3" xr3:uid="{CEC0B5D2-C3B4-8F43-97FB-B098C545BB80}" name="Notes" dataDxfId="173"/>
    <tableColumn id="4" xr3:uid="{B4960F13-4E56-E24D-8D48-62233137BACC}" name="Column2" dataDxfId="1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E3003B-4144-2A4E-AC99-A9719EA25B49}" name="Electrical" displayName="Electrical" ref="B85:G103" totalsRowShown="0" headerRowDxfId="168" dataDxfId="167">
  <autoFilter ref="B85:G103" xr:uid="{E1E3003B-4144-2A4E-AC99-A9719EA25B49}"/>
  <tableColumns count="6">
    <tableColumn id="1" xr3:uid="{729E5EEA-10AD-F144-AD05-5F250BFAB9C8}" name="Category" dataDxfId="166"/>
    <tableColumn id="2" xr3:uid="{B550B9AF-1D8C-FC42-B162-4B3D987037F4}" name="Type" dataDxfId="165"/>
    <tableColumn id="5" xr3:uid="{52320417-43D1-483F-80C7-2A9032507BC4}" name="Sub-Type"/>
    <tableColumn id="6" xr3:uid="{4C707D59-E4F4-40DD-A2C2-14F2048881C8}" name="Description"/>
    <tableColumn id="3" xr3:uid="{034F5659-EA45-9B4A-897D-B809D36CB0C4}" name="Notes" dataDxfId="164"/>
    <tableColumn id="4" xr3:uid="{62DE6431-ED0E-BA4C-A6CA-2680AD9086E9}" name="Column2" dataDxfId="1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9882BD-1F62-2544-AADD-C288682249AE}" name="Grading" displayName="Grading" ref="B125:G129" totalsRowShown="0" headerRowDxfId="162" dataDxfId="161">
  <autoFilter ref="B125:G129" xr:uid="{7E9882BD-1F62-2544-AADD-C288682249AE}"/>
  <tableColumns count="6">
    <tableColumn id="1" xr3:uid="{0EECCAFE-59F7-7C45-981D-20F424D5A65A}" name="Category" dataDxfId="160"/>
    <tableColumn id="2" xr3:uid="{E44E9023-2A48-C745-A0A4-C8AF7121445C}" name="Type" dataDxfId="159"/>
    <tableColumn id="5" xr3:uid="{44EBF4B2-644E-419F-A940-E0349D4431EC}" name="Sub-Type"/>
    <tableColumn id="6" xr3:uid="{6206A584-95D5-48BB-B307-78A0C9E2CE9C}" name="Description"/>
    <tableColumn id="3" xr3:uid="{3EDE214A-46CF-3141-A526-824DA8F7879F}" name="Notes" dataDxfId="158"/>
    <tableColumn id="4" xr3:uid="{AB663E47-6A60-8441-897C-0BD500FEACBB}" name="Column4" dataDxfId="15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9BB359D-FCCC-4C47-B91C-950A1E2F2EE5}" name="Mechanical" displayName="Mechanical" ref="B131:G135" totalsRowShown="0" headerRowDxfId="156" dataDxfId="155">
  <autoFilter ref="B131:G135" xr:uid="{59BB359D-FCCC-4C47-B91C-950A1E2F2EE5}"/>
  <tableColumns count="6">
    <tableColumn id="1" xr3:uid="{885F4D19-F3BE-EA47-A34F-302305066CBB}" name="Category" dataDxfId="154"/>
    <tableColumn id="2" xr3:uid="{4AD1F3F3-A7F7-3548-BD7E-97FCB7B50D68}" name="Type" dataDxfId="153"/>
    <tableColumn id="5" xr3:uid="{3BFD55A5-AC77-465F-A548-4280A8CC1067}" name="Sub-Type"/>
    <tableColumn id="6" xr3:uid="{193FDE19-9457-403D-ACD9-DA74580FB5D9}" name="Description"/>
    <tableColumn id="3" xr3:uid="{0BB1DAAD-3DCD-5F4A-85A0-7A381FF12C83}" name="Notes" dataDxfId="152"/>
    <tableColumn id="4" xr3:uid="{3707C079-F26C-0E4F-8D1D-F0A654C968AB}" name="Column4" dataDxfId="15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3820EF6-E22E-D645-98F8-44D27D4DB10F}" name="Plumbing" displayName="Plumbing" ref="B137:G147" totalsRowShown="0" headerRowDxfId="150" dataDxfId="149">
  <autoFilter ref="B137:G147" xr:uid="{63820EF6-E22E-D645-98F8-44D27D4DB10F}"/>
  <tableColumns count="6">
    <tableColumn id="1" xr3:uid="{3EF2E26A-4641-D74F-A636-917BDCCD7005}" name="Category" dataDxfId="148"/>
    <tableColumn id="2" xr3:uid="{6ED76C1E-2BB1-C541-B204-8DB64DC882C7}" name="Type" dataDxfId="147"/>
    <tableColumn id="5" xr3:uid="{B606DC15-0940-4207-A32C-D2E41CE1D15A}" name="Sub-Type"/>
    <tableColumn id="6" xr3:uid="{9E256C59-C790-4DDF-957D-270320820BF1}" name="Description"/>
    <tableColumn id="3" xr3:uid="{27E27EFA-6F2C-C142-92A7-E0C30BF15E8B}" name="Notes" dataDxfId="146"/>
    <tableColumn id="4" xr3:uid="{5AE12C1B-2042-DA44-A2CD-61B3685B2CB8}" name="Column4" dataDxfId="14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C0FC41E-8B45-8744-852C-40365D502E45}" name="PoolSpa" displayName="PoolSpa" ref="B149:G152" totalsRowShown="0" headerRowDxfId="144" dataDxfId="143">
  <autoFilter ref="B149:G152" xr:uid="{5C0FC41E-8B45-8744-852C-40365D502E45}"/>
  <tableColumns count="6">
    <tableColumn id="1" xr3:uid="{4E8B102E-63D8-3844-84A5-7638B07EB619}" name="Category" dataDxfId="142"/>
    <tableColumn id="2" xr3:uid="{EA2C9DEB-6B9B-1048-8CE5-AF3101011C82}" name="Type" dataDxfId="141"/>
    <tableColumn id="5" xr3:uid="{E70FF6CB-6278-4D0F-A553-4F595F032A04}" name="Sub-Type"/>
    <tableColumn id="6" xr3:uid="{E35D8A39-C69D-4A28-B56F-2543B57955A8}" name="Description"/>
    <tableColumn id="3" xr3:uid="{D82331E1-A5B7-AD45-9A6B-A4310D66BD0A}" name="Notes" dataDxfId="140"/>
    <tableColumn id="4" xr3:uid="{9EE45F7E-29D6-8E4D-8ED0-642D41C42053}" name="Column4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35EC9C-AF94-1943-BBDC-2F5584B86850}" name="Flood" displayName="Flood" ref="B113:G123" totalsRowShown="0" headerRowDxfId="138" dataDxfId="137">
  <autoFilter ref="B113:G123" xr:uid="{D435EC9C-AF94-1943-BBDC-2F5584B86850}"/>
  <tableColumns count="6">
    <tableColumn id="1" xr3:uid="{1C50D151-1F6B-F347-AD11-7D4E91DBD149}" name="Category" dataDxfId="136"/>
    <tableColumn id="2" xr3:uid="{2927CF84-14B2-6944-BD41-CC6449E65DA7}" name="Type" dataDxfId="135"/>
    <tableColumn id="5" xr3:uid="{ECE491A9-85DB-4C40-BA7A-08C26982A127}" name="Sub-Type"/>
    <tableColumn id="6" xr3:uid="{9965F29B-E65E-45A7-AAA4-54AD63075B08}" name="Description"/>
    <tableColumn id="3" xr3:uid="{C31404F0-F1EC-A449-9260-BB67E9B9605F}" name="Notes" dataDxfId="134"/>
    <tableColumn id="4" xr3:uid="{472322F7-8A56-6B43-B024-153282510A17}" name="Column4" dataDxfId="13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C2E3BD9-AF88-D440-99CB-77B6CF083B29}" name="Fire" displayName="Fire" ref="B106:G111" totalsRowShown="0" headerRowDxfId="132" dataDxfId="131">
  <autoFilter ref="B106:G111" xr:uid="{8C2E3BD9-AF88-D440-99CB-77B6CF083B29}"/>
  <tableColumns count="6">
    <tableColumn id="1" xr3:uid="{D4857009-665B-684C-B7CD-59E25BCCE724}" name="Category" dataDxfId="130"/>
    <tableColumn id="2" xr3:uid="{100000A6-C032-664B-B801-E75E6E2EDEC8}" name="Type" dataDxfId="129"/>
    <tableColumn id="5" xr3:uid="{66CBB6D0-F0DE-4681-B77F-76CD41E6A848}" name="Sub-Type"/>
    <tableColumn id="6" xr3:uid="{30AE2F13-D401-4B04-8DEC-503732833AAE}" name="Description"/>
    <tableColumn id="3" xr3:uid="{867070EE-BF3B-AD4A-B397-D54F6FBC5FFA}" name="Notes" dataDxfId="128"/>
    <tableColumn id="4" xr3:uid="{4658DFD7-FE88-0142-80EB-198B72234D9B}" name="Column4" dataDxfId="12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66E5FC-12C8-4B1D-8D11-1FC7896C9C6F}" name="Table6" displayName="Table6" ref="B32:G41" totalsRowShown="0" headerRowDxfId="126" headerRowBorderDxfId="125" tableBorderDxfId="124">
  <autoFilter ref="B32:G41" xr:uid="{5666E5FC-12C8-4B1D-8D11-1FC7896C9C6F}"/>
  <tableColumns count="6">
    <tableColumn id="1" xr3:uid="{8639C450-8E70-42F5-B149-0C599DA55025}" name="Category"/>
    <tableColumn id="2" xr3:uid="{CE94B12D-9BD4-4E1B-9599-AE18D9F52D07}" name="Type"/>
    <tableColumn id="3" xr3:uid="{0C68B678-29F0-4C1B-9526-7CF57711E6D1}" name="Sub-Type"/>
    <tableColumn id="4" xr3:uid="{E6050C79-37C6-43A5-AB13-9C9EA44363DC}" name="Description"/>
    <tableColumn id="5" xr3:uid="{1F97EA29-3C24-4EE2-B658-E24EC1B04671}" name="Notes"/>
    <tableColumn id="6" xr3:uid="{1CE22499-25C3-43D5-A7DD-78C3C8E4168E}" name="Column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B359B0A-DCCD-FD45-97BD-0E07CD09AAC8}" name="Table17" displayName="Table17" ref="B2:B13" totalsRowShown="0" headerRowDxfId="171" dataDxfId="170">
  <autoFilter ref="B2:B13" xr:uid="{FB359B0A-DCCD-FD45-97BD-0E07CD09AAC8}"/>
  <tableColumns count="1">
    <tableColumn id="1" xr3:uid="{D7A8B5FC-0D4E-F04A-8E17-9E889A920241}" name="Category" dataDxfId="169">
      <calculatedColumnFormula>'Permit &amp; App'!A9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3D648-36F9-48FD-9736-54D084DE9FB7}" name="Table2" displayName="Table2" ref="B2:AH34" totalsRowShown="0" headerRowDxfId="123" dataDxfId="122">
  <autoFilter ref="B2:AH34" xr:uid="{5D93D648-36F9-48FD-9736-54D084DE9FB7}"/>
  <tableColumns count="33">
    <tableColumn id="31" xr3:uid="{921EA2CB-91D6-4016-A923-D2BE3310F5D1}" name="Review Index" dataDxfId="121">
      <calculatedColumnFormula>_xlfn.CONCAT(C3,"-","RVW.",D3,".",#REF!)</calculatedColumnFormula>
    </tableColumn>
    <tableColumn id="35" xr3:uid="{9CD71C23-085F-4DFE-93FE-E4397B6076A7}" name="Permit Number" dataDxfId="120">
      <calculatedColumnFormula>$C$3</calculatedColumnFormula>
    </tableColumn>
    <tableColumn id="1" xr3:uid="{038EECAB-05A7-45FF-BC57-68885C879FBC}" name="Review Cycle" dataDxfId="119"/>
    <tableColumn id="38" xr3:uid="{2F299DEF-F204-194D-AC44-2D1DCF28EAA7}" name="#" dataDxfId="118"/>
    <tableColumn id="2" xr3:uid="{6C3E3E85-30A3-4E0F-BE8F-51809EFE5FC8}" name="A" dataDxfId="117"/>
    <tableColumn id="3" xr3:uid="{D53F8350-386A-437A-9D1D-640C31E818BB}" name="B" dataDxfId="116"/>
    <tableColumn id="4" xr3:uid="{C021C10C-6D37-4619-ACB9-7E3C71E0DE2A}" name="C" dataDxfId="115"/>
    <tableColumn id="5" xr3:uid="{9BB1A606-23FC-45F1-BB53-551738A21DE5}" name="Review" dataDxfId="114">
      <calculatedColumnFormula>_xlfn.CONCAT(F3:H3)</calculatedColumnFormula>
    </tableColumn>
    <tableColumn id="32" xr3:uid="{B0DC97EF-02F4-4C36-8E10-8D302330A9B9}" name="Auto Fire" dataDxfId="113">
      <calculatedColumnFormula>#REF!</calculatedColumnFormula>
    </tableColumn>
    <tableColumn id="6" xr3:uid="{FE12C2F0-15F7-4186-888E-D10ACC37D220}" name="Staff Override" dataDxfId="112"/>
    <tableColumn id="7" xr3:uid="{60066164-3455-4F32-BD74-06CB8E45823B}" name="Req'd" dataDxfId="111">
      <calculatedColumnFormula>IF(OR(K3="Yes",K3="No"),K3,#REF!)</calculatedColumnFormula>
    </tableColumn>
    <tableColumn id="8" xr3:uid="{893F01DE-E055-4D7C-A297-B91A0A347255}" name="Notes" dataDxfId="110"/>
    <tableColumn id="9" xr3:uid="{16C1A8DA-7FD6-420D-934C-0001C7E0D63B}" name="Review Coordinator" dataDxfId="109" dataCellStyle="Hyperlink"/>
    <tableColumn id="10" xr3:uid="{3C76E8FD-155F-46FD-BF84-C55C37A37290}" name="Cycle 1 Days" dataDxfId="108"/>
    <tableColumn id="11" xr3:uid="{5FD49356-BBB0-48A7-95C3-437FCAEB5C9F}" name="Cycle 2 Days" dataDxfId="107"/>
    <tableColumn id="12" xr3:uid="{BD61D296-5E65-4DD8-8C1D-EEBB839CF2BC}" name="Status" dataDxfId="106"/>
    <tableColumn id="13" xr3:uid="{90FD910C-50C0-45DB-9FB1-52265C403377}" name="Allotted Time (Hours)" dataDxfId="105"/>
    <tableColumn id="14" xr3:uid="{061F846C-EFAC-4E62-9D35-4BD5CB17AE7C}" name="Actual Time (Hours)" dataDxfId="104"/>
    <tableColumn id="15" xr3:uid="{551B46AB-4BF0-406E-BAE4-065E0D64D638}" name="Delta (hrs)" dataDxfId="103"/>
    <tableColumn id="16" xr3:uid="{0742D29E-AB52-4D5C-873E-6F0DA4699AD7}" name="Hourly Rate" dataDxfId="102"/>
    <tableColumn id="17" xr3:uid="{9768ED94-D185-4F2A-A9BD-E5FFF43369E5}" name="Allotted Review Fee" dataDxfId="101"/>
    <tableColumn id="18" xr3:uid="{90EAEB37-BE54-489B-AB83-C4691E20506A}" name="Allotted Review Fee2" dataDxfId="100"/>
    <tableColumn id="19" xr3:uid="{8455BB82-A410-4CB5-A7E8-84EC438C5032}" name="Completed by" dataDxfId="99"/>
    <tableColumn id="20" xr3:uid="{65291329-2CB1-4A98-905F-A49ADE399B77}" name="Completed" dataDxfId="98">
      <calculatedColumnFormula>Y2</calculatedColumnFormula>
    </tableColumn>
    <tableColumn id="21" xr3:uid="{E9100D61-2D2D-40D3-A7C8-E80BC887A6AD}" name="Assigned To" dataDxfId="97"/>
    <tableColumn id="23" xr3:uid="{6AE2F9A8-7417-4175-B47F-D45BA90B6E7F}" name="Days Until Due" dataDxfId="96">
      <calculatedColumnFormula>NETWORKDAYS(TODAY(),AB3)</calculatedColumnFormula>
    </tableColumn>
    <tableColumn id="24" xr3:uid="{4FC3DAD4-0D80-4F6B-B475-F87E9C48B4EE}" name="Due" dataDxfId="95">
      <calculatedColumnFormula>IF(D3=1,WORKDAY(AD3,O3),WORKDAY(AD3,P3))</calculatedColumnFormula>
    </tableColumn>
    <tableColumn id="25" xr3:uid="{373DEF5A-71B6-4EDD-B6A4-68E6A6A97118}" name="Sent To" dataDxfId="94"/>
    <tableColumn id="26" xr3:uid="{0B78FEA1-81A4-470C-AEF6-3DB8542D6E68}" name="Sent" dataDxfId="93"/>
    <tableColumn id="27" xr3:uid="{979363B6-0C70-42E1-857C-5B245523EB30}" name="Age" dataDxfId="92">
      <calculatedColumnFormula>TODAY()-AD3</calculatedColumnFormula>
    </tableColumn>
    <tableColumn id="28" xr3:uid="{94AE3049-0693-46F0-8FC3-BCB6635C29DC}" name="Created by" dataDxfId="91"/>
    <tableColumn id="37" xr3:uid="{11D1F1E2-89D8-CE45-B8FE-E74BB149BB31}" name="Created Date" dataDxfId="90"/>
    <tableColumn id="36" xr3:uid="{23BDD9D9-4826-0647-AF5A-738373736860}" name="Created Time" dataDxfId="8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860B26-8BEF-4EFC-828F-4CA6716933CA}" name="Accounts" displayName="Accounts" ref="A1:K58" totalsRowShown="0" headerRowDxfId="88" dataDxfId="87">
  <autoFilter ref="A1:K58" xr:uid="{87860B26-8BEF-4EFC-828F-4CA6716933CA}"/>
  <tableColumns count="11">
    <tableColumn id="1" xr3:uid="{E5764129-2A39-43D9-BF37-7547D40F4330}" name="Program" dataDxfId="86"/>
    <tableColumn id="2" xr3:uid="{98583F06-1806-42A1-AC99-1EF65B90EB71}" name="Account Nickname" dataDxfId="85"/>
    <tableColumn id="3" xr3:uid="{56AA6316-EC4A-4AA9-83CB-75D3BD903A72}" name="Fund" dataDxfId="84"/>
    <tableColumn id="4" xr3:uid="{73A676FD-37CC-40E5-8AD4-88F2ADBDE88E}" name="Budget Unit" dataDxfId="83"/>
    <tableColumn id="5" xr3:uid="{6543D63C-587B-4E93-8EBA-633261F6E22B}" name="Cost Center" dataDxfId="82"/>
    <tableColumn id="6" xr3:uid="{FED3FC31-F8A9-474E-8133-E5F7C0CE59B5}" name="GL Account" dataDxfId="81"/>
    <tableColumn id="7" xr3:uid="{4050DBF8-CE14-47C1-A961-74A56F488E21}" name="GL Transfer Fund" dataDxfId="80"/>
    <tableColumn id="8" xr3:uid="{24B678A8-83B2-45E2-87C4-06CC8046C649}" name="CAMS Project Number" dataDxfId="79"/>
    <tableColumn id="9" xr3:uid="{956A9569-59DB-44C4-8884-897EDBB4424A}" name="Infor Activity" dataDxfId="78"/>
    <tableColumn id="10" xr3:uid="{7F872E90-DCFC-41C1-8301-22745B28C76F}" name="Infor Account Category" dataDxfId="77"/>
    <tableColumn id="11" xr3:uid="{D4726E88-7776-4D9D-AA5B-4C7BD824DE4A}" name="Accounting Unit Strings_x000a_Account Number" dataDxfId="76">
      <calculatedColumnFormula>CONCATENATE(Accounts[[#This Row],[Fund]],"-",Accounts[[#This Row],[Budget Unit]],"-",Accounts[[#This Row],[Cost Center]],"-",Accounts[[#This Row],[GL Account]],"-",Accounts[[#This Row],[GL Transfer Fund]])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3A31FEE-5480-4584-A6F9-6D3173325AB1}" name="AccountStrings" displayName="AccountStrings" ref="A3:J17" totalsRowShown="0" headerRowDxfId="75" dataDxfId="74" tableBorderDxfId="73">
  <autoFilter ref="A3:J17" xr:uid="{C3A31FEE-5480-4584-A6F9-6D3173325AB1}"/>
  <tableColumns count="10">
    <tableColumn id="1" xr3:uid="{223F9A01-1AA2-4997-AC18-01AD67AD9E8E}" name="Fund" dataDxfId="72"/>
    <tableColumn id="2" xr3:uid="{5FF9086E-C149-442F-B67A-7E42A69F3408}" name="Dept" dataDxfId="71"/>
    <tableColumn id="3" xr3:uid="{32D19AD0-1A0C-4FBD-85C2-37F297CCF0C6}" name="4102" dataDxfId="70"/>
    <tableColumn id="4" xr3:uid="{F7B695FD-D118-42C5-87BA-687F3EE01700}" name="Cost Center" dataDxfId="69"/>
    <tableColumn id="5" xr3:uid="{01046EAF-D7F0-44DB-AD46-997663455164}" name="Description" dataDxfId="68"/>
    <tableColumn id="6" xr3:uid="{1B9A69EA-665A-45BA-9C67-4C0577E420B7}" name="FD1_Fund" dataDxfId="67"/>
    <tableColumn id="7" xr3:uid="{626800D5-A90B-4124-B26B-FC6560A44B6C}" name="Fund Description" dataDxfId="66"/>
    <tableColumn id="8" xr3:uid="{87768A24-3D34-421F-A483-8011D69819D5}" name="FD3_Budget Unit" dataDxfId="65"/>
    <tableColumn id="9" xr3:uid="{D078B40B-C9CB-40D1-91B4-C23479A1B070}" name="Nickname" dataDxfId="64"/>
    <tableColumn id="10" xr3:uid="{FB35A367-52CE-45A8-ADD5-A2D9354BA4B5}" name="Budget Unit Description" dataDxfId="6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3E812C-2D5B-45D2-A0B7-1C5A03C176A7}" name="Table14" displayName="Table14" ref="A2:AJ156" totalsRowShown="0" headerRowDxfId="62" dataDxfId="61">
  <autoFilter ref="A2:AJ156" xr:uid="{CF3E812C-2D5B-45D2-A0B7-1C5A03C176A7}"/>
  <tableColumns count="36">
    <tableColumn id="1" xr3:uid="{75D617B6-027F-4D0B-8B65-CEF1898E9935}" name="Index" dataDxfId="60">
      <calculatedColumnFormula>COUNT($A$2:$A3)+1</calculatedColumnFormula>
    </tableColumn>
    <tableColumn id="2" xr3:uid="{92A8B1A6-6653-4EA1-A1DC-10896F2E7CDD}" name="Active" dataDxfId="59"/>
    <tableColumn id="3" xr3:uid="{0CC36944-B23E-463E-B491-B10C7AA04F41}" name="Authorization" dataDxfId="58"/>
    <tableColumn id="4" xr3:uid="{24D227BC-7C73-4530-8AC5-B02373B8801C}" name="Adopted" dataDxfId="57"/>
    <tableColumn id="5" xr3:uid="{02921DD6-ABF2-4D18-B485-171BF727CE8B}" name="Revised" dataDxfId="56"/>
    <tableColumn id="6" xr3:uid="{F1542461-51A6-4312-9409-DB9C650F922E}" name="Agency" dataDxfId="55"/>
    <tableColumn id="7" xr3:uid="{6E4AB093-E6DF-4342-8054-CABA60350119}" name="Division" dataDxfId="54"/>
    <tableColumn id="8" xr3:uid="{3EA467F3-BB64-43D8-BCAF-5F079235EFAD}" name="Type" dataDxfId="53"/>
    <tableColumn id="45" xr3:uid="{15A19ADB-5C36-4A3D-A40C-3B018E3533B5}" name="Proposed Sublabel" dataDxfId="52"/>
    <tableColumn id="14" xr3:uid="{F71A5743-12B6-4B38-A058-2A2B04AEFBCC}" name="Current Sublabel" dataDxfId="51"/>
    <tableColumn id="16" xr3:uid="{C9279A01-F9F9-45CA-A44A-3197F52458E8}" name="Current Fee Title" dataDxfId="50"/>
    <tableColumn id="17" xr3:uid="{243E364C-2336-4071-8719-948A50D57E66}" name="Proposed Fee Title" dataDxfId="49"/>
    <tableColumn id="18" xr3:uid="{863EA67D-69B2-4BF0-BB33-E091BAE8E3B4}" name="Current Fee" dataDxfId="48"/>
    <tableColumn id="20" xr3:uid="{DAE795C2-6F6F-41A6-A041-E86F4EF25271}" name="Proposed Policy" dataDxfId="47"/>
    <tableColumn id="22" xr3:uid="{5CEFDA57-671D-452A-9783-1CC94E284E81}" name="Auto Fire" dataDxfId="46"/>
    <tableColumn id="23" xr3:uid="{4203F3BB-ADBF-4828-A171-9E5880D78595}" name="Staff_x000a_Override" dataDxfId="45"/>
    <tableColumn id="24" xr3:uid="{D493CE56-D624-4867-88BC-0787CDB5EA87}" name="QTY" dataDxfId="44"/>
    <tableColumn id="25" xr3:uid="{64EFB634-E2A2-47AA-9835-B60AD86FF934}" name="Review Time (each)" dataDxfId="43"/>
    <tableColumn id="26" xr3:uid="{CD541EFB-5A8C-4E95-BF32-C8CEB3747363}" name="Review Fee" dataDxfId="42"/>
    <tableColumn id="27" xr3:uid="{5F96284B-33DB-4762-B21A-D27DDBFE65FA}" name="Insp. Time (each)" dataDxfId="41"/>
    <tableColumn id="28" xr3:uid="{A2F1AAB5-8B86-4E87-9232-D78A48AFD572}" name="Insp. Fee" dataDxfId="40"/>
    <tableColumn id="50" xr3:uid="{9425F706-F27A-4FD4-A539-990A13314A4D}" name="Proposed Fee" dataDxfId="39"/>
    <tableColumn id="56" xr3:uid="{AE048CE7-5CDD-4D5E-98D9-4C3C08D797AB}" name="Units" dataDxfId="38"/>
    <tableColumn id="29" xr3:uid="{23DE84CF-FAE1-4C1E-A78A-3ABEF5C88102}" name="Rate" dataDxfId="37"/>
    <tableColumn id="30" xr3:uid="{D759DDC2-31D3-4B7C-AECB-886EFD06BE3C}" name="Fee2" dataDxfId="36">
      <calculatedColumnFormula>PRODUCT(O3:X3)</calculatedColumnFormula>
    </tableColumn>
    <tableColumn id="31" xr3:uid="{1B027282-FFEB-4C31-85F9-29C58CBAAC35}" name="Pay Now?" dataDxfId="35"/>
    <tableColumn id="32" xr3:uid="{2A186297-4352-437C-81F2-700F540F18E5}" name="Due Now" dataDxfId="34">
      <calculatedColumnFormula>AD3*IF(Z3="Yes",1,0)</calculatedColumnFormula>
    </tableColumn>
    <tableColumn id="33" xr3:uid="{D38B6F82-53A5-4BE8-AD0F-1AD69FD97DF0}" name="Receipt #" dataDxfId="33"/>
    <tableColumn id="34" xr3:uid="{26BCCCCA-C019-4D5A-95CA-2B9F7099785E}" name="Paid" dataDxfId="32"/>
    <tableColumn id="35" xr3:uid="{1B58113A-EF8F-4D1B-BF2D-74519C026458}" name="Balance" dataDxfId="31">
      <calculatedColumnFormula>Y3-AC3</calculatedColumnFormula>
    </tableColumn>
    <tableColumn id="38" xr3:uid="{0EACD4D8-83E6-4966-975B-BB8E1B341FFC}" name="Account 1 Percentage" dataDxfId="30"/>
    <tableColumn id="39" xr3:uid="{81C7330D-77F4-4300-A0F1-E1CB25E2EBB0}" name="Account 1 Amount" dataDxfId="29">
      <calculatedColumnFormula>AE3*AA3</calculatedColumnFormula>
    </tableColumn>
    <tableColumn id="40" xr3:uid="{5255A146-EE30-4F3D-B75F-D366EB60EE71}" name="Account 1 Name" dataDxfId="28"/>
    <tableColumn id="41" xr3:uid="{22E52F27-8CCE-4C81-9FFA-4FBE62C8830C}" name="Account 2 Percentage" dataDxfId="27">
      <calculatedColumnFormula>1-AE3</calculatedColumnFormula>
    </tableColumn>
    <tableColumn id="42" xr3:uid="{9618C972-75BD-4D1A-AC79-5BF3DCC229CF}" name="Account 2 Amount" dataDxfId="26">
      <calculatedColumnFormula>AH3*AA3</calculatedColumnFormula>
    </tableColumn>
    <tableColumn id="43" xr3:uid="{787244D9-9797-4924-B9FC-251FDCBF254E}" name="Account 2 Name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sie.Dawlwy@YoloCounty.org" TargetMode="External"/><Relationship Id="rId13" Type="http://schemas.openxmlformats.org/officeDocument/2006/relationships/hyperlink" Target="mailto:Notify@ysaqmd.org" TargetMode="External"/><Relationship Id="rId18" Type="http://schemas.openxmlformats.org/officeDocument/2006/relationships/hyperlink" Target="mailto:Angelina.Espinoza@YoloCounty.org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JD.Trebec@YoloCounty.org" TargetMode="External"/><Relationship Id="rId21" Type="http://schemas.openxmlformats.org/officeDocument/2006/relationships/hyperlink" Target="mailto:Marlin.Nardiello@YoloCounty.org" TargetMode="External"/><Relationship Id="rId7" Type="http://schemas.openxmlformats.org/officeDocument/2006/relationships/hyperlink" Target="mailto:Deborah.Anderson@YoloCounty.org" TargetMode="External"/><Relationship Id="rId12" Type="http://schemas.openxmlformats.org/officeDocument/2006/relationships/hyperlink" Target="mailto:Josue.Pimentel@YoloCounty.org" TargetMode="External"/><Relationship Id="rId17" Type="http://schemas.openxmlformats.org/officeDocument/2006/relationships/hyperlink" Target="mailto:building.division@yolocounty.org" TargetMode="External"/><Relationship Id="rId25" Type="http://schemas.openxmlformats.org/officeDocument/2006/relationships/hyperlink" Target="mailto:Shriti.Jeet@YoloCounty.org" TargetMode="External"/><Relationship Id="rId2" Type="http://schemas.openxmlformats.org/officeDocument/2006/relationships/hyperlink" Target="mailto:Tracy.Gonzalez@YoloCounty.org" TargetMode="External"/><Relationship Id="rId16" Type="http://schemas.openxmlformats.org/officeDocument/2006/relationships/hyperlink" Target="mailto:Jianmin.Huang@YoloCounty.org" TargetMode="External"/><Relationship Id="rId20" Type="http://schemas.openxmlformats.org/officeDocument/2006/relationships/hyperlink" Target="mailto:Chris.Rice@YoloCounty.org" TargetMode="External"/><Relationship Id="rId1" Type="http://schemas.openxmlformats.org/officeDocument/2006/relationships/hyperlink" Target="mailto:Pam.Hedrick@YoloCounty.org" TargetMode="External"/><Relationship Id="rId6" Type="http://schemas.openxmlformats.org/officeDocument/2006/relationships/hyperlink" Target="mailto:Stephanie.Cormier@YoloCounty.org" TargetMode="External"/><Relationship Id="rId11" Type="http://schemas.openxmlformats.org/officeDocument/2006/relationships/hyperlink" Target="mailto:Jair.Bautista@YoloCounty.org" TargetMode="External"/><Relationship Id="rId24" Type="http://schemas.openxmlformats.org/officeDocument/2006/relationships/hyperlink" Target="mailto:Shelby.Milliren@YoloCounty.org" TargetMode="External"/><Relationship Id="rId5" Type="http://schemas.openxmlformats.org/officeDocument/2006/relationships/hyperlink" Target="mailto:Jeff.Anderson@YoloCounty.org" TargetMode="External"/><Relationship Id="rId15" Type="http://schemas.openxmlformats.org/officeDocument/2006/relationships/hyperlink" Target="mailto:Cassandra.Mendoza@YoloCounty.org" TargetMode="External"/><Relationship Id="rId23" Type="http://schemas.openxmlformats.org/officeDocument/2006/relationships/hyperlink" Target="mailto:Maryam.Farhoodi@YoloCounty.org" TargetMode="External"/><Relationship Id="rId28" Type="http://schemas.openxmlformats.org/officeDocument/2006/relationships/table" Target="../tables/table6.xml"/><Relationship Id="rId10" Type="http://schemas.openxmlformats.org/officeDocument/2006/relationships/hyperlink" Target="mailto:Angelica.Yepez@YoloCounty.org" TargetMode="External"/><Relationship Id="rId19" Type="http://schemas.openxmlformats.org/officeDocument/2006/relationships/hyperlink" Target="mailto:Scott.Doolittle@yolocounty.org" TargetMode="External"/><Relationship Id="rId4" Type="http://schemas.openxmlformats.org/officeDocument/2006/relationships/hyperlink" Target="mailto:Charlie.Tschudin@YoloCounty.org" TargetMode="External"/><Relationship Id="rId9" Type="http://schemas.openxmlformats.org/officeDocument/2006/relationships/hyperlink" Target="mailto:Jeremy.vanhorn@yolocounty.org" TargetMode="External"/><Relationship Id="rId14" Type="http://schemas.openxmlformats.org/officeDocument/2006/relationships/hyperlink" Target="mailto:Dawne.Koranda@YoloCounty.org" TargetMode="External"/><Relationship Id="rId22" Type="http://schemas.openxmlformats.org/officeDocument/2006/relationships/hyperlink" Target="mailto:Josephine.Acevedo@yolocounty.org" TargetMode="External"/><Relationship Id="rId27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Rice@YoloCounty.org" TargetMode="External"/><Relationship Id="rId13" Type="http://schemas.openxmlformats.org/officeDocument/2006/relationships/hyperlink" Target="mailto:Chris.Rice@YoloCounty.org" TargetMode="External"/><Relationship Id="rId18" Type="http://schemas.openxmlformats.org/officeDocument/2006/relationships/hyperlink" Target="mailto:Angelica.Yepez@YoloCounty.org" TargetMode="External"/><Relationship Id="rId26" Type="http://schemas.openxmlformats.org/officeDocument/2006/relationships/hyperlink" Target="mailto:Angelina.Espinoza@YoloCounty.org" TargetMode="External"/><Relationship Id="rId3" Type="http://schemas.openxmlformats.org/officeDocument/2006/relationships/hyperlink" Target="mailto:Pam.Hedrick@YoloCounty.org" TargetMode="External"/><Relationship Id="rId21" Type="http://schemas.openxmlformats.org/officeDocument/2006/relationships/hyperlink" Target="mailto:Angelica.Yepez@YoloCounty.org" TargetMode="External"/><Relationship Id="rId34" Type="http://schemas.openxmlformats.org/officeDocument/2006/relationships/image" Target="../media/image11.emf"/><Relationship Id="rId7" Type="http://schemas.openxmlformats.org/officeDocument/2006/relationships/hyperlink" Target="mailto:Angelina.Espinoza@YoloCounty.org" TargetMode="External"/><Relationship Id="rId12" Type="http://schemas.openxmlformats.org/officeDocument/2006/relationships/hyperlink" Target="mailto:Chris.Rice@YoloCounty.org" TargetMode="External"/><Relationship Id="rId17" Type="http://schemas.openxmlformats.org/officeDocument/2006/relationships/hyperlink" Target="mailto:Angelina.Espinoza@YoloCounty.org" TargetMode="External"/><Relationship Id="rId25" Type="http://schemas.openxmlformats.org/officeDocument/2006/relationships/hyperlink" Target="mailto:Chris.Rice@YoloCounty.org" TargetMode="External"/><Relationship Id="rId33" Type="http://schemas.openxmlformats.org/officeDocument/2006/relationships/control" Target="../activeX/activeX11.xml"/><Relationship Id="rId2" Type="http://schemas.openxmlformats.org/officeDocument/2006/relationships/hyperlink" Target="mailto:Cassandra.Mendoza@YoloCounty.org" TargetMode="External"/><Relationship Id="rId16" Type="http://schemas.openxmlformats.org/officeDocument/2006/relationships/hyperlink" Target="mailto:Angelina.Espinoza@YoloCounty.org" TargetMode="External"/><Relationship Id="rId20" Type="http://schemas.openxmlformats.org/officeDocument/2006/relationships/hyperlink" Target="mailto:Angelica.Yepez@YoloCounty.org" TargetMode="External"/><Relationship Id="rId29" Type="http://schemas.openxmlformats.org/officeDocument/2006/relationships/hyperlink" Target="mailto:Cassandra.Mendoza@YoloCounty.org" TargetMode="External"/><Relationship Id="rId1" Type="http://schemas.openxmlformats.org/officeDocument/2006/relationships/hyperlink" Target="mailto:Dawne.Koranda@YoloCounty.org" TargetMode="External"/><Relationship Id="rId6" Type="http://schemas.openxmlformats.org/officeDocument/2006/relationships/hyperlink" Target="mailto:Notify@ysaqmd.org" TargetMode="External"/><Relationship Id="rId11" Type="http://schemas.openxmlformats.org/officeDocument/2006/relationships/hyperlink" Target="mailto:Chris.Rice@YoloCounty.org" TargetMode="External"/><Relationship Id="rId24" Type="http://schemas.openxmlformats.org/officeDocument/2006/relationships/hyperlink" Target="mailto:Angelica.Yepez@YoloCounty.org" TargetMode="External"/><Relationship Id="rId32" Type="http://schemas.openxmlformats.org/officeDocument/2006/relationships/vmlDrawing" Target="../drawings/vmlDrawing2.vml"/><Relationship Id="rId37" Type="http://schemas.openxmlformats.org/officeDocument/2006/relationships/table" Target="../tables/table21.xml"/><Relationship Id="rId5" Type="http://schemas.openxmlformats.org/officeDocument/2006/relationships/hyperlink" Target="mailto:Jair.Bautista@YoloCounty.org" TargetMode="External"/><Relationship Id="rId15" Type="http://schemas.openxmlformats.org/officeDocument/2006/relationships/hyperlink" Target="mailto:Angelina.Espinoza@YoloCounty.org" TargetMode="External"/><Relationship Id="rId23" Type="http://schemas.openxmlformats.org/officeDocument/2006/relationships/hyperlink" Target="mailto:Chris.Rice@YoloCounty.org" TargetMode="External"/><Relationship Id="rId28" Type="http://schemas.openxmlformats.org/officeDocument/2006/relationships/hyperlink" Target="mailto:Cassandra.Mendoza@YoloCounty.org" TargetMode="External"/><Relationship Id="rId36" Type="http://schemas.openxmlformats.org/officeDocument/2006/relationships/image" Target="../media/image12.emf"/><Relationship Id="rId10" Type="http://schemas.openxmlformats.org/officeDocument/2006/relationships/hyperlink" Target="mailto:Chris.Rice@YoloCounty.org" TargetMode="External"/><Relationship Id="rId19" Type="http://schemas.openxmlformats.org/officeDocument/2006/relationships/hyperlink" Target="mailto:Angelica.Yepez@YoloCounty.org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mailto:Tracy.Gonzalez@YoloCounty.org" TargetMode="External"/><Relationship Id="rId9" Type="http://schemas.openxmlformats.org/officeDocument/2006/relationships/hyperlink" Target="mailto:Chris.Rice@YoloCounty.org" TargetMode="External"/><Relationship Id="rId14" Type="http://schemas.openxmlformats.org/officeDocument/2006/relationships/hyperlink" Target="mailto:Scott.Doolittle@yolocounty.org" TargetMode="External"/><Relationship Id="rId22" Type="http://schemas.openxmlformats.org/officeDocument/2006/relationships/hyperlink" Target="mailto:Angelica.Yepez@YoloCounty.org" TargetMode="External"/><Relationship Id="rId27" Type="http://schemas.openxmlformats.org/officeDocument/2006/relationships/hyperlink" Target="mailto:Cassandra.Mendoza@YoloCounty.org" TargetMode="External"/><Relationship Id="rId30" Type="http://schemas.openxmlformats.org/officeDocument/2006/relationships/printerSettings" Target="../printerSettings/printerSettings7.bin"/><Relationship Id="rId35" Type="http://schemas.openxmlformats.org/officeDocument/2006/relationships/control" Target="../activeX/activeX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3704-C3D3-4807-BA96-B557CC15AF85}">
  <sheetPr codeName="Sheet10">
    <pageSetUpPr fitToPage="1"/>
  </sheetPr>
  <dimension ref="A1:H19"/>
  <sheetViews>
    <sheetView showGridLines="0" zoomScaleNormal="150" zoomScaleSheetLayoutView="100" workbookViewId="0"/>
  </sheetViews>
  <sheetFormatPr defaultColWidth="9.109375" defaultRowHeight="14.4" x14ac:dyDescent="0.3"/>
  <cols>
    <col min="1" max="1" width="20.88671875" style="153" customWidth="1"/>
    <col min="2" max="2" width="75.109375" style="153" customWidth="1"/>
    <col min="3" max="3" width="23.6640625" style="153" customWidth="1"/>
    <col min="4" max="4" width="22.5546875" style="153" customWidth="1"/>
    <col min="5" max="5" width="8.6640625" style="153" customWidth="1"/>
    <col min="6" max="7" width="8.88671875" style="153" customWidth="1"/>
    <col min="8" max="8" width="8.44140625" style="153" customWidth="1"/>
    <col min="9" max="16384" width="9.109375" style="153"/>
  </cols>
  <sheetData>
    <row r="1" spans="1:8" s="155" customFormat="1" ht="31.2" x14ac:dyDescent="0.3">
      <c r="A1" s="154" t="s">
        <v>0</v>
      </c>
      <c r="B1" s="152" t="s">
        <v>1</v>
      </c>
      <c r="C1" s="152" t="s">
        <v>2</v>
      </c>
      <c r="D1" s="152" t="s">
        <v>3</v>
      </c>
      <c r="E1" s="152" t="s">
        <v>4</v>
      </c>
      <c r="F1" s="154" t="s">
        <v>5</v>
      </c>
      <c r="G1" s="154" t="s">
        <v>6</v>
      </c>
      <c r="H1" s="154" t="s">
        <v>7</v>
      </c>
    </row>
    <row r="2" spans="1:8" s="155" customFormat="1" ht="15.6" x14ac:dyDescent="0.3">
      <c r="A2" s="150" t="s">
        <v>8</v>
      </c>
      <c r="B2" s="151" t="s">
        <v>9</v>
      </c>
      <c r="C2" s="151"/>
      <c r="D2" s="151"/>
      <c r="E2" s="151" t="s">
        <v>10</v>
      </c>
      <c r="F2" s="150"/>
      <c r="G2" s="150"/>
      <c r="H2" s="150"/>
    </row>
    <row r="3" spans="1:8" x14ac:dyDescent="0.3">
      <c r="A3" s="151" t="s">
        <v>11</v>
      </c>
      <c r="B3" s="151" t="s">
        <v>12</v>
      </c>
      <c r="C3" s="151"/>
      <c r="D3" s="151"/>
      <c r="E3" s="151" t="s">
        <v>10</v>
      </c>
      <c r="F3" s="150"/>
      <c r="G3" s="150"/>
      <c r="H3" s="150"/>
    </row>
    <row r="4" spans="1:8" x14ac:dyDescent="0.3">
      <c r="A4" s="151" t="s">
        <v>13</v>
      </c>
      <c r="B4" s="151" t="s">
        <v>14</v>
      </c>
      <c r="C4" s="151"/>
      <c r="D4" s="151"/>
      <c r="E4" s="151" t="s">
        <v>10</v>
      </c>
      <c r="F4" s="150"/>
      <c r="G4" s="150"/>
      <c r="H4" s="150"/>
    </row>
    <row r="5" spans="1:8" x14ac:dyDescent="0.3">
      <c r="A5" s="150" t="s">
        <v>15</v>
      </c>
      <c r="B5" s="151" t="s">
        <v>16</v>
      </c>
      <c r="C5" s="151"/>
      <c r="D5" s="151"/>
      <c r="E5" s="151" t="s">
        <v>10</v>
      </c>
      <c r="F5" s="150"/>
      <c r="G5" s="150"/>
      <c r="H5" s="150"/>
    </row>
    <row r="6" spans="1:8" x14ac:dyDescent="0.3">
      <c r="A6" s="151" t="s">
        <v>17</v>
      </c>
      <c r="B6" s="151" t="s">
        <v>18</v>
      </c>
      <c r="C6" s="151"/>
      <c r="D6" s="151"/>
      <c r="E6" s="151" t="s">
        <v>10</v>
      </c>
      <c r="F6" s="150"/>
      <c r="G6" s="150"/>
      <c r="H6" s="150"/>
    </row>
    <row r="7" spans="1:8" x14ac:dyDescent="0.3">
      <c r="A7" s="150" t="s">
        <v>19</v>
      </c>
      <c r="B7" s="151" t="s">
        <v>20</v>
      </c>
      <c r="C7" s="151"/>
      <c r="D7" s="151"/>
      <c r="E7" s="151" t="s">
        <v>10</v>
      </c>
      <c r="F7" s="150"/>
      <c r="G7" s="150"/>
      <c r="H7" s="150"/>
    </row>
    <row r="8" spans="1:8" ht="28.8" x14ac:dyDescent="0.3">
      <c r="A8" s="150" t="s">
        <v>21</v>
      </c>
      <c r="B8" s="151" t="s">
        <v>22</v>
      </c>
      <c r="C8" s="151"/>
      <c r="D8" s="151"/>
      <c r="E8" s="151" t="s">
        <v>10</v>
      </c>
      <c r="F8" s="150"/>
      <c r="G8" s="150"/>
      <c r="H8" s="150"/>
    </row>
    <row r="9" spans="1:8" ht="28.8" x14ac:dyDescent="0.3">
      <c r="A9" s="156" t="s">
        <v>23</v>
      </c>
      <c r="B9" s="151" t="s">
        <v>24</v>
      </c>
      <c r="C9" s="151"/>
      <c r="D9" s="151"/>
      <c r="E9" s="151" t="s">
        <v>10</v>
      </c>
      <c r="F9" s="150"/>
      <c r="G9" s="150"/>
      <c r="H9" s="150"/>
    </row>
    <row r="10" spans="1:8" ht="28.8" x14ac:dyDescent="0.3">
      <c r="A10" s="156" t="s">
        <v>25</v>
      </c>
      <c r="B10" s="151" t="s">
        <v>26</v>
      </c>
      <c r="C10" s="151"/>
      <c r="D10" s="151"/>
      <c r="E10" s="151" t="s">
        <v>10</v>
      </c>
      <c r="F10" s="150"/>
      <c r="G10" s="150"/>
      <c r="H10" s="150"/>
    </row>
    <row r="11" spans="1:8" ht="28.8" x14ac:dyDescent="0.3">
      <c r="A11" s="157" t="s">
        <v>27</v>
      </c>
      <c r="B11" s="151" t="s">
        <v>28</v>
      </c>
      <c r="C11" s="151"/>
      <c r="D11" s="151"/>
      <c r="E11" s="151" t="s">
        <v>10</v>
      </c>
      <c r="F11" s="150"/>
      <c r="G11" s="150"/>
      <c r="H11" s="150"/>
    </row>
    <row r="12" spans="1:8" x14ac:dyDescent="0.3">
      <c r="A12" s="157" t="s">
        <v>29</v>
      </c>
      <c r="B12" s="151" t="s">
        <v>30</v>
      </c>
      <c r="C12" s="151"/>
      <c r="D12" s="151"/>
      <c r="E12" s="151" t="s">
        <v>10</v>
      </c>
      <c r="F12" s="150"/>
      <c r="G12" s="150"/>
      <c r="H12" s="150"/>
    </row>
    <row r="13" spans="1:8" ht="43.2" x14ac:dyDescent="0.3">
      <c r="A13" s="156" t="s">
        <v>31</v>
      </c>
      <c r="B13" s="151" t="s">
        <v>32</v>
      </c>
      <c r="C13" s="151"/>
      <c r="D13" s="151"/>
      <c r="E13" s="151" t="s">
        <v>10</v>
      </c>
      <c r="F13" s="150"/>
      <c r="G13" s="150"/>
      <c r="H13" s="150"/>
    </row>
    <row r="14" spans="1:8" ht="28.8" x14ac:dyDescent="0.3">
      <c r="A14" s="156" t="s">
        <v>33</v>
      </c>
      <c r="B14" s="151" t="s">
        <v>34</v>
      </c>
      <c r="C14" s="151"/>
      <c r="D14" s="151"/>
      <c r="E14" s="151" t="s">
        <v>10</v>
      </c>
      <c r="F14" s="150"/>
      <c r="G14" s="150"/>
      <c r="H14" s="150"/>
    </row>
    <row r="15" spans="1:8" ht="28.8" x14ac:dyDescent="0.3">
      <c r="A15" s="156" t="s">
        <v>35</v>
      </c>
      <c r="B15" s="151" t="s">
        <v>36</v>
      </c>
      <c r="C15" s="151"/>
      <c r="D15" s="151"/>
      <c r="E15" s="151" t="s">
        <v>10</v>
      </c>
      <c r="F15" s="150"/>
      <c r="G15" s="150"/>
      <c r="H15" s="150"/>
    </row>
    <row r="16" spans="1:8" x14ac:dyDescent="0.3">
      <c r="A16" s="156" t="s">
        <v>37</v>
      </c>
      <c r="B16" s="151" t="s">
        <v>38</v>
      </c>
      <c r="C16" s="151"/>
      <c r="D16" s="151"/>
      <c r="E16" s="151" t="s">
        <v>10</v>
      </c>
      <c r="F16" s="150"/>
      <c r="G16" s="150"/>
      <c r="H16" s="150"/>
    </row>
    <row r="17" spans="1:8" x14ac:dyDescent="0.3">
      <c r="A17" s="156" t="s">
        <v>39</v>
      </c>
      <c r="B17" s="151" t="s">
        <v>40</v>
      </c>
      <c r="C17" s="151"/>
      <c r="D17" s="151"/>
      <c r="E17" s="151" t="s">
        <v>10</v>
      </c>
      <c r="F17" s="150"/>
      <c r="G17" s="150"/>
      <c r="H17" s="150"/>
    </row>
    <row r="18" spans="1:8" x14ac:dyDescent="0.3">
      <c r="A18" s="156" t="s">
        <v>41</v>
      </c>
      <c r="B18" s="151" t="s">
        <v>42</v>
      </c>
      <c r="C18" s="151"/>
      <c r="D18" s="151"/>
      <c r="E18" s="151" t="s">
        <v>10</v>
      </c>
      <c r="F18" s="150"/>
      <c r="G18" s="150"/>
      <c r="H18" s="150"/>
    </row>
    <row r="19" spans="1:8" x14ac:dyDescent="0.3">
      <c r="A19" s="156" t="s">
        <v>43</v>
      </c>
      <c r="B19" s="151" t="s">
        <v>44</v>
      </c>
      <c r="C19" s="151"/>
      <c r="D19" s="151"/>
      <c r="E19" s="151" t="s">
        <v>10</v>
      </c>
      <c r="F19" s="150"/>
      <c r="G19" s="150"/>
      <c r="H19" s="150"/>
    </row>
  </sheetData>
  <pageMargins left="0.7" right="0.7" top="0.75" bottom="0.75" header="0.3" footer="0.3"/>
  <pageSetup scale="6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7D7E-B70B-45F2-BE97-2705A7E09CC4}">
  <sheetPr codeName="Sheet8">
    <pageSetUpPr fitToPage="1"/>
  </sheetPr>
  <dimension ref="A1:G20"/>
  <sheetViews>
    <sheetView showGridLines="0" zoomScaleNormal="150" zoomScaleSheetLayoutView="100" workbookViewId="0">
      <selection sqref="A1:XFD1048576"/>
    </sheetView>
  </sheetViews>
  <sheetFormatPr defaultColWidth="9.109375" defaultRowHeight="39.75" customHeight="1" x14ac:dyDescent="0.3"/>
  <cols>
    <col min="1" max="1" width="24.44140625" style="231" customWidth="1"/>
    <col min="2" max="2" width="30.44140625" style="231" customWidth="1"/>
    <col min="3" max="3" width="44.109375" style="231" customWidth="1"/>
    <col min="4" max="4" width="24.88671875" style="231" customWidth="1"/>
    <col min="5" max="5" width="14.33203125" style="231" customWidth="1"/>
    <col min="6" max="6" width="8.88671875" style="231" customWidth="1"/>
    <col min="7" max="7" width="7.109375" style="231" customWidth="1"/>
    <col min="8" max="16384" width="9.109375" style="231"/>
  </cols>
  <sheetData>
    <row r="1" spans="1:7" s="228" customFormat="1" ht="39.75" customHeight="1" x14ac:dyDescent="0.3">
      <c r="A1" s="226" t="s">
        <v>45</v>
      </c>
      <c r="B1" s="226" t="s">
        <v>46</v>
      </c>
      <c r="C1" s="227" t="s">
        <v>47</v>
      </c>
      <c r="D1" s="227" t="s">
        <v>48</v>
      </c>
      <c r="E1" s="227" t="s">
        <v>49</v>
      </c>
      <c r="F1" s="227" t="s">
        <v>50</v>
      </c>
      <c r="G1" s="227" t="s">
        <v>51</v>
      </c>
    </row>
    <row r="2" spans="1:7" ht="39.75" customHeight="1" x14ac:dyDescent="0.3">
      <c r="A2" s="229" t="s">
        <v>52</v>
      </c>
      <c r="B2" s="230" t="s">
        <v>53</v>
      </c>
      <c r="C2" s="178" t="s">
        <v>54</v>
      </c>
      <c r="D2" s="178" t="s">
        <v>55</v>
      </c>
      <c r="E2" s="178" t="s">
        <v>55</v>
      </c>
      <c r="F2" s="178"/>
      <c r="G2" s="178"/>
    </row>
    <row r="3" spans="1:7" ht="39.75" customHeight="1" x14ac:dyDescent="0.3">
      <c r="A3" s="229" t="s">
        <v>56</v>
      </c>
      <c r="B3" s="230" t="s">
        <v>57</v>
      </c>
      <c r="C3" s="178" t="s">
        <v>58</v>
      </c>
      <c r="D3" s="178" t="s">
        <v>55</v>
      </c>
      <c r="E3" s="178" t="s">
        <v>55</v>
      </c>
      <c r="F3" s="178"/>
      <c r="G3" s="178"/>
    </row>
    <row r="4" spans="1:7" ht="39.75" customHeight="1" x14ac:dyDescent="0.3">
      <c r="A4" s="229" t="s">
        <v>59</v>
      </c>
      <c r="B4" s="230" t="s">
        <v>60</v>
      </c>
      <c r="C4" s="178" t="s">
        <v>61</v>
      </c>
      <c r="D4" s="178" t="s">
        <v>62</v>
      </c>
      <c r="E4" s="178" t="s">
        <v>63</v>
      </c>
      <c r="F4" s="178"/>
      <c r="G4" s="178"/>
    </row>
    <row r="5" spans="1:7" ht="39.75" customHeight="1" x14ac:dyDescent="0.3">
      <c r="A5" s="232" t="s">
        <v>64</v>
      </c>
      <c r="B5" s="230" t="s">
        <v>65</v>
      </c>
      <c r="C5" s="178" t="s">
        <v>66</v>
      </c>
      <c r="D5" s="178" t="s">
        <v>67</v>
      </c>
      <c r="E5" s="178" t="s">
        <v>55</v>
      </c>
      <c r="F5" s="178"/>
      <c r="G5" s="178"/>
    </row>
    <row r="6" spans="1:7" ht="39.75" customHeight="1" x14ac:dyDescent="0.3">
      <c r="A6" s="233" t="s">
        <v>68</v>
      </c>
      <c r="B6" s="230" t="s">
        <v>53</v>
      </c>
      <c r="C6" s="178" t="s">
        <v>69</v>
      </c>
      <c r="D6" s="178" t="s">
        <v>64</v>
      </c>
      <c r="E6" s="178" t="s">
        <v>55</v>
      </c>
      <c r="F6" s="178"/>
      <c r="G6" s="178"/>
    </row>
    <row r="7" spans="1:7" ht="39.75" customHeight="1" x14ac:dyDescent="0.3">
      <c r="A7" s="232" t="s">
        <v>70</v>
      </c>
      <c r="B7" s="230" t="s">
        <v>60</v>
      </c>
      <c r="C7" s="178" t="s">
        <v>71</v>
      </c>
      <c r="D7" s="178" t="s">
        <v>72</v>
      </c>
      <c r="E7" s="178" t="s">
        <v>55</v>
      </c>
      <c r="F7" s="178"/>
      <c r="G7" s="178"/>
    </row>
    <row r="8" spans="1:7" ht="39.75" customHeight="1" x14ac:dyDescent="0.3">
      <c r="A8" s="232" t="s">
        <v>73</v>
      </c>
      <c r="B8" s="230" t="s">
        <v>74</v>
      </c>
      <c r="C8" s="178" t="s">
        <v>75</v>
      </c>
      <c r="D8" s="178" t="s">
        <v>55</v>
      </c>
      <c r="E8" s="178" t="s">
        <v>55</v>
      </c>
      <c r="F8" s="178"/>
      <c r="G8" s="178"/>
    </row>
    <row r="9" spans="1:7" ht="39.75" customHeight="1" x14ac:dyDescent="0.3">
      <c r="A9" s="229" t="s">
        <v>76</v>
      </c>
      <c r="B9" s="178" t="s">
        <v>77</v>
      </c>
      <c r="C9" s="178" t="s">
        <v>78</v>
      </c>
      <c r="D9" s="178" t="s">
        <v>55</v>
      </c>
      <c r="E9" s="178" t="s">
        <v>55</v>
      </c>
      <c r="F9" s="178"/>
      <c r="G9" s="178"/>
    </row>
    <row r="10" spans="1:7" ht="39.75" customHeight="1" x14ac:dyDescent="0.3">
      <c r="A10" s="229" t="s">
        <v>79</v>
      </c>
      <c r="B10" s="178" t="s">
        <v>77</v>
      </c>
      <c r="C10" s="178" t="s">
        <v>78</v>
      </c>
      <c r="D10" s="178" t="s">
        <v>55</v>
      </c>
      <c r="E10" s="178" t="s">
        <v>55</v>
      </c>
      <c r="F10" s="178"/>
      <c r="G10" s="178"/>
    </row>
    <row r="11" spans="1:7" ht="39.75" customHeight="1" x14ac:dyDescent="0.3">
      <c r="A11" s="232" t="s">
        <v>80</v>
      </c>
      <c r="B11" s="178" t="s">
        <v>77</v>
      </c>
      <c r="C11" s="183"/>
      <c r="D11" s="178"/>
      <c r="E11" s="183"/>
      <c r="F11" s="183"/>
      <c r="G11" s="183"/>
    </row>
    <row r="12" spans="1:7" ht="39.75" customHeight="1" x14ac:dyDescent="0.3">
      <c r="A12" s="232" t="s">
        <v>81</v>
      </c>
      <c r="B12" s="178" t="s">
        <v>77</v>
      </c>
      <c r="C12" s="183"/>
      <c r="D12" s="178"/>
      <c r="E12" s="183"/>
      <c r="F12" s="183"/>
      <c r="G12" s="183"/>
    </row>
    <row r="13" spans="1:7" ht="39.75" customHeight="1" x14ac:dyDescent="0.3">
      <c r="A13" s="232" t="s">
        <v>82</v>
      </c>
      <c r="B13" s="178" t="s">
        <v>83</v>
      </c>
      <c r="C13" s="178" t="s">
        <v>84</v>
      </c>
      <c r="D13" s="178" t="s">
        <v>85</v>
      </c>
      <c r="E13" s="178" t="s">
        <v>55</v>
      </c>
      <c r="F13" s="178"/>
      <c r="G13" s="178"/>
    </row>
    <row r="14" spans="1:7" ht="39.75" customHeight="1" x14ac:dyDescent="0.3">
      <c r="A14" s="232" t="s">
        <v>86</v>
      </c>
      <c r="B14" s="178" t="s">
        <v>87</v>
      </c>
      <c r="C14" s="178" t="s">
        <v>88</v>
      </c>
      <c r="D14" s="178" t="s">
        <v>89</v>
      </c>
      <c r="E14" s="178" t="s">
        <v>55</v>
      </c>
      <c r="F14" s="178"/>
      <c r="G14" s="178"/>
    </row>
    <row r="15" spans="1:7" ht="39.75" customHeight="1" x14ac:dyDescent="0.3">
      <c r="A15" s="229" t="s">
        <v>90</v>
      </c>
      <c r="B15" s="178" t="s">
        <v>77</v>
      </c>
      <c r="C15" s="178" t="s">
        <v>78</v>
      </c>
      <c r="D15" s="178" t="s">
        <v>91</v>
      </c>
      <c r="E15" s="229"/>
      <c r="F15" s="178"/>
      <c r="G15" s="178"/>
    </row>
    <row r="16" spans="1:7" ht="39.75" customHeight="1" x14ac:dyDescent="0.3">
      <c r="A16" s="232" t="s">
        <v>92</v>
      </c>
      <c r="B16" s="178" t="s">
        <v>53</v>
      </c>
      <c r="C16" s="178"/>
      <c r="D16" s="178"/>
      <c r="E16" s="178"/>
      <c r="F16" s="178"/>
      <c r="G16" s="178"/>
    </row>
    <row r="17" spans="1:7" ht="39.75" customHeight="1" x14ac:dyDescent="0.3">
      <c r="A17" s="232" t="s">
        <v>93</v>
      </c>
      <c r="B17" s="178" t="s">
        <v>53</v>
      </c>
      <c r="C17" s="178"/>
      <c r="D17" s="178"/>
      <c r="E17" s="178"/>
      <c r="F17" s="178"/>
      <c r="G17" s="178"/>
    </row>
    <row r="18" spans="1:7" ht="39.75" customHeight="1" x14ac:dyDescent="0.3">
      <c r="A18" s="232" t="s">
        <v>94</v>
      </c>
      <c r="B18" s="178" t="s">
        <v>53</v>
      </c>
      <c r="C18" s="178"/>
      <c r="D18" s="178"/>
      <c r="E18" s="178"/>
      <c r="F18" s="178"/>
      <c r="G18" s="178"/>
    </row>
    <row r="19" spans="1:7" ht="39.75" customHeight="1" x14ac:dyDescent="0.3">
      <c r="A19" s="232" t="s">
        <v>95</v>
      </c>
      <c r="B19" s="178" t="s">
        <v>53</v>
      </c>
      <c r="C19" s="178"/>
      <c r="D19" s="178"/>
      <c r="E19" s="178"/>
      <c r="F19" s="178"/>
      <c r="G19" s="178"/>
    </row>
    <row r="20" spans="1:7" ht="69.75" customHeight="1" x14ac:dyDescent="0.3">
      <c r="A20" s="233" t="s">
        <v>96</v>
      </c>
      <c r="B20" s="230" t="s">
        <v>57</v>
      </c>
      <c r="C20" s="178" t="s">
        <v>97</v>
      </c>
      <c r="D20" s="178" t="s">
        <v>98</v>
      </c>
      <c r="E20" s="178"/>
      <c r="F20" s="178"/>
      <c r="G20" s="178"/>
    </row>
  </sheetData>
  <pageMargins left="0.7" right="0.7" top="0.75" bottom="0.75" header="0.3" footer="0.3"/>
  <pageSetup scale="58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C28A-80F2-2E40-9AAF-0D393BDFFFCD}">
  <sheetPr codeName="Sheet7"/>
  <dimension ref="A1:D36"/>
  <sheetViews>
    <sheetView showGridLines="0" zoomScaleNormal="100" zoomScaleSheetLayoutView="100" workbookViewId="0">
      <selection sqref="A1:C1"/>
    </sheetView>
  </sheetViews>
  <sheetFormatPr defaultColWidth="8.5546875" defaultRowHeight="39.75" customHeight="1" x14ac:dyDescent="0.3"/>
  <cols>
    <col min="1" max="2" width="22.44140625" style="217" customWidth="1"/>
    <col min="3" max="3" width="64.33203125" style="217" customWidth="1"/>
    <col min="4" max="16384" width="8.5546875" style="217"/>
  </cols>
  <sheetData>
    <row r="1" spans="1:4" ht="39.75" customHeight="1" x14ac:dyDescent="0.3">
      <c r="A1" s="234" t="s">
        <v>742</v>
      </c>
      <c r="B1" s="234" t="s">
        <v>100</v>
      </c>
      <c r="C1" s="234" t="s">
        <v>101</v>
      </c>
      <c r="D1" s="216"/>
    </row>
    <row r="2" spans="1:4" ht="39.75" customHeight="1" x14ac:dyDescent="0.3">
      <c r="A2" s="218" t="s">
        <v>102</v>
      </c>
      <c r="B2" s="219" t="s">
        <v>103</v>
      </c>
      <c r="C2" s="220" t="s">
        <v>104</v>
      </c>
      <c r="D2" s="216"/>
    </row>
    <row r="3" spans="1:4" ht="39.75" customHeight="1" x14ac:dyDescent="0.3">
      <c r="A3" s="221" t="s">
        <v>102</v>
      </c>
      <c r="B3" s="184" t="s">
        <v>105</v>
      </c>
      <c r="C3" s="177" t="s">
        <v>106</v>
      </c>
      <c r="D3" s="216"/>
    </row>
    <row r="4" spans="1:4" ht="39.75" customHeight="1" x14ac:dyDescent="0.3">
      <c r="A4" s="221" t="s">
        <v>102</v>
      </c>
      <c r="B4" s="184" t="s">
        <v>91</v>
      </c>
      <c r="C4" s="177" t="s">
        <v>107</v>
      </c>
      <c r="D4" s="216"/>
    </row>
    <row r="5" spans="1:4" ht="39.75" customHeight="1" x14ac:dyDescent="0.3">
      <c r="A5" s="221" t="s">
        <v>102</v>
      </c>
      <c r="B5" s="184" t="s">
        <v>108</v>
      </c>
      <c r="C5" s="177" t="s">
        <v>109</v>
      </c>
      <c r="D5" s="216"/>
    </row>
    <row r="6" spans="1:4" ht="39.75" customHeight="1" x14ac:dyDescent="0.3">
      <c r="A6" s="221" t="s">
        <v>102</v>
      </c>
      <c r="B6" s="184" t="s">
        <v>110</v>
      </c>
      <c r="C6" s="177" t="s">
        <v>111</v>
      </c>
      <c r="D6" s="216"/>
    </row>
    <row r="7" spans="1:4" ht="39.75" customHeight="1" x14ac:dyDescent="0.3">
      <c r="A7" s="221" t="s">
        <v>102</v>
      </c>
      <c r="B7" s="184" t="s">
        <v>112</v>
      </c>
      <c r="C7" s="177" t="s">
        <v>113</v>
      </c>
      <c r="D7" s="216"/>
    </row>
    <row r="8" spans="1:4" ht="60" customHeight="1" x14ac:dyDescent="0.3">
      <c r="A8" s="221" t="s">
        <v>102</v>
      </c>
      <c r="B8" s="184" t="s">
        <v>114</v>
      </c>
      <c r="C8" s="177" t="s">
        <v>115</v>
      </c>
      <c r="D8" s="216"/>
    </row>
    <row r="9" spans="1:4" ht="60" customHeight="1" x14ac:dyDescent="0.3">
      <c r="A9" s="221" t="s">
        <v>102</v>
      </c>
      <c r="B9" s="184" t="s">
        <v>116</v>
      </c>
      <c r="C9" s="177" t="s">
        <v>117</v>
      </c>
      <c r="D9" s="216"/>
    </row>
    <row r="10" spans="1:4" ht="60" customHeight="1" x14ac:dyDescent="0.3">
      <c r="A10" s="221" t="s">
        <v>102</v>
      </c>
      <c r="B10" s="184" t="s">
        <v>118</v>
      </c>
      <c r="C10" s="177" t="s">
        <v>119</v>
      </c>
      <c r="D10" s="216"/>
    </row>
    <row r="11" spans="1:4" ht="69.75" customHeight="1" x14ac:dyDescent="0.3">
      <c r="A11" s="221" t="s">
        <v>102</v>
      </c>
      <c r="B11" s="184" t="s">
        <v>120</v>
      </c>
      <c r="C11" s="177" t="s">
        <v>121</v>
      </c>
      <c r="D11" s="216"/>
    </row>
    <row r="12" spans="1:4" ht="39.75" customHeight="1" x14ac:dyDescent="0.3">
      <c r="A12" s="221" t="s">
        <v>102</v>
      </c>
      <c r="B12" s="184" t="s">
        <v>122</v>
      </c>
      <c r="C12" s="177" t="s">
        <v>123</v>
      </c>
      <c r="D12" s="216"/>
    </row>
    <row r="13" spans="1:4" ht="39.75" customHeight="1" x14ac:dyDescent="0.3">
      <c r="A13" s="222" t="s">
        <v>124</v>
      </c>
      <c r="B13" s="184" t="s">
        <v>125</v>
      </c>
      <c r="C13" s="177" t="s">
        <v>126</v>
      </c>
      <c r="D13" s="216"/>
    </row>
    <row r="14" spans="1:4" ht="39.75" customHeight="1" x14ac:dyDescent="0.3">
      <c r="A14" s="222" t="s">
        <v>124</v>
      </c>
      <c r="B14" s="184" t="s">
        <v>127</v>
      </c>
      <c r="C14" s="177" t="s">
        <v>128</v>
      </c>
      <c r="D14" s="216"/>
    </row>
    <row r="15" spans="1:4" ht="39.75" customHeight="1" x14ac:dyDescent="0.3">
      <c r="A15" s="222" t="s">
        <v>124</v>
      </c>
      <c r="B15" s="184" t="s">
        <v>129</v>
      </c>
      <c r="C15" s="177" t="s">
        <v>130</v>
      </c>
      <c r="D15" s="216"/>
    </row>
    <row r="16" spans="1:4" ht="39.75" customHeight="1" x14ac:dyDescent="0.3">
      <c r="A16" s="222" t="s">
        <v>124</v>
      </c>
      <c r="B16" s="184" t="s">
        <v>131</v>
      </c>
      <c r="C16" s="177" t="s">
        <v>132</v>
      </c>
      <c r="D16" s="216"/>
    </row>
    <row r="17" spans="1:4" ht="60" customHeight="1" x14ac:dyDescent="0.3">
      <c r="A17" s="222" t="s">
        <v>124</v>
      </c>
      <c r="B17" s="184" t="s">
        <v>133</v>
      </c>
      <c r="C17" s="177" t="s">
        <v>134</v>
      </c>
      <c r="D17" s="216"/>
    </row>
    <row r="18" spans="1:4" ht="39.75" customHeight="1" x14ac:dyDescent="0.3">
      <c r="A18" s="222" t="s">
        <v>124</v>
      </c>
      <c r="B18" s="184" t="s">
        <v>135</v>
      </c>
      <c r="C18" s="177" t="s">
        <v>136</v>
      </c>
      <c r="D18" s="216"/>
    </row>
    <row r="19" spans="1:4" ht="39.75" customHeight="1" x14ac:dyDescent="0.3">
      <c r="A19" s="222" t="s">
        <v>124</v>
      </c>
      <c r="B19" s="184" t="s">
        <v>137</v>
      </c>
      <c r="C19" s="177"/>
      <c r="D19" s="216"/>
    </row>
    <row r="20" spans="1:4" ht="39.75" customHeight="1" x14ac:dyDescent="0.3">
      <c r="A20" s="222" t="s">
        <v>124</v>
      </c>
      <c r="B20" s="184" t="s">
        <v>138</v>
      </c>
      <c r="C20" s="177"/>
      <c r="D20" s="216"/>
    </row>
    <row r="21" spans="1:4" ht="39.75" customHeight="1" x14ac:dyDescent="0.3">
      <c r="A21" s="222" t="s">
        <v>124</v>
      </c>
      <c r="B21" s="184" t="s">
        <v>139</v>
      </c>
      <c r="C21" s="177"/>
      <c r="D21" s="216"/>
    </row>
    <row r="22" spans="1:4" ht="39.75" customHeight="1" x14ac:dyDescent="0.3">
      <c r="A22" s="222" t="s">
        <v>124</v>
      </c>
      <c r="B22" s="184" t="s">
        <v>140</v>
      </c>
      <c r="C22" s="177"/>
      <c r="D22" s="216"/>
    </row>
    <row r="23" spans="1:4" ht="39.75" customHeight="1" x14ac:dyDescent="0.3">
      <c r="A23" s="222" t="s">
        <v>124</v>
      </c>
      <c r="B23" s="184" t="s">
        <v>141</v>
      </c>
      <c r="C23" s="177"/>
      <c r="D23" s="216"/>
    </row>
    <row r="24" spans="1:4" ht="39.75" customHeight="1" x14ac:dyDescent="0.3">
      <c r="A24" s="221" t="s">
        <v>142</v>
      </c>
      <c r="B24" s="184" t="s">
        <v>143</v>
      </c>
      <c r="C24" s="177" t="s">
        <v>144</v>
      </c>
      <c r="D24" s="216"/>
    </row>
    <row r="25" spans="1:4" ht="39.75" customHeight="1" x14ac:dyDescent="0.3">
      <c r="A25" s="221" t="s">
        <v>142</v>
      </c>
      <c r="B25" s="184" t="s">
        <v>125</v>
      </c>
      <c r="C25" s="177" t="s">
        <v>145</v>
      </c>
      <c r="D25" s="216"/>
    </row>
    <row r="26" spans="1:4" ht="39.75" customHeight="1" x14ac:dyDescent="0.3">
      <c r="A26" s="221" t="s">
        <v>142</v>
      </c>
      <c r="B26" s="184" t="s">
        <v>146</v>
      </c>
      <c r="C26" s="177" t="s">
        <v>147</v>
      </c>
      <c r="D26" s="216"/>
    </row>
    <row r="27" spans="1:4" ht="39.75" customHeight="1" x14ac:dyDescent="0.3">
      <c r="A27" s="221" t="s">
        <v>142</v>
      </c>
      <c r="B27" s="184" t="s">
        <v>148</v>
      </c>
      <c r="C27" s="177" t="s">
        <v>149</v>
      </c>
      <c r="D27" s="216"/>
    </row>
    <row r="28" spans="1:4" ht="39.75" customHeight="1" x14ac:dyDescent="0.3">
      <c r="A28" s="221" t="s">
        <v>142</v>
      </c>
      <c r="B28" s="184" t="s">
        <v>150</v>
      </c>
      <c r="C28" s="177" t="s">
        <v>151</v>
      </c>
      <c r="D28" s="216"/>
    </row>
    <row r="29" spans="1:4" ht="39.75" customHeight="1" x14ac:dyDescent="0.3">
      <c r="A29" s="221" t="s">
        <v>142</v>
      </c>
      <c r="B29" s="184" t="s">
        <v>129</v>
      </c>
      <c r="C29" s="177" t="s">
        <v>152</v>
      </c>
      <c r="D29" s="216"/>
    </row>
    <row r="30" spans="1:4" ht="39.75" customHeight="1" x14ac:dyDescent="0.3">
      <c r="A30" s="221" t="s">
        <v>142</v>
      </c>
      <c r="B30" s="184" t="s">
        <v>131</v>
      </c>
      <c r="C30" s="177" t="s">
        <v>153</v>
      </c>
      <c r="D30" s="216"/>
    </row>
    <row r="31" spans="1:4" ht="39.75" customHeight="1" x14ac:dyDescent="0.3">
      <c r="A31" s="221" t="s">
        <v>142</v>
      </c>
      <c r="B31" s="184" t="s">
        <v>154</v>
      </c>
      <c r="C31" s="177" t="s">
        <v>155</v>
      </c>
      <c r="D31" s="216"/>
    </row>
    <row r="32" spans="1:4" ht="60" customHeight="1" x14ac:dyDescent="0.3">
      <c r="A32" s="221" t="s">
        <v>142</v>
      </c>
      <c r="B32" s="184" t="s">
        <v>156</v>
      </c>
      <c r="C32" s="177" t="s">
        <v>157</v>
      </c>
      <c r="D32" s="216"/>
    </row>
    <row r="33" spans="1:4" ht="39.75" customHeight="1" x14ac:dyDescent="0.3">
      <c r="A33" s="221" t="s">
        <v>142</v>
      </c>
      <c r="B33" s="184" t="s">
        <v>158</v>
      </c>
      <c r="C33" s="177" t="s">
        <v>159</v>
      </c>
      <c r="D33" s="216"/>
    </row>
    <row r="34" spans="1:4" ht="39.75" customHeight="1" x14ac:dyDescent="0.3">
      <c r="A34" s="221" t="s">
        <v>142</v>
      </c>
      <c r="B34" s="184" t="s">
        <v>160</v>
      </c>
      <c r="C34" s="177" t="s">
        <v>161</v>
      </c>
      <c r="D34" s="216"/>
    </row>
    <row r="35" spans="1:4" ht="39.75" customHeight="1" x14ac:dyDescent="0.3">
      <c r="A35" s="223" t="s">
        <v>142</v>
      </c>
      <c r="B35" s="224" t="s">
        <v>162</v>
      </c>
      <c r="C35" s="225" t="s">
        <v>163</v>
      </c>
      <c r="D35" s="216"/>
    </row>
    <row r="36" spans="1:4" ht="39.75" customHeight="1" x14ac:dyDescent="0.3">
      <c r="A36" s="216"/>
      <c r="B36" s="216"/>
      <c r="C36" s="216"/>
      <c r="D36" s="2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ACA-1957-5046-9EB4-906F31881CB1}">
  <dimension ref="A1:B39"/>
  <sheetViews>
    <sheetView showGridLines="0" zoomScale="145" zoomScaleNormal="145" zoomScaleSheetLayoutView="100" workbookViewId="0">
      <selection activeCell="B13" sqref="B13"/>
    </sheetView>
  </sheetViews>
  <sheetFormatPr defaultColWidth="9.109375" defaultRowHeight="14.4" x14ac:dyDescent="0.3"/>
  <cols>
    <col min="1" max="1" width="14.5546875" style="215" customWidth="1"/>
    <col min="2" max="2" width="34" style="215" customWidth="1"/>
    <col min="3" max="16384" width="9.109375" style="215"/>
  </cols>
  <sheetData>
    <row r="1" spans="1:2" x14ac:dyDescent="0.3">
      <c r="A1" s="166" t="s">
        <v>99</v>
      </c>
      <c r="B1" s="166" t="s">
        <v>611</v>
      </c>
    </row>
    <row r="2" spans="1:2" x14ac:dyDescent="0.3">
      <c r="A2" s="167" t="s">
        <v>79</v>
      </c>
      <c r="B2" s="168" t="str">
        <f>'Permit &amp; App'!A9</f>
        <v>Accessory</v>
      </c>
    </row>
    <row r="3" spans="1:2" x14ac:dyDescent="0.3">
      <c r="A3" s="167" t="s">
        <v>79</v>
      </c>
      <c r="B3" s="166" t="s">
        <v>612</v>
      </c>
    </row>
    <row r="4" spans="1:2" x14ac:dyDescent="0.3">
      <c r="A4" s="167" t="s">
        <v>79</v>
      </c>
      <c r="B4" s="168" t="str">
        <f>'Permit &amp; App'!A10</f>
        <v>Commercial</v>
      </c>
    </row>
    <row r="5" spans="1:2" x14ac:dyDescent="0.3">
      <c r="A5" s="167" t="s">
        <v>79</v>
      </c>
      <c r="B5" s="168" t="str">
        <f>'Permit &amp; App'!A11</f>
        <v>Demolition</v>
      </c>
    </row>
    <row r="6" spans="1:2" x14ac:dyDescent="0.3">
      <c r="A6" s="167" t="s">
        <v>79</v>
      </c>
      <c r="B6" s="168" t="str">
        <f>'Permit &amp; App'!A12</f>
        <v>Dwellings</v>
      </c>
    </row>
    <row r="7" spans="1:2" x14ac:dyDescent="0.3">
      <c r="A7" s="167" t="s">
        <v>79</v>
      </c>
      <c r="B7" s="168" t="str">
        <f>'Permit &amp; App'!A13</f>
        <v>Electrical</v>
      </c>
    </row>
    <row r="8" spans="1:2" x14ac:dyDescent="0.3">
      <c r="A8" s="167" t="s">
        <v>79</v>
      </c>
      <c r="B8" s="168" t="str">
        <f>'Permit &amp; App'!A14</f>
        <v>Fire</v>
      </c>
    </row>
    <row r="9" spans="1:2" x14ac:dyDescent="0.3">
      <c r="A9" s="167" t="s">
        <v>79</v>
      </c>
      <c r="B9" s="168" t="str">
        <f>'Permit &amp; App'!A15</f>
        <v>Flood</v>
      </c>
    </row>
    <row r="10" spans="1:2" x14ac:dyDescent="0.3">
      <c r="A10" s="167" t="s">
        <v>79</v>
      </c>
      <c r="B10" s="168" t="str">
        <f>'Permit &amp; App'!A16</f>
        <v>Grading</v>
      </c>
    </row>
    <row r="11" spans="1:2" x14ac:dyDescent="0.3">
      <c r="A11" s="167" t="s">
        <v>79</v>
      </c>
      <c r="B11" s="168" t="str">
        <f>'Permit &amp; App'!A17</f>
        <v>Mechanical</v>
      </c>
    </row>
    <row r="12" spans="1:2" x14ac:dyDescent="0.3">
      <c r="A12" s="167" t="s">
        <v>79</v>
      </c>
      <c r="B12" s="168" t="str">
        <f>'Permit &amp; App'!A18</f>
        <v>Plumbing</v>
      </c>
    </row>
    <row r="13" spans="1:2" x14ac:dyDescent="0.3">
      <c r="A13" s="167" t="s">
        <v>79</v>
      </c>
      <c r="B13" s="168" t="str">
        <f>'Permit &amp; App'!A19</f>
        <v>Pool/Spa</v>
      </c>
    </row>
    <row r="14" spans="1:2" x14ac:dyDescent="0.3">
      <c r="A14" s="169" t="s">
        <v>613</v>
      </c>
      <c r="B14" s="168" t="s">
        <v>614</v>
      </c>
    </row>
    <row r="15" spans="1:2" x14ac:dyDescent="0.3">
      <c r="A15" s="169" t="s">
        <v>613</v>
      </c>
      <c r="B15" s="168" t="s">
        <v>615</v>
      </c>
    </row>
    <row r="16" spans="1:2" x14ac:dyDescent="0.3">
      <c r="A16" s="169" t="s">
        <v>613</v>
      </c>
      <c r="B16" s="168" t="s">
        <v>616</v>
      </c>
    </row>
    <row r="17" spans="1:2" x14ac:dyDescent="0.3">
      <c r="A17" s="169" t="s">
        <v>613</v>
      </c>
      <c r="B17" s="168" t="s">
        <v>617</v>
      </c>
    </row>
    <row r="18" spans="1:2" x14ac:dyDescent="0.3">
      <c r="A18" s="169" t="s">
        <v>613</v>
      </c>
      <c r="B18" s="168" t="s">
        <v>618</v>
      </c>
    </row>
    <row r="19" spans="1:2" x14ac:dyDescent="0.3">
      <c r="A19" s="169" t="s">
        <v>613</v>
      </c>
      <c r="B19" s="168" t="s">
        <v>619</v>
      </c>
    </row>
    <row r="20" spans="1:2" x14ac:dyDescent="0.3">
      <c r="A20" s="170" t="s">
        <v>620</v>
      </c>
      <c r="B20" s="166" t="s">
        <v>621</v>
      </c>
    </row>
    <row r="21" spans="1:2" x14ac:dyDescent="0.3">
      <c r="A21" s="170" t="s">
        <v>620</v>
      </c>
      <c r="B21" s="166" t="s">
        <v>612</v>
      </c>
    </row>
    <row r="22" spans="1:2" x14ac:dyDescent="0.3">
      <c r="A22" s="170" t="s">
        <v>620</v>
      </c>
      <c r="B22" s="166" t="s">
        <v>622</v>
      </c>
    </row>
    <row r="23" spans="1:2" x14ac:dyDescent="0.3">
      <c r="A23" s="170" t="s">
        <v>620</v>
      </c>
      <c r="B23" s="166" t="s">
        <v>623</v>
      </c>
    </row>
    <row r="24" spans="1:2" x14ac:dyDescent="0.3">
      <c r="A24" s="171" t="s">
        <v>624</v>
      </c>
      <c r="B24" s="168" t="s">
        <v>625</v>
      </c>
    </row>
    <row r="25" spans="1:2" x14ac:dyDescent="0.3">
      <c r="A25" s="171" t="s">
        <v>624</v>
      </c>
      <c r="B25" s="166" t="s">
        <v>626</v>
      </c>
    </row>
    <row r="26" spans="1:2" x14ac:dyDescent="0.3">
      <c r="A26" s="171" t="s">
        <v>624</v>
      </c>
      <c r="B26" s="166" t="s">
        <v>31</v>
      </c>
    </row>
    <row r="27" spans="1:2" x14ac:dyDescent="0.3">
      <c r="A27" s="171" t="s">
        <v>624</v>
      </c>
      <c r="B27" s="166" t="s">
        <v>627</v>
      </c>
    </row>
    <row r="28" spans="1:2" x14ac:dyDescent="0.3">
      <c r="A28" s="171" t="s">
        <v>624</v>
      </c>
      <c r="B28" s="168" t="s">
        <v>628</v>
      </c>
    </row>
    <row r="29" spans="1:2" x14ac:dyDescent="0.3">
      <c r="A29" s="171" t="s">
        <v>624</v>
      </c>
      <c r="B29" s="166" t="s">
        <v>629</v>
      </c>
    </row>
    <row r="30" spans="1:2" x14ac:dyDescent="0.3">
      <c r="A30" s="171" t="s">
        <v>624</v>
      </c>
      <c r="B30" s="166" t="s">
        <v>616</v>
      </c>
    </row>
    <row r="31" spans="1:2" x14ac:dyDescent="0.3">
      <c r="A31" s="171" t="s">
        <v>624</v>
      </c>
      <c r="B31" s="166" t="s">
        <v>617</v>
      </c>
    </row>
    <row r="32" spans="1:2" x14ac:dyDescent="0.3">
      <c r="A32" s="171" t="s">
        <v>624</v>
      </c>
      <c r="B32" s="168" t="s">
        <v>630</v>
      </c>
    </row>
    <row r="33" spans="1:2" x14ac:dyDescent="0.3">
      <c r="A33" s="171" t="s">
        <v>624</v>
      </c>
      <c r="B33" s="166" t="s">
        <v>39</v>
      </c>
    </row>
    <row r="34" spans="1:2" x14ac:dyDescent="0.3">
      <c r="A34" s="171" t="s">
        <v>624</v>
      </c>
      <c r="B34" s="166" t="s">
        <v>41</v>
      </c>
    </row>
    <row r="35" spans="1:2" x14ac:dyDescent="0.3">
      <c r="A35" s="171" t="s">
        <v>624</v>
      </c>
      <c r="B35" s="166" t="s">
        <v>631</v>
      </c>
    </row>
    <row r="36" spans="1:2" x14ac:dyDescent="0.3">
      <c r="A36" s="171" t="s">
        <v>624</v>
      </c>
      <c r="B36" s="166" t="s">
        <v>632</v>
      </c>
    </row>
    <row r="37" spans="1:2" x14ac:dyDescent="0.3">
      <c r="A37" s="171" t="s">
        <v>624</v>
      </c>
      <c r="B37" s="168" t="s">
        <v>633</v>
      </c>
    </row>
    <row r="38" spans="1:2" x14ac:dyDescent="0.3">
      <c r="A38" s="167" t="s">
        <v>634</v>
      </c>
      <c r="B38" s="166" t="s">
        <v>635</v>
      </c>
    </row>
    <row r="39" spans="1:2" x14ac:dyDescent="0.3">
      <c r="A39" s="167" t="s">
        <v>634</v>
      </c>
      <c r="B39" s="166" t="s">
        <v>636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EE3D-86C7-425D-AE82-05540C2DD1F4}">
  <sheetPr codeName="Sheet2"/>
  <dimension ref="A1:R39"/>
  <sheetViews>
    <sheetView showGridLines="0" zoomScale="115" zoomScaleNormal="115" workbookViewId="0">
      <selection activeCell="A27" sqref="A27"/>
    </sheetView>
  </sheetViews>
  <sheetFormatPr defaultColWidth="9.109375" defaultRowHeight="14.4" x14ac:dyDescent="0.3"/>
  <cols>
    <col min="1" max="1" width="23.44140625" style="214" customWidth="1"/>
    <col min="2" max="2" width="19.5546875" style="214" customWidth="1"/>
    <col min="3" max="3" width="6" style="214" customWidth="1"/>
    <col min="4" max="4" width="19.5546875" style="214" customWidth="1"/>
    <col min="5" max="5" width="8.88671875" style="214" customWidth="1"/>
    <col min="6" max="6" width="37.6640625" style="214" customWidth="1"/>
    <col min="7" max="17" width="7.44140625" style="214" customWidth="1"/>
    <col min="18" max="19" width="14.6640625" style="214" customWidth="1"/>
    <col min="20" max="20" width="13.88671875" style="214" customWidth="1"/>
    <col min="21" max="21" width="17.109375" style="214" customWidth="1"/>
    <col min="22" max="22" width="16.109375" style="214" customWidth="1"/>
    <col min="23" max="23" width="17" style="214" customWidth="1"/>
    <col min="24" max="33" width="13.88671875" style="214" customWidth="1"/>
    <col min="34" max="16384" width="9.109375" style="214"/>
  </cols>
  <sheetData>
    <row r="1" spans="1:18" s="190" customFormat="1" ht="28.8" x14ac:dyDescent="0.3">
      <c r="A1" s="188" t="s">
        <v>164</v>
      </c>
      <c r="B1" s="188" t="s">
        <v>165</v>
      </c>
      <c r="C1" s="188" t="s">
        <v>166</v>
      </c>
      <c r="D1" s="188" t="s">
        <v>167</v>
      </c>
      <c r="E1" s="189" t="s">
        <v>168</v>
      </c>
      <c r="F1" s="188" t="s">
        <v>169</v>
      </c>
      <c r="G1" s="189" t="s">
        <v>170</v>
      </c>
      <c r="H1" s="188" t="s">
        <v>171</v>
      </c>
      <c r="I1" s="188" t="s">
        <v>172</v>
      </c>
      <c r="J1" s="188" t="s">
        <v>173</v>
      </c>
      <c r="K1" s="188" t="s">
        <v>174</v>
      </c>
      <c r="L1" s="188" t="s">
        <v>175</v>
      </c>
      <c r="M1" s="188" t="s">
        <v>176</v>
      </c>
      <c r="N1" s="188" t="s">
        <v>33</v>
      </c>
      <c r="O1" s="188" t="s">
        <v>177</v>
      </c>
      <c r="P1" s="188" t="s">
        <v>178</v>
      </c>
      <c r="Q1" s="188" t="s">
        <v>179</v>
      </c>
    </row>
    <row r="2" spans="1:18" s="190" customFormat="1" ht="20.25" customHeight="1" x14ac:dyDescent="0.3">
      <c r="A2" s="191" t="s">
        <v>180</v>
      </c>
      <c r="B2" s="192" t="s">
        <v>181</v>
      </c>
      <c r="C2" s="192"/>
      <c r="D2" s="192" t="s">
        <v>182</v>
      </c>
      <c r="E2" s="192" t="s">
        <v>183</v>
      </c>
      <c r="F2" s="193" t="s">
        <v>184</v>
      </c>
      <c r="G2" s="194"/>
      <c r="H2" s="194">
        <v>1</v>
      </c>
      <c r="I2" s="194"/>
      <c r="J2" s="194"/>
      <c r="K2" s="194"/>
      <c r="L2" s="195"/>
      <c r="M2" s="195"/>
      <c r="N2" s="195"/>
      <c r="O2" s="195"/>
      <c r="P2" s="195"/>
      <c r="Q2" s="196"/>
    </row>
    <row r="3" spans="1:18" s="190" customFormat="1" ht="20.25" customHeight="1" x14ac:dyDescent="0.3">
      <c r="A3" s="197" t="s">
        <v>185</v>
      </c>
      <c r="B3" s="198" t="s">
        <v>186</v>
      </c>
      <c r="C3" s="198"/>
      <c r="D3" s="198" t="s">
        <v>187</v>
      </c>
      <c r="E3" s="198" t="str">
        <f t="shared" ref="E3:E25" si="0">CONCATENATE(LEFT(B3,1),C3,LEFT(D3,1))</f>
        <v>JA</v>
      </c>
      <c r="F3" s="199" t="s">
        <v>188</v>
      </c>
      <c r="G3" s="200">
        <v>1</v>
      </c>
      <c r="H3" s="200"/>
      <c r="I3" s="200"/>
      <c r="J3" s="200"/>
      <c r="K3" s="200"/>
      <c r="L3" s="201"/>
      <c r="M3" s="201"/>
      <c r="N3" s="201"/>
      <c r="O3" s="201"/>
      <c r="P3" s="201"/>
      <c r="Q3" s="202"/>
    </row>
    <row r="4" spans="1:18" s="190" customFormat="1" ht="20.25" customHeight="1" x14ac:dyDescent="0.3">
      <c r="A4" s="197" t="s">
        <v>189</v>
      </c>
      <c r="B4" s="198" t="s">
        <v>190</v>
      </c>
      <c r="C4" s="198"/>
      <c r="D4" s="198" t="s">
        <v>191</v>
      </c>
      <c r="E4" s="198" t="str">
        <f t="shared" si="0"/>
        <v>AE</v>
      </c>
      <c r="F4" s="199" t="s">
        <v>192</v>
      </c>
      <c r="G4" s="200"/>
      <c r="H4" s="200">
        <v>1</v>
      </c>
      <c r="I4" s="200">
        <v>1</v>
      </c>
      <c r="J4" s="200">
        <v>1</v>
      </c>
      <c r="K4" s="200">
        <v>1</v>
      </c>
      <c r="L4" s="201">
        <v>1</v>
      </c>
      <c r="M4" s="201"/>
      <c r="N4" s="201"/>
      <c r="O4" s="201"/>
      <c r="P4" s="201"/>
      <c r="Q4" s="202"/>
    </row>
    <row r="5" spans="1:18" s="190" customFormat="1" ht="20.25" customHeight="1" x14ac:dyDescent="0.3">
      <c r="A5" s="197" t="s">
        <v>189</v>
      </c>
      <c r="B5" s="198" t="s">
        <v>193</v>
      </c>
      <c r="C5" s="198"/>
      <c r="D5" s="198" t="s">
        <v>194</v>
      </c>
      <c r="E5" s="198" t="str">
        <f t="shared" si="0"/>
        <v>AY</v>
      </c>
      <c r="F5" s="199" t="s">
        <v>195</v>
      </c>
      <c r="G5" s="200"/>
      <c r="H5" s="200">
        <v>1</v>
      </c>
      <c r="I5" s="200">
        <v>1</v>
      </c>
      <c r="J5" s="200">
        <v>1</v>
      </c>
      <c r="K5" s="200">
        <v>1</v>
      </c>
      <c r="L5" s="201">
        <v>1</v>
      </c>
      <c r="M5" s="201"/>
      <c r="N5" s="201"/>
      <c r="O5" s="201"/>
      <c r="P5" s="201"/>
      <c r="Q5" s="202"/>
    </row>
    <row r="6" spans="1:18" s="190" customFormat="1" ht="20.25" customHeight="1" x14ac:dyDescent="0.3">
      <c r="A6" s="197" t="s">
        <v>189</v>
      </c>
      <c r="B6" s="198" t="s">
        <v>189</v>
      </c>
      <c r="C6" s="198"/>
      <c r="D6" s="198" t="s">
        <v>196</v>
      </c>
      <c r="E6" s="198" t="str">
        <f t="shared" si="0"/>
        <v>BD</v>
      </c>
      <c r="F6" s="199" t="s">
        <v>197</v>
      </c>
      <c r="G6" s="200"/>
      <c r="H6" s="200">
        <v>1</v>
      </c>
      <c r="I6" s="200">
        <v>1</v>
      </c>
      <c r="J6" s="200">
        <v>1</v>
      </c>
      <c r="K6" s="200">
        <v>1</v>
      </c>
      <c r="L6" s="201">
        <v>1</v>
      </c>
      <c r="M6" s="201"/>
      <c r="N6" s="201"/>
      <c r="O6" s="201"/>
      <c r="P6" s="201"/>
      <c r="Q6" s="202"/>
    </row>
    <row r="7" spans="1:18" s="190" customFormat="1" ht="20.25" customHeight="1" x14ac:dyDescent="0.3">
      <c r="A7" s="197" t="s">
        <v>189</v>
      </c>
      <c r="B7" s="198" t="s">
        <v>198</v>
      </c>
      <c r="C7" s="198"/>
      <c r="D7" s="198" t="s">
        <v>199</v>
      </c>
      <c r="E7" s="198" t="str">
        <f t="shared" si="0"/>
        <v>CR</v>
      </c>
      <c r="F7" s="199" t="s">
        <v>200</v>
      </c>
      <c r="G7" s="200"/>
      <c r="H7" s="200">
        <v>1</v>
      </c>
      <c r="I7" s="200">
        <v>1</v>
      </c>
      <c r="J7" s="200">
        <v>1</v>
      </c>
      <c r="K7" s="200">
        <v>1</v>
      </c>
      <c r="L7" s="201">
        <v>1</v>
      </c>
      <c r="M7" s="203"/>
      <c r="N7" s="203"/>
      <c r="O7" s="203"/>
      <c r="P7" s="203"/>
      <c r="Q7" s="204"/>
    </row>
    <row r="8" spans="1:18" s="190" customFormat="1" ht="20.25" customHeight="1" x14ac:dyDescent="0.3">
      <c r="A8" s="197" t="s">
        <v>189</v>
      </c>
      <c r="B8" s="198" t="s">
        <v>201</v>
      </c>
      <c r="C8" s="198"/>
      <c r="D8" s="198" t="s">
        <v>202</v>
      </c>
      <c r="E8" s="198" t="str">
        <f t="shared" si="0"/>
        <v>DK</v>
      </c>
      <c r="F8" s="199" t="s">
        <v>203</v>
      </c>
      <c r="G8" s="200"/>
      <c r="H8" s="200">
        <v>1</v>
      </c>
      <c r="I8" s="200">
        <v>1</v>
      </c>
      <c r="J8" s="200">
        <v>1</v>
      </c>
      <c r="K8" s="200">
        <v>1</v>
      </c>
      <c r="L8" s="201">
        <v>1</v>
      </c>
      <c r="M8" s="201"/>
      <c r="N8" s="201"/>
      <c r="O8" s="201"/>
      <c r="P8" s="201"/>
      <c r="Q8" s="202"/>
      <c r="R8" s="205"/>
    </row>
    <row r="9" spans="1:18" s="190" customFormat="1" ht="20.25" customHeight="1" x14ac:dyDescent="0.3">
      <c r="A9" s="197" t="s">
        <v>189</v>
      </c>
      <c r="B9" s="198" t="s">
        <v>204</v>
      </c>
      <c r="C9" s="198" t="s">
        <v>205</v>
      </c>
      <c r="D9" s="198" t="s">
        <v>206</v>
      </c>
      <c r="E9" s="198" t="str">
        <f t="shared" si="0"/>
        <v>MAN</v>
      </c>
      <c r="F9" s="199" t="s">
        <v>207</v>
      </c>
      <c r="G9" s="200"/>
      <c r="H9" s="200">
        <v>1</v>
      </c>
      <c r="I9" s="200">
        <v>1</v>
      </c>
      <c r="J9" s="200">
        <v>1</v>
      </c>
      <c r="K9" s="200">
        <v>1</v>
      </c>
      <c r="L9" s="201">
        <v>1</v>
      </c>
      <c r="M9" s="201"/>
      <c r="N9" s="201"/>
      <c r="O9" s="201"/>
      <c r="P9" s="201"/>
      <c r="Q9" s="202"/>
    </row>
    <row r="10" spans="1:18" s="190" customFormat="1" ht="20.25" customHeight="1" x14ac:dyDescent="0.3">
      <c r="A10" s="197" t="s">
        <v>189</v>
      </c>
      <c r="B10" s="198" t="s">
        <v>208</v>
      </c>
      <c r="C10" s="198" t="s">
        <v>209</v>
      </c>
      <c r="D10" s="198" t="s">
        <v>210</v>
      </c>
      <c r="E10" s="198" t="str">
        <f t="shared" si="0"/>
        <v>SPD</v>
      </c>
      <c r="F10" s="199" t="s">
        <v>211</v>
      </c>
      <c r="G10" s="200"/>
      <c r="H10" s="200">
        <v>1</v>
      </c>
      <c r="I10" s="200">
        <v>1</v>
      </c>
      <c r="J10" s="200">
        <v>1</v>
      </c>
      <c r="K10" s="200">
        <v>1</v>
      </c>
      <c r="L10" s="201">
        <v>1</v>
      </c>
      <c r="M10" s="201"/>
      <c r="N10" s="201"/>
      <c r="O10" s="201"/>
      <c r="P10" s="201"/>
      <c r="Q10" s="202"/>
    </row>
    <row r="11" spans="1:18" s="190" customFormat="1" ht="20.25" customHeight="1" x14ac:dyDescent="0.3">
      <c r="A11" s="197" t="s">
        <v>212</v>
      </c>
      <c r="B11" s="198" t="s">
        <v>213</v>
      </c>
      <c r="C11" s="198"/>
      <c r="D11" s="198" t="s">
        <v>214</v>
      </c>
      <c r="E11" s="198" t="str">
        <f t="shared" si="0"/>
        <v>CM</v>
      </c>
      <c r="F11" s="199" t="s">
        <v>215</v>
      </c>
      <c r="G11" s="200"/>
      <c r="H11" s="200">
        <v>1</v>
      </c>
      <c r="I11" s="200">
        <v>1</v>
      </c>
      <c r="J11" s="200"/>
      <c r="K11" s="200"/>
      <c r="L11" s="201"/>
      <c r="M11" s="201">
        <v>1</v>
      </c>
      <c r="N11" s="201"/>
      <c r="O11" s="201"/>
      <c r="P11" s="201"/>
      <c r="Q11" s="202"/>
    </row>
    <row r="12" spans="1:18" s="190" customFormat="1" ht="20.25" customHeight="1" x14ac:dyDescent="0.3">
      <c r="A12" s="197" t="s">
        <v>212</v>
      </c>
      <c r="B12" s="198" t="s">
        <v>216</v>
      </c>
      <c r="C12" s="198"/>
      <c r="D12" s="198" t="s">
        <v>217</v>
      </c>
      <c r="E12" s="198" t="str">
        <f t="shared" si="0"/>
        <v>DA</v>
      </c>
      <c r="F12" s="199" t="s">
        <v>218</v>
      </c>
      <c r="G12" s="200"/>
      <c r="H12" s="200">
        <v>1</v>
      </c>
      <c r="I12" s="200">
        <v>1</v>
      </c>
      <c r="J12" s="200"/>
      <c r="K12" s="200"/>
      <c r="L12" s="201"/>
      <c r="M12" s="201">
        <v>1</v>
      </c>
      <c r="N12" s="201"/>
      <c r="O12" s="201"/>
      <c r="P12" s="201"/>
      <c r="Q12" s="202"/>
    </row>
    <row r="13" spans="1:18" s="190" customFormat="1" ht="20.25" customHeight="1" x14ac:dyDescent="0.3">
      <c r="A13" s="197" t="s">
        <v>212</v>
      </c>
      <c r="B13" s="198" t="s">
        <v>219</v>
      </c>
      <c r="C13" s="198"/>
      <c r="D13" s="198" t="s">
        <v>220</v>
      </c>
      <c r="E13" s="198" t="str">
        <f t="shared" si="0"/>
        <v>JH</v>
      </c>
      <c r="F13" s="199" t="s">
        <v>221</v>
      </c>
      <c r="G13" s="200"/>
      <c r="H13" s="200">
        <v>1</v>
      </c>
      <c r="I13" s="200">
        <v>1</v>
      </c>
      <c r="J13" s="200"/>
      <c r="K13" s="200"/>
      <c r="L13" s="201"/>
      <c r="M13" s="201">
        <v>1</v>
      </c>
      <c r="N13" s="201"/>
      <c r="O13" s="201"/>
      <c r="P13" s="201"/>
      <c r="Q13" s="202"/>
    </row>
    <row r="14" spans="1:18" s="190" customFormat="1" ht="20.25" customHeight="1" x14ac:dyDescent="0.3">
      <c r="A14" s="197" t="s">
        <v>212</v>
      </c>
      <c r="B14" s="198" t="s">
        <v>222</v>
      </c>
      <c r="C14" s="198"/>
      <c r="D14" s="198" t="s">
        <v>223</v>
      </c>
      <c r="E14" s="198" t="str">
        <f t="shared" si="0"/>
        <v>JV</v>
      </c>
      <c r="F14" s="199" t="s">
        <v>224</v>
      </c>
      <c r="G14" s="200"/>
      <c r="H14" s="200">
        <v>1</v>
      </c>
      <c r="I14" s="200">
        <v>1</v>
      </c>
      <c r="J14" s="200"/>
      <c r="K14" s="200"/>
      <c r="L14" s="201"/>
      <c r="M14" s="201">
        <v>1</v>
      </c>
      <c r="N14" s="201"/>
      <c r="O14" s="201"/>
      <c r="P14" s="201"/>
      <c r="Q14" s="202"/>
    </row>
    <row r="15" spans="1:18" s="190" customFormat="1" ht="20.25" customHeight="1" x14ac:dyDescent="0.3">
      <c r="A15" s="197" t="s">
        <v>212</v>
      </c>
      <c r="B15" s="198" t="s">
        <v>225</v>
      </c>
      <c r="C15" s="198"/>
      <c r="D15" s="198" t="s">
        <v>226</v>
      </c>
      <c r="E15" s="198" t="str">
        <f t="shared" si="0"/>
        <v>SD</v>
      </c>
      <c r="F15" s="199" t="s">
        <v>227</v>
      </c>
      <c r="G15" s="200"/>
      <c r="H15" s="200">
        <v>1</v>
      </c>
      <c r="I15" s="200">
        <v>1</v>
      </c>
      <c r="J15" s="200"/>
      <c r="K15" s="200"/>
      <c r="L15" s="201"/>
      <c r="M15" s="201">
        <v>1</v>
      </c>
      <c r="N15" s="201"/>
      <c r="O15" s="201"/>
      <c r="P15" s="201"/>
      <c r="Q15" s="202"/>
    </row>
    <row r="16" spans="1:18" s="190" customFormat="1" ht="20.25" customHeight="1" x14ac:dyDescent="0.3">
      <c r="A16" s="197" t="s">
        <v>228</v>
      </c>
      <c r="B16" s="198" t="s">
        <v>229</v>
      </c>
      <c r="C16" s="198"/>
      <c r="D16" s="198" t="s">
        <v>230</v>
      </c>
      <c r="E16" s="198" t="str">
        <f t="shared" si="0"/>
        <v>SJ</v>
      </c>
      <c r="F16" s="199" t="s">
        <v>231</v>
      </c>
      <c r="G16" s="200"/>
      <c r="H16" s="200"/>
      <c r="I16" s="200"/>
      <c r="J16" s="200"/>
      <c r="K16" s="200">
        <v>1</v>
      </c>
      <c r="L16" s="201"/>
      <c r="M16" s="201"/>
      <c r="N16" s="201">
        <v>1</v>
      </c>
      <c r="O16" s="201"/>
      <c r="P16" s="201"/>
      <c r="Q16" s="202"/>
    </row>
    <row r="17" spans="1:17" s="190" customFormat="1" ht="20.25" customHeight="1" x14ac:dyDescent="0.3">
      <c r="A17" s="197" t="s">
        <v>228</v>
      </c>
      <c r="B17" s="198" t="s">
        <v>232</v>
      </c>
      <c r="C17" s="198"/>
      <c r="D17" s="198" t="s">
        <v>233</v>
      </c>
      <c r="E17" s="198" t="str">
        <f t="shared" si="0"/>
        <v>SM</v>
      </c>
      <c r="F17" s="199" t="s">
        <v>234</v>
      </c>
      <c r="G17" s="200"/>
      <c r="H17" s="200"/>
      <c r="I17" s="200"/>
      <c r="J17" s="200"/>
      <c r="K17" s="200">
        <v>1</v>
      </c>
      <c r="L17" s="201"/>
      <c r="M17" s="201"/>
      <c r="N17" s="201">
        <v>1</v>
      </c>
      <c r="O17" s="201"/>
      <c r="P17" s="201"/>
      <c r="Q17" s="202"/>
    </row>
    <row r="18" spans="1:17" s="190" customFormat="1" ht="20.25" customHeight="1" x14ac:dyDescent="0.3">
      <c r="A18" s="197" t="s">
        <v>228</v>
      </c>
      <c r="B18" s="198" t="s">
        <v>235</v>
      </c>
      <c r="C18" s="198"/>
      <c r="D18" s="198" t="s">
        <v>236</v>
      </c>
      <c r="E18" s="198" t="str">
        <f t="shared" si="0"/>
        <v>MF</v>
      </c>
      <c r="F18" s="199" t="s">
        <v>237</v>
      </c>
      <c r="G18" s="200"/>
      <c r="H18" s="200"/>
      <c r="I18" s="200"/>
      <c r="J18" s="200"/>
      <c r="K18" s="200">
        <v>1</v>
      </c>
      <c r="L18" s="201"/>
      <c r="M18" s="201"/>
      <c r="N18" s="201">
        <v>1</v>
      </c>
      <c r="O18" s="201"/>
      <c r="P18" s="201"/>
      <c r="Q18" s="202"/>
    </row>
    <row r="19" spans="1:17" s="190" customFormat="1" ht="20.25" customHeight="1" x14ac:dyDescent="0.3">
      <c r="A19" s="197" t="s">
        <v>177</v>
      </c>
      <c r="B19" s="198" t="s">
        <v>238</v>
      </c>
      <c r="C19" s="198"/>
      <c r="D19" s="198" t="s">
        <v>239</v>
      </c>
      <c r="E19" s="198" t="str">
        <f t="shared" si="0"/>
        <v>PH</v>
      </c>
      <c r="F19" s="199" t="s">
        <v>240</v>
      </c>
      <c r="G19" s="200"/>
      <c r="H19" s="200">
        <v>1</v>
      </c>
      <c r="I19" s="200">
        <v>1</v>
      </c>
      <c r="J19" s="200">
        <v>1</v>
      </c>
      <c r="K19" s="200"/>
      <c r="L19" s="201"/>
      <c r="M19" s="201"/>
      <c r="N19" s="201"/>
      <c r="O19" s="201">
        <v>1</v>
      </c>
      <c r="P19" s="201"/>
      <c r="Q19" s="202"/>
    </row>
    <row r="20" spans="1:17" s="190" customFormat="1" ht="20.25" customHeight="1" x14ac:dyDescent="0.3">
      <c r="A20" s="197" t="s">
        <v>241</v>
      </c>
      <c r="B20" s="198" t="s">
        <v>242</v>
      </c>
      <c r="C20" s="198"/>
      <c r="D20" s="198" t="s">
        <v>243</v>
      </c>
      <c r="E20" s="198" t="str">
        <f t="shared" si="0"/>
        <v>CT</v>
      </c>
      <c r="F20" s="199" t="s">
        <v>244</v>
      </c>
      <c r="G20" s="200"/>
      <c r="H20" s="200">
        <v>1</v>
      </c>
      <c r="I20" s="200">
        <v>1</v>
      </c>
      <c r="J20" s="200">
        <v>1</v>
      </c>
      <c r="K20" s="200"/>
      <c r="L20" s="201"/>
      <c r="M20" s="201"/>
      <c r="N20" s="201"/>
      <c r="O20" s="201"/>
      <c r="P20" s="201">
        <v>1</v>
      </c>
      <c r="Q20" s="202"/>
    </row>
    <row r="21" spans="1:17" s="190" customFormat="1" ht="20.25" customHeight="1" x14ac:dyDescent="0.3">
      <c r="A21" s="197" t="s">
        <v>241</v>
      </c>
      <c r="B21" s="198" t="s">
        <v>245</v>
      </c>
      <c r="C21" s="198"/>
      <c r="D21" s="198" t="s">
        <v>217</v>
      </c>
      <c r="E21" s="198" t="str">
        <f t="shared" si="0"/>
        <v>JA</v>
      </c>
      <c r="F21" s="199" t="s">
        <v>246</v>
      </c>
      <c r="G21" s="200"/>
      <c r="H21" s="200">
        <v>1</v>
      </c>
      <c r="I21" s="200">
        <v>1</v>
      </c>
      <c r="J21" s="200">
        <v>1</v>
      </c>
      <c r="K21" s="200"/>
      <c r="L21" s="201"/>
      <c r="M21" s="201"/>
      <c r="N21" s="201"/>
      <c r="O21" s="201"/>
      <c r="P21" s="201">
        <v>1</v>
      </c>
      <c r="Q21" s="202"/>
    </row>
    <row r="22" spans="1:17" s="190" customFormat="1" ht="20.25" customHeight="1" x14ac:dyDescent="0.3">
      <c r="A22" s="197" t="s">
        <v>241</v>
      </c>
      <c r="B22" s="198" t="s">
        <v>247</v>
      </c>
      <c r="C22" s="198"/>
      <c r="D22" s="198" t="s">
        <v>248</v>
      </c>
      <c r="E22" s="198" t="str">
        <f t="shared" si="0"/>
        <v>JT</v>
      </c>
      <c r="F22" s="199" t="s">
        <v>249</v>
      </c>
      <c r="G22" s="200"/>
      <c r="H22" s="200">
        <v>1</v>
      </c>
      <c r="I22" s="200">
        <v>1</v>
      </c>
      <c r="J22" s="200">
        <v>1</v>
      </c>
      <c r="K22" s="200"/>
      <c r="L22" s="201"/>
      <c r="M22" s="201"/>
      <c r="N22" s="201"/>
      <c r="O22" s="201"/>
      <c r="P22" s="201">
        <v>1</v>
      </c>
      <c r="Q22" s="202"/>
    </row>
    <row r="23" spans="1:17" s="190" customFormat="1" ht="20.25" customHeight="1" x14ac:dyDescent="0.3">
      <c r="A23" s="197" t="s">
        <v>241</v>
      </c>
      <c r="B23" s="198" t="s">
        <v>250</v>
      </c>
      <c r="C23" s="198"/>
      <c r="D23" s="198" t="s">
        <v>251</v>
      </c>
      <c r="E23" s="198" t="str">
        <f t="shared" si="0"/>
        <v>SC</v>
      </c>
      <c r="F23" s="199" t="s">
        <v>252</v>
      </c>
      <c r="G23" s="200"/>
      <c r="H23" s="200">
        <v>1</v>
      </c>
      <c r="I23" s="200">
        <v>1</v>
      </c>
      <c r="J23" s="200">
        <v>1</v>
      </c>
      <c r="K23" s="200"/>
      <c r="L23" s="201"/>
      <c r="M23" s="201"/>
      <c r="N23" s="201"/>
      <c r="O23" s="201"/>
      <c r="P23" s="201">
        <v>1</v>
      </c>
      <c r="Q23" s="202"/>
    </row>
    <row r="24" spans="1:17" s="190" customFormat="1" ht="20.25" customHeight="1" x14ac:dyDescent="0.3">
      <c r="A24" s="197" t="s">
        <v>241</v>
      </c>
      <c r="B24" s="198" t="s">
        <v>253</v>
      </c>
      <c r="C24" s="198"/>
      <c r="D24" s="198" t="s">
        <v>254</v>
      </c>
      <c r="E24" s="198" t="str">
        <f t="shared" si="0"/>
        <v>TG</v>
      </c>
      <c r="F24" s="199" t="s">
        <v>255</v>
      </c>
      <c r="G24" s="200"/>
      <c r="H24" s="200">
        <v>1</v>
      </c>
      <c r="I24" s="200">
        <v>1</v>
      </c>
      <c r="J24" s="200">
        <v>1</v>
      </c>
      <c r="K24" s="200"/>
      <c r="L24" s="201"/>
      <c r="M24" s="201"/>
      <c r="N24" s="201"/>
      <c r="O24" s="201"/>
      <c r="P24" s="201">
        <v>1</v>
      </c>
      <c r="Q24" s="202"/>
    </row>
    <row r="25" spans="1:17" s="190" customFormat="1" ht="20.25" customHeight="1" x14ac:dyDescent="0.3">
      <c r="A25" s="197" t="s">
        <v>256</v>
      </c>
      <c r="B25" s="198" t="s">
        <v>257</v>
      </c>
      <c r="C25" s="198"/>
      <c r="D25" s="198" t="s">
        <v>258</v>
      </c>
      <c r="E25" s="198" t="str">
        <f t="shared" si="0"/>
        <v>JB</v>
      </c>
      <c r="F25" s="199" t="s">
        <v>259</v>
      </c>
      <c r="G25" s="200"/>
      <c r="H25" s="200">
        <v>1</v>
      </c>
      <c r="I25" s="200">
        <v>1</v>
      </c>
      <c r="J25" s="200">
        <v>1</v>
      </c>
      <c r="K25" s="200"/>
      <c r="L25" s="201"/>
      <c r="M25" s="201"/>
      <c r="N25" s="201"/>
      <c r="O25" s="201"/>
      <c r="P25" s="201"/>
      <c r="Q25" s="202">
        <v>1</v>
      </c>
    </row>
    <row r="26" spans="1:17" s="190" customFormat="1" ht="20.25" customHeight="1" x14ac:dyDescent="0.3">
      <c r="A26" s="206" t="s">
        <v>256</v>
      </c>
      <c r="B26" s="207" t="s">
        <v>260</v>
      </c>
      <c r="C26" s="207"/>
      <c r="D26" s="207" t="s">
        <v>261</v>
      </c>
      <c r="E26" s="207" t="str">
        <f>CONCATENATE(LEFT(B26,1),C26,LEFT(D26,1))</f>
        <v>JP</v>
      </c>
      <c r="F26" s="208" t="s">
        <v>262</v>
      </c>
      <c r="G26" s="209"/>
      <c r="H26" s="209">
        <v>1</v>
      </c>
      <c r="I26" s="209">
        <v>1</v>
      </c>
      <c r="J26" s="209">
        <v>1</v>
      </c>
      <c r="K26" s="209"/>
      <c r="L26" s="210"/>
      <c r="M26" s="210"/>
      <c r="N26" s="210"/>
      <c r="O26" s="210"/>
      <c r="P26" s="210"/>
      <c r="Q26" s="211">
        <v>1</v>
      </c>
    </row>
    <row r="27" spans="1:17" s="190" customFormat="1" ht="20.25" customHeight="1" x14ac:dyDescent="0.3">
      <c r="G27" s="212">
        <f>SUM(G2:G26)</f>
        <v>1</v>
      </c>
      <c r="H27" s="212">
        <f t="shared" ref="H27:I27" si="1">SUM(H2:H26)</f>
        <v>21</v>
      </c>
      <c r="I27" s="212">
        <f t="shared" si="1"/>
        <v>20</v>
      </c>
      <c r="J27" s="212">
        <f t="shared" ref="J27:Q27" si="2">SUM(J2:J26)</f>
        <v>15</v>
      </c>
      <c r="K27" s="212">
        <f t="shared" si="2"/>
        <v>10</v>
      </c>
      <c r="L27" s="213">
        <f t="shared" si="2"/>
        <v>7</v>
      </c>
      <c r="M27" s="213">
        <f t="shared" si="2"/>
        <v>5</v>
      </c>
      <c r="N27" s="213">
        <f t="shared" si="2"/>
        <v>3</v>
      </c>
      <c r="O27" s="213">
        <f t="shared" si="2"/>
        <v>1</v>
      </c>
      <c r="P27" s="213">
        <f t="shared" si="2"/>
        <v>5</v>
      </c>
      <c r="Q27" s="213">
        <f t="shared" si="2"/>
        <v>2</v>
      </c>
    </row>
    <row r="28" spans="1:17" s="190" customFormat="1" ht="20.25" customHeight="1" x14ac:dyDescent="0.3">
      <c r="A28" s="188" t="s">
        <v>263</v>
      </c>
    </row>
    <row r="29" spans="1:17" s="190" customFormat="1" ht="20.25" customHeight="1" x14ac:dyDescent="0.3">
      <c r="A29" s="198" t="s">
        <v>180</v>
      </c>
    </row>
    <row r="30" spans="1:17" s="190" customFormat="1" ht="20.25" customHeight="1" x14ac:dyDescent="0.3">
      <c r="A30" s="198" t="s">
        <v>185</v>
      </c>
    </row>
    <row r="31" spans="1:17" s="190" customFormat="1" ht="20.25" customHeight="1" x14ac:dyDescent="0.3">
      <c r="A31" s="198" t="s">
        <v>189</v>
      </c>
    </row>
    <row r="32" spans="1:17" s="190" customFormat="1" ht="20.25" customHeight="1" x14ac:dyDescent="0.3">
      <c r="A32" s="198" t="s">
        <v>264</v>
      </c>
    </row>
    <row r="33" spans="1:1" s="190" customFormat="1" ht="20.25" customHeight="1" x14ac:dyDescent="0.3">
      <c r="A33" s="198" t="s">
        <v>265</v>
      </c>
    </row>
    <row r="34" spans="1:1" s="190" customFormat="1" ht="20.25" customHeight="1" x14ac:dyDescent="0.3">
      <c r="A34" s="198" t="s">
        <v>212</v>
      </c>
    </row>
    <row r="35" spans="1:1" s="190" customFormat="1" ht="20.25" customHeight="1" x14ac:dyDescent="0.3">
      <c r="A35" s="198" t="s">
        <v>266</v>
      </c>
    </row>
    <row r="36" spans="1:1" s="190" customFormat="1" ht="20.25" customHeight="1" x14ac:dyDescent="0.3">
      <c r="A36" s="198" t="s">
        <v>228</v>
      </c>
    </row>
    <row r="37" spans="1:1" s="190" customFormat="1" ht="20.25" customHeight="1" x14ac:dyDescent="0.3">
      <c r="A37" s="198" t="s">
        <v>177</v>
      </c>
    </row>
    <row r="38" spans="1:1" s="190" customFormat="1" ht="20.25" customHeight="1" x14ac:dyDescent="0.3">
      <c r="A38" s="198" t="s">
        <v>241</v>
      </c>
    </row>
    <row r="39" spans="1:1" s="190" customFormat="1" ht="20.25" customHeight="1" x14ac:dyDescent="0.3">
      <c r="A39" s="198" t="s">
        <v>256</v>
      </c>
    </row>
  </sheetData>
  <sortState xmlns:xlrd2="http://schemas.microsoft.com/office/spreadsheetml/2017/richdata2" ref="A29:A39">
    <sortCondition ref="A29:A39"/>
  </sortState>
  <dataValidations count="2">
    <dataValidation type="list" allowBlank="1" showInputMessage="1" showErrorMessage="1" sqref="A2:A26" xr:uid="{A4F14907-9907-485B-8995-1E33E63B7BE9}">
      <formula1>$A$29:$A$39</formula1>
    </dataValidation>
    <dataValidation type="list" allowBlank="1" showInputMessage="1" showErrorMessage="1" sqref="G2:Q26" xr:uid="{A193737A-283F-4F36-B371-348E81C46F9F}">
      <formula1>"0,1"</formula1>
    </dataValidation>
  </dataValidations>
  <hyperlinks>
    <hyperlink ref="F19" r:id="rId1" xr:uid="{5928AF6C-87BD-4B91-8284-04660244A4AA}"/>
    <hyperlink ref="F24" r:id="rId2" xr:uid="{5A452A98-4AFF-457E-AB6D-84336D0567CD}"/>
    <hyperlink ref="F22" r:id="rId3" xr:uid="{FAE1118D-4C8E-41FE-A271-71AF435E8450}"/>
    <hyperlink ref="F20" r:id="rId4" xr:uid="{B90751B4-B158-4321-8F8B-5121F00740C3}"/>
    <hyperlink ref="F21" r:id="rId5" xr:uid="{03834657-FFE3-4901-96FD-3E21854657B9}"/>
    <hyperlink ref="F23" r:id="rId6" xr:uid="{994D56C9-7508-4D1E-A148-3342CEC2200D}"/>
    <hyperlink ref="F12" r:id="rId7" xr:uid="{0D7A6935-A0B8-4273-A87F-B07973E0C1A3}"/>
    <hyperlink ref="F15" r:id="rId8" xr:uid="{7063D062-ACF1-4EEA-B901-55133FA5959F}"/>
    <hyperlink ref="F14" r:id="rId9" xr:uid="{07DC3E47-F015-4824-ADF5-2AD1AD687B1F}"/>
    <hyperlink ref="F5" r:id="rId10" xr:uid="{953B6AB8-930C-441C-B904-476C03DF1338}"/>
    <hyperlink ref="F25" r:id="rId11" xr:uid="{B7151CA6-C442-4C97-A39C-D38D011582D3}"/>
    <hyperlink ref="F26" r:id="rId12" xr:uid="{8734B130-8951-48F8-957D-DFC1B437320F}"/>
    <hyperlink ref="F2" r:id="rId13" xr:uid="{522D5452-0032-4BE3-AF56-B0D60D6289DF}"/>
    <hyperlink ref="F8" r:id="rId14" xr:uid="{B9E0CBCB-F9CF-4C94-B794-1F443544D1EF}"/>
    <hyperlink ref="F11" r:id="rId15" xr:uid="{7EB4D823-B480-43E7-B658-5AC7A8860F9E}"/>
    <hyperlink ref="F13" r:id="rId16" xr:uid="{94E9DA41-BF18-4D5E-901C-B0AE89D05724}"/>
    <hyperlink ref="F6" r:id="rId17" xr:uid="{F16AB7B2-2030-434D-9F04-134FE41107E1}"/>
    <hyperlink ref="F4" r:id="rId18" xr:uid="{84CFE06A-A772-4EF6-82EF-DCF7A155C1DB}"/>
    <hyperlink ref="F10" r:id="rId19" xr:uid="{D54649E1-1648-4E37-9FEB-8B3BB935D0E7}"/>
    <hyperlink ref="F7" r:id="rId20" xr:uid="{58206E4D-DF67-4DB9-9EB4-E383D662AE3A}"/>
    <hyperlink ref="F9" r:id="rId21" xr:uid="{89852C55-1F5C-4145-8773-38C716FE389E}"/>
    <hyperlink ref="F3" r:id="rId22" display="mailto:Josephine.Acevedo@yolocounty.org" xr:uid="{ED0CFA28-570A-42BA-A2FC-164ED0293764}"/>
    <hyperlink ref="F18" r:id="rId23" xr:uid="{A601538E-798E-44A8-8278-B0F4B7C49ADA}"/>
    <hyperlink ref="F17" r:id="rId24" xr:uid="{ACF9C9D4-18AF-481E-B389-404E90F068FA}"/>
    <hyperlink ref="F16" r:id="rId25" xr:uid="{E3B6AF74-C36E-4683-98A0-691EF1064183}"/>
  </hyperlinks>
  <pageMargins left="0.7" right="0.7" top="0.75" bottom="0.75" header="0.3" footer="0.3"/>
  <pageSetup orientation="portrait" r:id="rId26"/>
  <tableParts count="2">
    <tablePart r:id="rId27"/>
    <tablePart r:id="rId2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CA50-1813-4381-9F10-4202E7BC2754}">
  <sheetPr codeName="Sheet9"/>
  <dimension ref="A1:D28"/>
  <sheetViews>
    <sheetView zoomScaleNormal="150" zoomScaleSheetLayoutView="100" workbookViewId="0">
      <selection activeCell="H11" sqref="H11"/>
    </sheetView>
  </sheetViews>
  <sheetFormatPr defaultColWidth="9.109375" defaultRowHeight="14.4" x14ac:dyDescent="0.3"/>
  <cols>
    <col min="1" max="1" width="23.33203125" style="160" customWidth="1"/>
    <col min="2" max="2" width="37.109375" style="159" customWidth="1"/>
    <col min="3" max="3" width="30.6640625" style="159" customWidth="1"/>
    <col min="4" max="4" width="40.6640625" style="159" customWidth="1"/>
    <col min="5" max="5" width="16.5546875" style="159" customWidth="1"/>
    <col min="6" max="16384" width="9.109375" style="159"/>
  </cols>
  <sheetData>
    <row r="1" spans="1:4" s="158" customFormat="1" ht="36" x14ac:dyDescent="0.3">
      <c r="A1" s="172" t="s">
        <v>267</v>
      </c>
      <c r="B1" s="173" t="s">
        <v>268</v>
      </c>
      <c r="C1" s="174" t="s">
        <v>269</v>
      </c>
      <c r="D1" s="175" t="s">
        <v>270</v>
      </c>
    </row>
    <row r="2" spans="1:4" x14ac:dyDescent="0.3">
      <c r="A2" s="176" t="s">
        <v>271</v>
      </c>
      <c r="B2" s="177" t="s">
        <v>272</v>
      </c>
      <c r="C2" s="178" t="s">
        <v>273</v>
      </c>
      <c r="D2" s="179" t="s">
        <v>274</v>
      </c>
    </row>
    <row r="3" spans="1:4" s="158" customFormat="1" ht="18" x14ac:dyDescent="0.3">
      <c r="A3" s="176" t="s">
        <v>275</v>
      </c>
      <c r="B3" s="180"/>
      <c r="C3" s="181"/>
      <c r="D3" s="179" t="s">
        <v>276</v>
      </c>
    </row>
    <row r="4" spans="1:4" s="158" customFormat="1" x14ac:dyDescent="0.3">
      <c r="A4" s="176" t="s">
        <v>102</v>
      </c>
      <c r="B4" s="177"/>
      <c r="C4" s="178"/>
      <c r="D4" s="179" t="s">
        <v>276</v>
      </c>
    </row>
    <row r="5" spans="1:4" s="158" customFormat="1" x14ac:dyDescent="0.3">
      <c r="A5" s="176" t="s">
        <v>277</v>
      </c>
      <c r="B5" s="182"/>
      <c r="C5" s="183"/>
      <c r="D5" s="179" t="s">
        <v>276</v>
      </c>
    </row>
    <row r="6" spans="1:4" x14ac:dyDescent="0.3">
      <c r="A6" s="176" t="s">
        <v>278</v>
      </c>
      <c r="B6" s="184"/>
      <c r="C6" s="178"/>
      <c r="D6" s="179" t="s">
        <v>274</v>
      </c>
    </row>
    <row r="7" spans="1:4" ht="43.2" x14ac:dyDescent="0.3">
      <c r="A7" s="176" t="s">
        <v>279</v>
      </c>
      <c r="B7" s="184" t="e">
        <f ca="1">_xlfn.TEXTJOIN(", ",TRUE,Database!A9:A19)</f>
        <v>#NAME?</v>
      </c>
      <c r="C7" s="178" t="s">
        <v>280</v>
      </c>
      <c r="D7" s="179" t="s">
        <v>274</v>
      </c>
    </row>
    <row r="8" spans="1:4" x14ac:dyDescent="0.3">
      <c r="A8" s="176" t="s">
        <v>281</v>
      </c>
      <c r="B8" s="182"/>
      <c r="C8" s="183"/>
      <c r="D8" s="179" t="s">
        <v>274</v>
      </c>
    </row>
    <row r="9" spans="1:4" x14ac:dyDescent="0.3">
      <c r="A9" s="185" t="str">
        <f>Database!A9</f>
        <v>Accessory</v>
      </c>
      <c r="B9" s="177" t="str">
        <f>"&lt;sub "&amp;Table7[[#This Row],[Field]]&amp;"&gt;"</f>
        <v>&lt;sub Accessory&gt;</v>
      </c>
      <c r="C9" s="178" t="str">
        <f>"Next / Run Sub Permit" &amp; Table7[[#This Row],[Field]]</f>
        <v>Next / Run Sub PermitAccessory</v>
      </c>
      <c r="D9" s="179" t="e">
        <f ca="1">IF(SEARCH(Table7[[#This Row],[Field]],$B$7),"Required","Hide")</f>
        <v>#NAME?</v>
      </c>
    </row>
    <row r="10" spans="1:4" x14ac:dyDescent="0.3">
      <c r="A10" s="185" t="str">
        <f>Database!A10</f>
        <v>Commercial</v>
      </c>
      <c r="B10" s="177" t="str">
        <f>"&lt;sub "&amp;Table7[[#This Row],[Field]]&amp;"&gt;"</f>
        <v>&lt;sub Commercial&gt;</v>
      </c>
      <c r="C10" s="178" t="str">
        <f>"Next / Run Sub Permit" &amp; Table7[[#This Row],[Field]]</f>
        <v>Next / Run Sub PermitCommercial</v>
      </c>
      <c r="D10" s="179" t="e">
        <f ca="1">IF(SEARCH(Table7[[#This Row],[Field]],$B$7),"Required","Hide")</f>
        <v>#NAME?</v>
      </c>
    </row>
    <row r="11" spans="1:4" x14ac:dyDescent="0.3">
      <c r="A11" s="185" t="str">
        <f>Database!A11</f>
        <v>Demolition</v>
      </c>
      <c r="B11" s="177" t="str">
        <f>"&lt;sub "&amp;Table7[[#This Row],[Field]]&amp;"&gt;"</f>
        <v>&lt;sub Demolition&gt;</v>
      </c>
      <c r="C11" s="178" t="str">
        <f>"Next / Run Sub Permit" &amp; Table7[[#This Row],[Field]]</f>
        <v>Next / Run Sub PermitDemolition</v>
      </c>
      <c r="D11" s="179" t="e">
        <f ca="1">IF(SEARCH(Table7[[#This Row],[Field]],$B$7),"Required","Hide")</f>
        <v>#NAME?</v>
      </c>
    </row>
    <row r="12" spans="1:4" x14ac:dyDescent="0.3">
      <c r="A12" s="185" t="str">
        <f>Database!A12</f>
        <v>Dwellings</v>
      </c>
      <c r="B12" s="177" t="str">
        <f>"&lt;sub "&amp;Table7[[#This Row],[Field]]&amp;"&gt;"</f>
        <v>&lt;sub Dwellings&gt;</v>
      </c>
      <c r="C12" s="178" t="str">
        <f>"Next / Run Sub Permit" &amp; Table7[[#This Row],[Field]]</f>
        <v>Next / Run Sub PermitDwellings</v>
      </c>
      <c r="D12" s="179" t="e">
        <f ca="1">IF(SEARCH(Table7[[#This Row],[Field]],$B$7),"Required","Hide")</f>
        <v>#NAME?</v>
      </c>
    </row>
    <row r="13" spans="1:4" x14ac:dyDescent="0.3">
      <c r="A13" s="185" t="str">
        <f>Database!A13</f>
        <v>Electrical</v>
      </c>
      <c r="B13" s="177" t="str">
        <f>"&lt;sub "&amp;Table7[[#This Row],[Field]]&amp;"&gt;"</f>
        <v>&lt;sub Electrical&gt;</v>
      </c>
      <c r="C13" s="178" t="str">
        <f>"Next / Run Sub Permit" &amp; Table7[[#This Row],[Field]]</f>
        <v>Next / Run Sub PermitElectrical</v>
      </c>
      <c r="D13" s="179" t="e">
        <f ca="1">IF(SEARCH(Table7[[#This Row],[Field]],$B$7),"Required","Hide")</f>
        <v>#NAME?</v>
      </c>
    </row>
    <row r="14" spans="1:4" x14ac:dyDescent="0.3">
      <c r="A14" s="185" t="str">
        <f>Database!A14</f>
        <v>Fire</v>
      </c>
      <c r="B14" s="177" t="str">
        <f>"&lt;sub "&amp;Table7[[#This Row],[Field]]&amp;"&gt;"</f>
        <v>&lt;sub Fire&gt;</v>
      </c>
      <c r="C14" s="178" t="str">
        <f>"Next / Run Sub Permit" &amp; Table7[[#This Row],[Field]]</f>
        <v>Next / Run Sub PermitFire</v>
      </c>
      <c r="D14" s="179" t="e">
        <f ca="1">IF(SEARCH(Table7[[#This Row],[Field]],$B$7),"Required","Hide")</f>
        <v>#NAME?</v>
      </c>
    </row>
    <row r="15" spans="1:4" x14ac:dyDescent="0.3">
      <c r="A15" s="185" t="str">
        <f>Database!A15</f>
        <v>Flood</v>
      </c>
      <c r="B15" s="177" t="str">
        <f>"&lt;sub "&amp;Table7[[#This Row],[Field]]&amp;"&gt;"</f>
        <v>&lt;sub Flood&gt;</v>
      </c>
      <c r="C15" s="178" t="str">
        <f>"Next / Run Sub Permit" &amp; Table7[[#This Row],[Field]]</f>
        <v>Next / Run Sub PermitFlood</v>
      </c>
      <c r="D15" s="179" t="e">
        <f ca="1">IF(SEARCH(Table7[[#This Row],[Field]],$B$7),"Required","Hide")</f>
        <v>#NAME?</v>
      </c>
    </row>
    <row r="16" spans="1:4" x14ac:dyDescent="0.3">
      <c r="A16" s="185" t="str">
        <f>Database!A16</f>
        <v>Grading</v>
      </c>
      <c r="B16" s="177" t="str">
        <f>"&lt;sub "&amp;Table7[[#This Row],[Field]]&amp;"&gt;"</f>
        <v>&lt;sub Grading&gt;</v>
      </c>
      <c r="C16" s="178" t="str">
        <f>"Next / Run Sub Permit" &amp; Table7[[#This Row],[Field]]</f>
        <v>Next / Run Sub PermitGrading</v>
      </c>
      <c r="D16" s="179" t="e">
        <f ca="1">IF(SEARCH(Table7[[#This Row],[Field]],$B$7),"Required","Hide")</f>
        <v>#NAME?</v>
      </c>
    </row>
    <row r="17" spans="1:4" x14ac:dyDescent="0.3">
      <c r="A17" s="185" t="str">
        <f>Database!A17</f>
        <v>Mechanical</v>
      </c>
      <c r="B17" s="177" t="str">
        <f>"&lt;sub "&amp;Table7[[#This Row],[Field]]&amp;"&gt;"</f>
        <v>&lt;sub Mechanical&gt;</v>
      </c>
      <c r="C17" s="178" t="str">
        <f>"Next / Run Sub Permit" &amp; Table7[[#This Row],[Field]]</f>
        <v>Next / Run Sub PermitMechanical</v>
      </c>
      <c r="D17" s="179" t="e">
        <f ca="1">IF(SEARCH(Table7[[#This Row],[Field]],$B$7),"Required","Hide")</f>
        <v>#NAME?</v>
      </c>
    </row>
    <row r="18" spans="1:4" x14ac:dyDescent="0.3">
      <c r="A18" s="185" t="str">
        <f>Database!A18</f>
        <v>Plumbing</v>
      </c>
      <c r="B18" s="177" t="str">
        <f>"&lt;sub "&amp;Table7[[#This Row],[Field]]&amp;"&gt;"</f>
        <v>&lt;sub Plumbing&gt;</v>
      </c>
      <c r="C18" s="178" t="str">
        <f>"Next / Run Sub Permit" &amp; Table7[[#This Row],[Field]]</f>
        <v>Next / Run Sub PermitPlumbing</v>
      </c>
      <c r="D18" s="179" t="e">
        <f ca="1">IF(SEARCH(Table7[[#This Row],[Field]],$B$7),"Required","Hide")</f>
        <v>#NAME?</v>
      </c>
    </row>
    <row r="19" spans="1:4" x14ac:dyDescent="0.3">
      <c r="A19" s="185" t="str">
        <f>Database!A19</f>
        <v>Pool/Spa</v>
      </c>
      <c r="B19" s="177" t="str">
        <f>"&lt;sub "&amp;Table7[[#This Row],[Field]]&amp;"&gt;"</f>
        <v>&lt;sub Pool/Spa&gt;</v>
      </c>
      <c r="C19" s="178" t="str">
        <f>"Next / Run Sub Permit" &amp; Table7[[#This Row],[Field]]</f>
        <v>Next / Run Sub PermitPool/Spa</v>
      </c>
      <c r="D19" s="179" t="e">
        <f ca="1">IF(SEARCH(Table7[[#This Row],[Field]],$B$7),"Required","Hide")</f>
        <v>#NAME?</v>
      </c>
    </row>
    <row r="20" spans="1:4" x14ac:dyDescent="0.3">
      <c r="A20" s="176" t="s">
        <v>282</v>
      </c>
      <c r="B20" s="177" t="s">
        <v>283</v>
      </c>
      <c r="C20" s="178" t="s">
        <v>284</v>
      </c>
      <c r="D20" s="179" t="s">
        <v>285</v>
      </c>
    </row>
    <row r="21" spans="1:4" ht="28.8" x14ac:dyDescent="0.3">
      <c r="A21" s="186" t="s">
        <v>286</v>
      </c>
      <c r="B21" s="177" t="s">
        <v>287</v>
      </c>
      <c r="C21" s="178" t="s">
        <v>288</v>
      </c>
      <c r="D21" s="179" t="s">
        <v>274</v>
      </c>
    </row>
    <row r="22" spans="1:4" ht="28.8" x14ac:dyDescent="0.3">
      <c r="A22" s="186" t="s">
        <v>289</v>
      </c>
      <c r="B22" s="177" t="s">
        <v>287</v>
      </c>
      <c r="C22" s="178" t="s">
        <v>288</v>
      </c>
      <c r="D22" s="179" t="s">
        <v>290</v>
      </c>
    </row>
    <row r="23" spans="1:4" ht="28.8" x14ac:dyDescent="0.3">
      <c r="A23" s="186" t="s">
        <v>291</v>
      </c>
      <c r="B23" s="177" t="s">
        <v>287</v>
      </c>
      <c r="C23" s="178" t="s">
        <v>288</v>
      </c>
      <c r="D23" s="179" t="s">
        <v>292</v>
      </c>
    </row>
    <row r="24" spans="1:4" ht="28.8" x14ac:dyDescent="0.3">
      <c r="A24" s="186" t="s">
        <v>293</v>
      </c>
      <c r="B24" s="177" t="s">
        <v>294</v>
      </c>
      <c r="C24" s="178" t="s">
        <v>288</v>
      </c>
      <c r="D24" s="179" t="s">
        <v>295</v>
      </c>
    </row>
    <row r="25" spans="1:4" ht="28.8" x14ac:dyDescent="0.3">
      <c r="A25" s="176" t="s">
        <v>19</v>
      </c>
      <c r="B25" s="177" t="s">
        <v>296</v>
      </c>
      <c r="C25" s="178" t="s">
        <v>297</v>
      </c>
      <c r="D25" s="179" t="s">
        <v>298</v>
      </c>
    </row>
    <row r="26" spans="1:4" ht="28.8" x14ac:dyDescent="0.3">
      <c r="A26" s="176" t="s">
        <v>299</v>
      </c>
      <c r="B26" s="177" t="s">
        <v>300</v>
      </c>
      <c r="C26" s="178" t="s">
        <v>301</v>
      </c>
      <c r="D26" s="179" t="s">
        <v>302</v>
      </c>
    </row>
    <row r="27" spans="1:4" ht="28.8" x14ac:dyDescent="0.3">
      <c r="A27" s="176" t="s">
        <v>17</v>
      </c>
      <c r="B27" s="177" t="s">
        <v>303</v>
      </c>
      <c r="C27" s="178" t="s">
        <v>304</v>
      </c>
      <c r="D27" s="179" t="s">
        <v>302</v>
      </c>
    </row>
    <row r="28" spans="1:4" ht="28.8" x14ac:dyDescent="0.3">
      <c r="A28" s="176" t="s">
        <v>305</v>
      </c>
      <c r="B28" s="177" t="s">
        <v>306</v>
      </c>
      <c r="C28" s="178" t="s">
        <v>307</v>
      </c>
      <c r="D28" s="187" t="s">
        <v>274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2190-CA4F-2C4B-A366-95FF5C8BC5DB}">
  <sheetPr codeName="Sheet3"/>
  <dimension ref="A1:F231"/>
  <sheetViews>
    <sheetView zoomScale="115" zoomScaleNormal="115" zoomScaleSheetLayoutView="100" workbookViewId="0">
      <pane ySplit="1" topLeftCell="A54" activePane="bottomLeft" state="frozen"/>
      <selection pane="bottomLeft" activeCell="A207" sqref="A207"/>
    </sheetView>
  </sheetViews>
  <sheetFormatPr defaultColWidth="9.109375" defaultRowHeight="24.9" customHeight="1" x14ac:dyDescent="0.3"/>
  <cols>
    <col min="1" max="1" width="30.88671875" style="92" customWidth="1"/>
    <col min="2" max="2" width="50" style="95" customWidth="1"/>
    <col min="3" max="3" width="28.109375" style="95" customWidth="1"/>
    <col min="4" max="4" width="30.44140625" style="95" customWidth="1"/>
    <col min="5" max="5" width="12" style="95" customWidth="1"/>
    <col min="6" max="6" width="10.109375" style="95" customWidth="1"/>
    <col min="7" max="7" width="32.109375" style="95" customWidth="1"/>
    <col min="8" max="16384" width="9.109375" style="95"/>
  </cols>
  <sheetData>
    <row r="1" spans="1:4" s="91" customFormat="1" ht="24.9" customHeight="1" x14ac:dyDescent="0.3">
      <c r="A1" s="89" t="s">
        <v>308</v>
      </c>
      <c r="B1" s="90" t="s">
        <v>309</v>
      </c>
      <c r="C1" s="90" t="s">
        <v>310</v>
      </c>
      <c r="D1" s="91" t="s">
        <v>311</v>
      </c>
    </row>
    <row r="2" spans="1:4" ht="24.9" customHeight="1" x14ac:dyDescent="0.3">
      <c r="A2" s="92" t="s">
        <v>312</v>
      </c>
      <c r="B2" s="93" t="s">
        <v>313</v>
      </c>
      <c r="C2" s="94"/>
    </row>
    <row r="3" spans="1:4" ht="24.75" customHeight="1" x14ac:dyDescent="0.3">
      <c r="A3" s="92" t="s">
        <v>312</v>
      </c>
      <c r="B3" s="96"/>
      <c r="C3" s="97" t="b">
        <v>1</v>
      </c>
    </row>
    <row r="4" spans="1:4" ht="24.9" customHeight="1" x14ac:dyDescent="0.3">
      <c r="A4" s="92" t="s">
        <v>312</v>
      </c>
      <c r="B4" s="96"/>
      <c r="C4" s="97" t="b">
        <v>1</v>
      </c>
    </row>
    <row r="5" spans="1:4" ht="24.9" customHeight="1" x14ac:dyDescent="0.3">
      <c r="A5" s="92" t="s">
        <v>312</v>
      </c>
      <c r="B5" s="96"/>
      <c r="C5" s="97" t="b">
        <v>1</v>
      </c>
    </row>
    <row r="6" spans="1:4" ht="24.9" customHeight="1" x14ac:dyDescent="0.3">
      <c r="A6" s="92" t="s">
        <v>312</v>
      </c>
      <c r="B6" s="96"/>
      <c r="C6" s="97" t="b">
        <v>1</v>
      </c>
    </row>
    <row r="7" spans="1:4" ht="24.9" customHeight="1" x14ac:dyDescent="0.3">
      <c r="A7" s="92" t="s">
        <v>312</v>
      </c>
      <c r="B7" s="96"/>
      <c r="C7" s="97" t="b">
        <v>1</v>
      </c>
    </row>
    <row r="8" spans="1:4" ht="24.9" customHeight="1" x14ac:dyDescent="0.3">
      <c r="A8" s="92" t="s">
        <v>312</v>
      </c>
      <c r="B8" s="96"/>
      <c r="C8" s="97" t="b">
        <v>1</v>
      </c>
    </row>
    <row r="9" spans="1:4" ht="24.9" customHeight="1" x14ac:dyDescent="0.3">
      <c r="A9" s="92" t="s">
        <v>312</v>
      </c>
      <c r="B9" s="96"/>
      <c r="C9" s="97" t="b">
        <v>1</v>
      </c>
    </row>
    <row r="10" spans="1:4" ht="24.9" customHeight="1" x14ac:dyDescent="0.3">
      <c r="A10" s="92" t="s">
        <v>312</v>
      </c>
      <c r="B10" s="96"/>
      <c r="C10" s="97" t="b">
        <v>1</v>
      </c>
    </row>
    <row r="11" spans="1:4" ht="24.9" customHeight="1" x14ac:dyDescent="0.3">
      <c r="A11" s="92" t="s">
        <v>312</v>
      </c>
      <c r="B11" s="96"/>
      <c r="C11" s="97" t="b">
        <v>1</v>
      </c>
    </row>
    <row r="12" spans="1:4" ht="24.9" customHeight="1" x14ac:dyDescent="0.3">
      <c r="A12" s="92" t="s">
        <v>312</v>
      </c>
      <c r="B12" s="96"/>
      <c r="C12" s="97" t="b">
        <v>1</v>
      </c>
    </row>
    <row r="13" spans="1:4" ht="24.9" customHeight="1" x14ac:dyDescent="0.3">
      <c r="B13" s="98"/>
      <c r="C13" s="97"/>
    </row>
    <row r="14" spans="1:4" ht="24.9" customHeight="1" x14ac:dyDescent="0.3">
      <c r="B14" s="99"/>
      <c r="C14" s="97"/>
    </row>
    <row r="15" spans="1:4" ht="24.9" customHeight="1" x14ac:dyDescent="0.3">
      <c r="A15" s="92">
        <f>BLD</f>
        <v>0</v>
      </c>
      <c r="B15" s="93" t="s">
        <v>314</v>
      </c>
      <c r="C15" s="94"/>
    </row>
    <row r="16" spans="1:4" ht="24.9" customHeight="1" x14ac:dyDescent="0.3">
      <c r="A16" s="92">
        <f>BLD</f>
        <v>0</v>
      </c>
      <c r="B16" s="100" t="s">
        <v>315</v>
      </c>
      <c r="C16" s="97"/>
      <c r="D16" s="95" t="s">
        <v>316</v>
      </c>
    </row>
    <row r="17" spans="1:4" ht="24.9" customHeight="1" x14ac:dyDescent="0.3">
      <c r="A17" s="92">
        <f>BLD</f>
        <v>0</v>
      </c>
      <c r="B17" s="100" t="s">
        <v>317</v>
      </c>
      <c r="C17" s="101"/>
      <c r="D17" s="95" t="s">
        <v>318</v>
      </c>
    </row>
    <row r="18" spans="1:4" ht="24.9" customHeight="1" x14ac:dyDescent="0.3">
      <c r="A18" s="92" t="s">
        <v>312</v>
      </c>
      <c r="B18" s="102" t="s">
        <v>319</v>
      </c>
      <c r="C18" s="103"/>
    </row>
    <row r="19" spans="1:4" ht="24.9" customHeight="1" x14ac:dyDescent="0.3">
      <c r="A19" s="92" t="s">
        <v>312</v>
      </c>
      <c r="B19" s="104" t="s">
        <v>320</v>
      </c>
      <c r="C19" s="105"/>
      <c r="D19" s="95" t="s">
        <v>321</v>
      </c>
    </row>
    <row r="20" spans="1:4" ht="24.9" customHeight="1" x14ac:dyDescent="0.3">
      <c r="A20" s="92" t="s">
        <v>312</v>
      </c>
      <c r="B20" s="100" t="s">
        <v>322</v>
      </c>
      <c r="C20" s="97"/>
      <c r="D20" s="95" t="s">
        <v>323</v>
      </c>
    </row>
    <row r="21" spans="1:4" ht="24.9" customHeight="1" x14ac:dyDescent="0.3">
      <c r="A21" s="92" t="s">
        <v>312</v>
      </c>
      <c r="B21" s="100" t="s">
        <v>324</v>
      </c>
      <c r="C21" s="97"/>
      <c r="D21" s="95" t="s">
        <v>323</v>
      </c>
    </row>
    <row r="22" spans="1:4" ht="24.9" customHeight="1" x14ac:dyDescent="0.3">
      <c r="A22" s="92" t="s">
        <v>312</v>
      </c>
      <c r="B22" s="93" t="s">
        <v>325</v>
      </c>
      <c r="C22" s="94"/>
    </row>
    <row r="23" spans="1:4" ht="24.9" customHeight="1" x14ac:dyDescent="0.3">
      <c r="A23" s="92" t="s">
        <v>312</v>
      </c>
      <c r="B23" s="106" t="s">
        <v>326</v>
      </c>
      <c r="C23" s="97"/>
      <c r="D23" s="95" t="s">
        <v>327</v>
      </c>
    </row>
    <row r="24" spans="1:4" ht="24.9" customHeight="1" x14ac:dyDescent="0.3">
      <c r="A24" s="92" t="s">
        <v>312</v>
      </c>
      <c r="B24" s="106" t="s">
        <v>328</v>
      </c>
      <c r="C24" s="97"/>
      <c r="D24" s="95" t="s">
        <v>327</v>
      </c>
    </row>
    <row r="25" spans="1:4" ht="24.9" customHeight="1" x14ac:dyDescent="0.3">
      <c r="A25" s="92" t="s">
        <v>312</v>
      </c>
      <c r="B25" s="106" t="s">
        <v>329</v>
      </c>
      <c r="C25" s="97"/>
      <c r="D25" s="95" t="s">
        <v>327</v>
      </c>
    </row>
    <row r="26" spans="1:4" ht="24.9" customHeight="1" x14ac:dyDescent="0.3">
      <c r="A26" s="92" t="s">
        <v>312</v>
      </c>
      <c r="B26" s="106" t="s">
        <v>330</v>
      </c>
      <c r="C26" s="97"/>
      <c r="D26" s="95" t="s">
        <v>327</v>
      </c>
    </row>
    <row r="27" spans="1:4" ht="24.9" customHeight="1" x14ac:dyDescent="0.3">
      <c r="A27" s="92" t="s">
        <v>312</v>
      </c>
      <c r="B27" s="100" t="s">
        <v>331</v>
      </c>
      <c r="C27" s="97"/>
    </row>
    <row r="28" spans="1:4" ht="24.9" customHeight="1" x14ac:dyDescent="0.3">
      <c r="A28" s="92" t="s">
        <v>312</v>
      </c>
      <c r="B28" s="100" t="s">
        <v>332</v>
      </c>
      <c r="C28" s="97"/>
    </row>
    <row r="29" spans="1:4" ht="24.9" customHeight="1" x14ac:dyDescent="0.3">
      <c r="A29" s="92" t="s">
        <v>312</v>
      </c>
      <c r="B29" s="100" t="s">
        <v>333</v>
      </c>
      <c r="C29" s="97"/>
    </row>
    <row r="30" spans="1:4" ht="24.9" customHeight="1" x14ac:dyDescent="0.3">
      <c r="A30" s="92" t="s">
        <v>312</v>
      </c>
      <c r="B30" s="100" t="s">
        <v>334</v>
      </c>
      <c r="C30" s="97"/>
    </row>
    <row r="31" spans="1:4" ht="24.9" customHeight="1" x14ac:dyDescent="0.3">
      <c r="A31" s="92" t="s">
        <v>312</v>
      </c>
      <c r="B31" s="107" t="s">
        <v>335</v>
      </c>
      <c r="C31" s="101"/>
    </row>
    <row r="32" spans="1:4" ht="24.9" customHeight="1" x14ac:dyDescent="0.3">
      <c r="A32" s="92" t="s">
        <v>312</v>
      </c>
      <c r="B32" s="93" t="s">
        <v>336</v>
      </c>
      <c r="C32" s="94"/>
    </row>
    <row r="33" spans="1:4" ht="24.9" customHeight="1" x14ac:dyDescent="0.3">
      <c r="A33" s="92" t="s">
        <v>312</v>
      </c>
      <c r="B33" s="106" t="s">
        <v>337</v>
      </c>
      <c r="C33" s="97"/>
      <c r="D33" s="95" t="s">
        <v>327</v>
      </c>
    </row>
    <row r="34" spans="1:4" ht="24.9" customHeight="1" x14ac:dyDescent="0.3">
      <c r="A34" s="92" t="s">
        <v>312</v>
      </c>
      <c r="B34" s="106" t="s">
        <v>338</v>
      </c>
      <c r="C34" s="97"/>
      <c r="D34" s="95" t="s">
        <v>327</v>
      </c>
    </row>
    <row r="35" spans="1:4" ht="24.9" customHeight="1" x14ac:dyDescent="0.3">
      <c r="A35" s="92" t="s">
        <v>312</v>
      </c>
      <c r="B35" s="108" t="s">
        <v>339</v>
      </c>
      <c r="C35" s="97"/>
      <c r="D35" s="95" t="s">
        <v>327</v>
      </c>
    </row>
    <row r="36" spans="1:4" ht="24.9" customHeight="1" x14ac:dyDescent="0.3">
      <c r="A36" s="92" t="s">
        <v>312</v>
      </c>
      <c r="B36" s="106" t="s">
        <v>340</v>
      </c>
      <c r="C36" s="97"/>
      <c r="D36" s="95" t="s">
        <v>327</v>
      </c>
    </row>
    <row r="37" spans="1:4" ht="24.9" customHeight="1" x14ac:dyDescent="0.3">
      <c r="A37" s="92" t="str">
        <f>IF($C$23="No","Yes","No")</f>
        <v>No</v>
      </c>
      <c r="B37" s="100" t="s">
        <v>341</v>
      </c>
      <c r="C37" s="100"/>
    </row>
    <row r="38" spans="1:4" ht="24.9" customHeight="1" x14ac:dyDescent="0.3">
      <c r="A38" s="92" t="str">
        <f>IF($C$23="No","Yes","No")</f>
        <v>No</v>
      </c>
      <c r="B38" s="100" t="s">
        <v>342</v>
      </c>
      <c r="C38" s="97"/>
    </row>
    <row r="39" spans="1:4" ht="24.9" customHeight="1" x14ac:dyDescent="0.3">
      <c r="A39" s="92" t="str">
        <f>IF($C$23="No","Yes","No")</f>
        <v>No</v>
      </c>
      <c r="B39" s="100" t="s">
        <v>343</v>
      </c>
      <c r="C39" s="97"/>
    </row>
    <row r="40" spans="1:4" ht="24.9" customHeight="1" x14ac:dyDescent="0.3">
      <c r="A40" s="92" t="str">
        <f>IF($C$23="No","Yes","No")</f>
        <v>No</v>
      </c>
      <c r="B40" s="100" t="s">
        <v>344</v>
      </c>
      <c r="C40" s="97"/>
    </row>
    <row r="41" spans="1:4" ht="24.9" customHeight="1" x14ac:dyDescent="0.3">
      <c r="A41" s="92" t="str">
        <f>IF($C$23="No","Yes","No")</f>
        <v>No</v>
      </c>
      <c r="B41" s="107" t="s">
        <v>345</v>
      </c>
      <c r="C41" s="101"/>
    </row>
    <row r="42" spans="1:4" ht="24.9" customHeight="1" x14ac:dyDescent="0.3">
      <c r="A42" s="92">
        <f>$C$33</f>
        <v>0</v>
      </c>
      <c r="B42" s="102" t="s">
        <v>346</v>
      </c>
      <c r="C42" s="109"/>
    </row>
    <row r="43" spans="1:4" ht="24.9" customHeight="1" x14ac:dyDescent="0.3">
      <c r="A43" s="92">
        <f t="shared" ref="A43:A50" si="0">$C$33</f>
        <v>0</v>
      </c>
      <c r="B43" s="100" t="s">
        <v>347</v>
      </c>
      <c r="C43" s="97"/>
    </row>
    <row r="44" spans="1:4" ht="24.9" customHeight="1" x14ac:dyDescent="0.3">
      <c r="A44" s="92">
        <f t="shared" si="0"/>
        <v>0</v>
      </c>
      <c r="B44" s="100" t="s">
        <v>348</v>
      </c>
      <c r="C44" s="97"/>
    </row>
    <row r="45" spans="1:4" ht="24.9" customHeight="1" x14ac:dyDescent="0.3">
      <c r="A45" s="92">
        <f t="shared" si="0"/>
        <v>0</v>
      </c>
      <c r="B45" s="100" t="s">
        <v>349</v>
      </c>
      <c r="C45" s="97"/>
    </row>
    <row r="46" spans="1:4" ht="24.9" customHeight="1" x14ac:dyDescent="0.3">
      <c r="A46" s="92">
        <f t="shared" si="0"/>
        <v>0</v>
      </c>
      <c r="B46" s="100" t="s">
        <v>350</v>
      </c>
      <c r="C46" s="97"/>
    </row>
    <row r="47" spans="1:4" ht="24.9" customHeight="1" x14ac:dyDescent="0.3">
      <c r="A47" s="92">
        <f t="shared" si="0"/>
        <v>0</v>
      </c>
      <c r="B47" s="100" t="s">
        <v>351</v>
      </c>
      <c r="C47" s="97"/>
    </row>
    <row r="48" spans="1:4" ht="24.9" customHeight="1" x14ac:dyDescent="0.3">
      <c r="A48" s="92">
        <f t="shared" si="0"/>
        <v>0</v>
      </c>
      <c r="B48" s="100" t="s">
        <v>352</v>
      </c>
      <c r="C48" s="97"/>
    </row>
    <row r="49" spans="1:4" ht="24.9" customHeight="1" x14ac:dyDescent="0.3">
      <c r="A49" s="92">
        <f t="shared" si="0"/>
        <v>0</v>
      </c>
      <c r="B49" s="100" t="s">
        <v>353</v>
      </c>
      <c r="C49" s="97"/>
    </row>
    <row r="50" spans="1:4" ht="24.9" customHeight="1" x14ac:dyDescent="0.3">
      <c r="A50" s="92">
        <f t="shared" si="0"/>
        <v>0</v>
      </c>
      <c r="B50" s="107" t="s">
        <v>354</v>
      </c>
      <c r="C50" s="101"/>
    </row>
    <row r="51" spans="1:4" ht="24.9" customHeight="1" x14ac:dyDescent="0.3">
      <c r="A51" s="92" t="s">
        <v>312</v>
      </c>
      <c r="B51" s="93" t="s">
        <v>355</v>
      </c>
      <c r="C51" s="94"/>
    </row>
    <row r="52" spans="1:4" ht="24.9" customHeight="1" x14ac:dyDescent="0.3">
      <c r="A52" s="92" t="s">
        <v>312</v>
      </c>
      <c r="B52" s="110" t="s">
        <v>356</v>
      </c>
      <c r="C52" s="97"/>
      <c r="D52" s="95" t="s">
        <v>327</v>
      </c>
    </row>
    <row r="53" spans="1:4" ht="24.9" customHeight="1" x14ac:dyDescent="0.3">
      <c r="A53" s="92" t="s">
        <v>312</v>
      </c>
      <c r="B53" s="110" t="s">
        <v>357</v>
      </c>
      <c r="C53" s="97"/>
      <c r="D53" s="95" t="s">
        <v>327</v>
      </c>
    </row>
    <row r="54" spans="1:4" ht="24.9" customHeight="1" x14ac:dyDescent="0.3">
      <c r="A54" s="92" t="s">
        <v>312</v>
      </c>
      <c r="B54" s="110" t="s">
        <v>358</v>
      </c>
      <c r="C54" s="97"/>
      <c r="D54" s="95" t="s">
        <v>327</v>
      </c>
    </row>
    <row r="55" spans="1:4" ht="24.9" customHeight="1" x14ac:dyDescent="0.3">
      <c r="A55" s="92" t="s">
        <v>312</v>
      </c>
      <c r="B55" s="110" t="s">
        <v>359</v>
      </c>
      <c r="C55" s="97"/>
      <c r="D55" s="95" t="s">
        <v>327</v>
      </c>
    </row>
    <row r="56" spans="1:4" ht="24.9" customHeight="1" x14ac:dyDescent="0.3">
      <c r="A56" s="92" t="s">
        <v>312</v>
      </c>
      <c r="B56" s="110" t="s">
        <v>55</v>
      </c>
      <c r="C56" s="97"/>
      <c r="D56" s="95" t="s">
        <v>327</v>
      </c>
    </row>
    <row r="57" spans="1:4" ht="24.9" customHeight="1" x14ac:dyDescent="0.3">
      <c r="A57" s="92" t="str" cm="1">
        <f t="array" ref="A57">IF(OR($C$52:$C$54="Yes"),"Yes","No")</f>
        <v>No</v>
      </c>
      <c r="B57" s="100" t="s">
        <v>360</v>
      </c>
      <c r="C57" s="97"/>
    </row>
    <row r="58" spans="1:4" ht="24.9" customHeight="1" x14ac:dyDescent="0.3">
      <c r="A58" s="92" t="str" cm="1">
        <f t="array" ref="A58">IF(OR($C$52:$C$54="Yes"),"Yes","No")</f>
        <v>No</v>
      </c>
      <c r="B58" s="100" t="s">
        <v>361</v>
      </c>
      <c r="C58" s="97"/>
    </row>
    <row r="59" spans="1:4" ht="24.9" customHeight="1" x14ac:dyDescent="0.3">
      <c r="A59" s="92" t="s">
        <v>312</v>
      </c>
      <c r="B59" s="100" t="s">
        <v>362</v>
      </c>
      <c r="C59" s="97"/>
    </row>
    <row r="60" spans="1:4" ht="24.9" customHeight="1" x14ac:dyDescent="0.3">
      <c r="A60" s="92" t="str" cm="1">
        <f t="array" ref="A60">IF(OR($C$52:$C$54="Yes"),"Yes","No")</f>
        <v>No</v>
      </c>
      <c r="B60" s="100" t="s">
        <v>363</v>
      </c>
      <c r="C60" s="97"/>
    </row>
    <row r="61" spans="1:4" ht="24.9" customHeight="1" x14ac:dyDescent="0.3">
      <c r="A61" s="92" t="str" cm="1">
        <f t="array" ref="A61">IF(OR($C$52:$C$54="Yes"),"Yes","No")</f>
        <v>No</v>
      </c>
      <c r="B61" s="100" t="s">
        <v>364</v>
      </c>
      <c r="C61" s="97"/>
    </row>
    <row r="62" spans="1:4" ht="24.9" customHeight="1" x14ac:dyDescent="0.3">
      <c r="A62" s="92" t="s">
        <v>312</v>
      </c>
      <c r="B62" s="100" t="s">
        <v>365</v>
      </c>
      <c r="C62" s="97"/>
    </row>
    <row r="63" spans="1:4" ht="24.9" customHeight="1" x14ac:dyDescent="0.3">
      <c r="A63" s="92" t="str" cm="1">
        <f t="array" ref="A63">IF(OR($C$52:$C$54="Yes"),"Yes","No")</f>
        <v>No</v>
      </c>
      <c r="B63" s="107" t="s">
        <v>366</v>
      </c>
      <c r="C63" s="101"/>
    </row>
    <row r="64" spans="1:4" ht="24.9" customHeight="1" x14ac:dyDescent="0.3">
      <c r="A64" s="92" t="str">
        <f>IF($C$34="Yes","No","Yes")</f>
        <v>Yes</v>
      </c>
      <c r="B64" s="93" t="s">
        <v>367</v>
      </c>
      <c r="C64" s="94"/>
    </row>
    <row r="65" spans="1:6" ht="24.9" customHeight="1" x14ac:dyDescent="0.3">
      <c r="A65" s="92" t="str">
        <f>IF($C$34="Yes","No","Yes")</f>
        <v>Yes</v>
      </c>
      <c r="B65" s="100" t="s">
        <v>368</v>
      </c>
      <c r="C65" s="97"/>
      <c r="D65" s="95" t="s">
        <v>327</v>
      </c>
    </row>
    <row r="66" spans="1:6" ht="36" customHeight="1" x14ac:dyDescent="0.3">
      <c r="A66" s="92" t="str">
        <f>IF(C65="Yes","No","Yes")</f>
        <v>Yes</v>
      </c>
      <c r="B66" s="111" t="s">
        <v>369</v>
      </c>
      <c r="C66" s="97"/>
      <c r="D66" s="95" t="s">
        <v>323</v>
      </c>
    </row>
    <row r="67" spans="1:6" ht="24.9" customHeight="1" x14ac:dyDescent="0.3">
      <c r="A67" s="92">
        <f>$C$65</f>
        <v>0</v>
      </c>
      <c r="B67" s="100" t="s">
        <v>370</v>
      </c>
      <c r="C67" s="97"/>
      <c r="D67" s="95" t="s">
        <v>323</v>
      </c>
    </row>
    <row r="68" spans="1:6" ht="24.9" customHeight="1" x14ac:dyDescent="0.3">
      <c r="A68" s="92">
        <f t="shared" ref="A68:A71" si="1">$C$65</f>
        <v>0</v>
      </c>
      <c r="B68" s="100" t="s">
        <v>371</v>
      </c>
      <c r="C68" s="97"/>
      <c r="D68" s="95" t="s">
        <v>323</v>
      </c>
    </row>
    <row r="69" spans="1:6" ht="24.9" customHeight="1" x14ac:dyDescent="0.3">
      <c r="A69" s="92">
        <f t="shared" si="1"/>
        <v>0</v>
      </c>
      <c r="B69" s="100" t="s">
        <v>372</v>
      </c>
      <c r="C69" s="97"/>
      <c r="D69" s="95" t="s">
        <v>323</v>
      </c>
    </row>
    <row r="70" spans="1:6" ht="24.9" customHeight="1" x14ac:dyDescent="0.3">
      <c r="A70" s="92">
        <f t="shared" si="1"/>
        <v>0</v>
      </c>
      <c r="B70" s="100" t="s">
        <v>373</v>
      </c>
      <c r="C70" s="97"/>
      <c r="D70" s="95" t="s">
        <v>323</v>
      </c>
    </row>
    <row r="71" spans="1:6" ht="24.9" customHeight="1" x14ac:dyDescent="0.3">
      <c r="A71" s="92">
        <f t="shared" si="1"/>
        <v>0</v>
      </c>
      <c r="B71" s="100" t="s">
        <v>374</v>
      </c>
      <c r="C71" s="97"/>
      <c r="D71" s="95" t="s">
        <v>323</v>
      </c>
    </row>
    <row r="72" spans="1:6" ht="24.9" customHeight="1" x14ac:dyDescent="0.3">
      <c r="A72" s="92" t="b">
        <f t="shared" ref="A72:A77" si="2">AG</f>
        <v>1</v>
      </c>
      <c r="B72" s="93" t="s">
        <v>375</v>
      </c>
      <c r="C72" s="94"/>
      <c r="E72" s="112"/>
      <c r="F72" s="113"/>
    </row>
    <row r="73" spans="1:6" ht="24.9" customHeight="1" x14ac:dyDescent="0.3">
      <c r="A73" s="92" t="b">
        <f t="shared" si="2"/>
        <v>1</v>
      </c>
      <c r="B73" s="100"/>
      <c r="C73" s="97"/>
    </row>
    <row r="74" spans="1:6" ht="24.9" customHeight="1" x14ac:dyDescent="0.3">
      <c r="A74" s="92" t="b">
        <f t="shared" si="2"/>
        <v>1</v>
      </c>
      <c r="B74" s="100"/>
      <c r="C74" s="114"/>
    </row>
    <row r="75" spans="1:6" ht="24.9" customHeight="1" x14ac:dyDescent="0.3">
      <c r="A75" s="92" t="b">
        <f t="shared" si="2"/>
        <v>1</v>
      </c>
      <c r="B75" s="100"/>
      <c r="C75" s="115"/>
    </row>
    <row r="76" spans="1:6" ht="24.9" customHeight="1" x14ac:dyDescent="0.3">
      <c r="A76" s="92" t="b">
        <f t="shared" si="2"/>
        <v>1</v>
      </c>
      <c r="B76" s="100"/>
      <c r="C76" s="115"/>
    </row>
    <row r="77" spans="1:6" ht="24.9" customHeight="1" x14ac:dyDescent="0.3">
      <c r="A77" s="92" t="b">
        <f t="shared" si="2"/>
        <v>1</v>
      </c>
      <c r="B77" s="100"/>
      <c r="C77" s="115"/>
    </row>
    <row r="78" spans="1:6" ht="24.9" customHeight="1" x14ac:dyDescent="0.3">
      <c r="A78" s="92" t="b">
        <f t="shared" ref="A78:A83" si="3">DEM</f>
        <v>1</v>
      </c>
      <c r="B78" s="93" t="s">
        <v>27</v>
      </c>
      <c r="C78" s="94"/>
      <c r="E78" s="112"/>
      <c r="F78" s="113"/>
    </row>
    <row r="79" spans="1:6" ht="24.9" customHeight="1" x14ac:dyDescent="0.3">
      <c r="A79" s="92" t="b">
        <f t="shared" si="3"/>
        <v>1</v>
      </c>
      <c r="B79" s="100" t="s">
        <v>376</v>
      </c>
      <c r="C79" s="97"/>
      <c r="D79" s="95" t="s">
        <v>377</v>
      </c>
    </row>
    <row r="80" spans="1:6" ht="24.9" customHeight="1" x14ac:dyDescent="0.3">
      <c r="A80" s="92" t="b">
        <f t="shared" si="3"/>
        <v>1</v>
      </c>
      <c r="B80" s="100" t="s">
        <v>378</v>
      </c>
      <c r="C80" s="114"/>
      <c r="D80" s="95" t="s">
        <v>379</v>
      </c>
    </row>
    <row r="81" spans="1:4" ht="24.9" customHeight="1" x14ac:dyDescent="0.3">
      <c r="A81" s="92" t="b">
        <f t="shared" si="3"/>
        <v>1</v>
      </c>
      <c r="B81" s="100" t="s">
        <v>380</v>
      </c>
      <c r="C81" s="115"/>
      <c r="D81" s="95" t="s">
        <v>321</v>
      </c>
    </row>
    <row r="82" spans="1:4" ht="24.9" customHeight="1" x14ac:dyDescent="0.3">
      <c r="A82" s="92" t="b">
        <f t="shared" si="3"/>
        <v>1</v>
      </c>
      <c r="B82" s="100" t="s">
        <v>381</v>
      </c>
      <c r="C82" s="115"/>
      <c r="D82" s="95" t="s">
        <v>321</v>
      </c>
    </row>
    <row r="83" spans="1:4" ht="24.9" customHeight="1" x14ac:dyDescent="0.3">
      <c r="A83" s="92" t="b">
        <f t="shared" si="3"/>
        <v>1</v>
      </c>
      <c r="B83" s="100" t="s">
        <v>382</v>
      </c>
      <c r="C83" s="115"/>
      <c r="D83" s="95" t="s">
        <v>321</v>
      </c>
    </row>
    <row r="84" spans="1:4" ht="24.9" customHeight="1" x14ac:dyDescent="0.3">
      <c r="A84" s="92" t="b">
        <f t="shared" ref="A84:A94" si="4">GRADE</f>
        <v>1</v>
      </c>
      <c r="B84" s="93" t="s">
        <v>37</v>
      </c>
      <c r="C84" s="94"/>
    </row>
    <row r="85" spans="1:4" ht="24.9" customHeight="1" x14ac:dyDescent="0.3">
      <c r="A85" s="92" t="b">
        <f t="shared" si="4"/>
        <v>1</v>
      </c>
      <c r="B85" s="100" t="s">
        <v>383</v>
      </c>
      <c r="C85" s="97"/>
      <c r="D85" s="95" t="s">
        <v>321</v>
      </c>
    </row>
    <row r="86" spans="1:4" ht="24.9" customHeight="1" x14ac:dyDescent="0.3">
      <c r="A86" s="92" t="b">
        <f t="shared" si="4"/>
        <v>1</v>
      </c>
      <c r="B86" s="100" t="s">
        <v>384</v>
      </c>
      <c r="C86" s="97"/>
      <c r="D86" s="95" t="s">
        <v>321</v>
      </c>
    </row>
    <row r="87" spans="1:4" ht="24.9" customHeight="1" x14ac:dyDescent="0.3">
      <c r="A87" s="92" t="b">
        <f t="shared" si="4"/>
        <v>1</v>
      </c>
      <c r="B87" s="100" t="s">
        <v>385</v>
      </c>
      <c r="C87" s="97"/>
      <c r="D87" s="95" t="s">
        <v>321</v>
      </c>
    </row>
    <row r="88" spans="1:4" ht="24.9" customHeight="1" x14ac:dyDescent="0.3">
      <c r="A88" s="92" t="b">
        <f t="shared" si="4"/>
        <v>1</v>
      </c>
      <c r="B88" s="116" t="s">
        <v>386</v>
      </c>
      <c r="C88" s="97"/>
      <c r="D88" s="95" t="s">
        <v>321</v>
      </c>
    </row>
    <row r="89" spans="1:4" ht="24.9" customHeight="1" x14ac:dyDescent="0.3">
      <c r="A89" s="92" t="b">
        <f t="shared" si="4"/>
        <v>1</v>
      </c>
      <c r="B89" s="100" t="s">
        <v>387</v>
      </c>
      <c r="C89" s="97"/>
      <c r="D89" s="95" t="s">
        <v>321</v>
      </c>
    </row>
    <row r="90" spans="1:4" ht="24.9" customHeight="1" x14ac:dyDescent="0.3">
      <c r="A90" s="92" t="b">
        <f t="shared" si="4"/>
        <v>1</v>
      </c>
      <c r="B90" s="100" t="s">
        <v>388</v>
      </c>
      <c r="C90" s="97"/>
      <c r="D90" s="95" t="s">
        <v>321</v>
      </c>
    </row>
    <row r="91" spans="1:4" ht="24.9" customHeight="1" x14ac:dyDescent="0.3">
      <c r="A91" s="92" t="b">
        <f t="shared" si="4"/>
        <v>1</v>
      </c>
      <c r="B91" s="116" t="s">
        <v>389</v>
      </c>
      <c r="C91" s="97"/>
      <c r="D91" s="95" t="s">
        <v>321</v>
      </c>
    </row>
    <row r="92" spans="1:4" ht="24.9" customHeight="1" x14ac:dyDescent="0.3">
      <c r="A92" s="92" t="b">
        <f t="shared" si="4"/>
        <v>1</v>
      </c>
      <c r="B92" s="116" t="s">
        <v>390</v>
      </c>
      <c r="C92" s="97"/>
      <c r="D92" s="95" t="s">
        <v>321</v>
      </c>
    </row>
    <row r="93" spans="1:4" ht="24.9" customHeight="1" x14ac:dyDescent="0.3">
      <c r="A93" s="92" t="b">
        <f t="shared" si="4"/>
        <v>1</v>
      </c>
      <c r="B93" s="116" t="s">
        <v>391</v>
      </c>
      <c r="C93" s="97"/>
      <c r="D93" s="95" t="s">
        <v>321</v>
      </c>
    </row>
    <row r="94" spans="1:4" ht="24.9" customHeight="1" x14ac:dyDescent="0.3">
      <c r="A94" s="92" t="b">
        <f t="shared" si="4"/>
        <v>1</v>
      </c>
      <c r="B94" s="116" t="s">
        <v>392</v>
      </c>
      <c r="C94" s="97"/>
      <c r="D94" s="95" t="s">
        <v>321</v>
      </c>
    </row>
    <row r="95" spans="1:4" ht="24.9" customHeight="1" x14ac:dyDescent="0.3">
      <c r="A95" s="92" t="b">
        <f>POOL</f>
        <v>1</v>
      </c>
      <c r="B95" s="93" t="s">
        <v>43</v>
      </c>
      <c r="C95" s="94"/>
    </row>
    <row r="96" spans="1:4" ht="24.9" customHeight="1" x14ac:dyDescent="0.3">
      <c r="A96" s="92" t="b">
        <f>POOL</f>
        <v>1</v>
      </c>
      <c r="B96" s="100" t="s">
        <v>393</v>
      </c>
      <c r="C96" s="117"/>
      <c r="D96" s="95" t="s">
        <v>327</v>
      </c>
    </row>
    <row r="97" spans="1:5" ht="24.9" customHeight="1" x14ac:dyDescent="0.3">
      <c r="A97" s="92" t="b">
        <f>POOL</f>
        <v>1</v>
      </c>
      <c r="B97" s="107" t="s">
        <v>394</v>
      </c>
      <c r="C97" s="101"/>
      <c r="D97" s="95" t="s">
        <v>323</v>
      </c>
      <c r="E97" s="113"/>
    </row>
    <row r="98" spans="1:5" ht="24.9" customHeight="1" x14ac:dyDescent="0.3">
      <c r="A98" s="92" t="b">
        <f>ELC</f>
        <v>1</v>
      </c>
      <c r="B98" s="93" t="s">
        <v>31</v>
      </c>
      <c r="C98" s="118"/>
    </row>
    <row r="99" spans="1:5" ht="24.9" customHeight="1" x14ac:dyDescent="0.3">
      <c r="A99" s="92" t="b">
        <f>ELC</f>
        <v>1</v>
      </c>
      <c r="B99" s="100" t="s">
        <v>395</v>
      </c>
      <c r="C99" s="117"/>
      <c r="D99" s="95" t="s">
        <v>327</v>
      </c>
    </row>
    <row r="100" spans="1:5" ht="24.9" customHeight="1" x14ac:dyDescent="0.3">
      <c r="A100" s="92">
        <f>C99</f>
        <v>0</v>
      </c>
      <c r="B100" s="100" t="s">
        <v>396</v>
      </c>
      <c r="C100" s="97"/>
      <c r="D100" s="95" t="s">
        <v>321</v>
      </c>
    </row>
    <row r="101" spans="1:5" ht="24.9" customHeight="1" x14ac:dyDescent="0.3">
      <c r="A101" s="92">
        <f>C99</f>
        <v>0</v>
      </c>
      <c r="B101" s="100" t="s">
        <v>397</v>
      </c>
      <c r="C101" s="97"/>
      <c r="D101" s="95" t="s">
        <v>321</v>
      </c>
    </row>
    <row r="102" spans="1:5" ht="24.9" customHeight="1" x14ac:dyDescent="0.3">
      <c r="A102" s="92" t="b">
        <f>ELC</f>
        <v>1</v>
      </c>
      <c r="B102" s="111" t="s">
        <v>398</v>
      </c>
      <c r="C102" s="117"/>
      <c r="D102" s="95" t="s">
        <v>327</v>
      </c>
    </row>
    <row r="103" spans="1:5" ht="24.9" customHeight="1" x14ac:dyDescent="0.3">
      <c r="A103" s="92">
        <f>C102</f>
        <v>0</v>
      </c>
      <c r="B103" s="100" t="s">
        <v>399</v>
      </c>
      <c r="C103" s="97"/>
      <c r="D103" s="95" t="s">
        <v>321</v>
      </c>
    </row>
    <row r="104" spans="1:5" ht="24.9" customHeight="1" x14ac:dyDescent="0.3">
      <c r="A104" s="92" t="b">
        <f>ELC</f>
        <v>1</v>
      </c>
      <c r="B104" s="100" t="s">
        <v>400</v>
      </c>
      <c r="C104" s="117"/>
      <c r="D104" s="95" t="s">
        <v>327</v>
      </c>
    </row>
    <row r="105" spans="1:5" ht="24.9" customHeight="1" x14ac:dyDescent="0.3">
      <c r="A105" s="92" t="b">
        <f>ELC</f>
        <v>1</v>
      </c>
      <c r="B105" s="100" t="s">
        <v>401</v>
      </c>
      <c r="C105" s="117"/>
      <c r="D105" s="95" t="s">
        <v>327</v>
      </c>
    </row>
    <row r="106" spans="1:5" ht="24.9" customHeight="1" x14ac:dyDescent="0.3">
      <c r="A106" s="92" t="b">
        <f>ELC</f>
        <v>1</v>
      </c>
      <c r="B106" s="100" t="s">
        <v>402</v>
      </c>
      <c r="C106" s="117"/>
      <c r="D106" s="95" t="s">
        <v>327</v>
      </c>
    </row>
    <row r="107" spans="1:5" ht="24.9" customHeight="1" x14ac:dyDescent="0.3">
      <c r="A107" s="92" t="b">
        <f>ELC</f>
        <v>1</v>
      </c>
      <c r="B107" s="100" t="s">
        <v>403</v>
      </c>
      <c r="C107" s="117"/>
      <c r="D107" s="95" t="s">
        <v>327</v>
      </c>
    </row>
    <row r="108" spans="1:5" ht="24.9" customHeight="1" x14ac:dyDescent="0.3">
      <c r="A108" s="92" t="str">
        <f>IF(AND(ELC="Yes",C107="Yes"),"Yes","No")</f>
        <v>No</v>
      </c>
      <c r="B108" s="100" t="s">
        <v>404</v>
      </c>
      <c r="C108" s="97"/>
      <c r="D108" s="95" t="s">
        <v>321</v>
      </c>
    </row>
    <row r="109" spans="1:5" ht="24.9" customHeight="1" x14ac:dyDescent="0.3">
      <c r="A109" s="92" t="b">
        <f>ELC</f>
        <v>1</v>
      </c>
      <c r="B109" s="100" t="s">
        <v>405</v>
      </c>
      <c r="C109" s="117"/>
      <c r="D109" s="95" t="s">
        <v>327</v>
      </c>
    </row>
    <row r="110" spans="1:5" ht="24.9" customHeight="1" x14ac:dyDescent="0.3">
      <c r="A110" s="92" t="b">
        <f>MCH</f>
        <v>1</v>
      </c>
      <c r="B110" s="93" t="s">
        <v>39</v>
      </c>
      <c r="C110" s="94"/>
    </row>
    <row r="111" spans="1:5" ht="24.9" customHeight="1" x14ac:dyDescent="0.3">
      <c r="A111" s="92" t="b">
        <f>MCH</f>
        <v>1</v>
      </c>
      <c r="B111" s="100" t="s">
        <v>406</v>
      </c>
      <c r="C111" s="117"/>
      <c r="D111" s="95" t="s">
        <v>327</v>
      </c>
    </row>
    <row r="112" spans="1:5" ht="24.9" customHeight="1" x14ac:dyDescent="0.3">
      <c r="A112" s="92" t="str">
        <f>IF(AND(MCH="Yes",C111="Yes"),"Yes","No")</f>
        <v>No</v>
      </c>
      <c r="B112" s="100" t="s">
        <v>407</v>
      </c>
      <c r="C112" s="97"/>
      <c r="D112" s="95" t="s">
        <v>321</v>
      </c>
    </row>
    <row r="113" spans="1:4" ht="24.9" customHeight="1" x14ac:dyDescent="0.3">
      <c r="A113" s="92" t="b">
        <f>MCH</f>
        <v>1</v>
      </c>
      <c r="B113" s="100" t="s">
        <v>408</v>
      </c>
      <c r="C113" s="117"/>
      <c r="D113" s="95" t="s">
        <v>327</v>
      </c>
    </row>
    <row r="114" spans="1:4" ht="24.9" customHeight="1" x14ac:dyDescent="0.3">
      <c r="A114" s="92" t="str">
        <f>IF(AND(MCH="Yes",C113="Yes"),"Yes","No")</f>
        <v>No</v>
      </c>
      <c r="B114" s="100" t="s">
        <v>409</v>
      </c>
      <c r="C114" s="117"/>
    </row>
    <row r="115" spans="1:4" ht="24.9" customHeight="1" x14ac:dyDescent="0.3">
      <c r="A115" s="92" t="str">
        <f>IF(AND(MCH="Yes",C113="Yes"),"Yes","No")</f>
        <v>No</v>
      </c>
      <c r="B115" s="100" t="s">
        <v>410</v>
      </c>
      <c r="C115" s="97"/>
      <c r="D115" s="95" t="s">
        <v>321</v>
      </c>
    </row>
    <row r="116" spans="1:4" ht="24.9" customHeight="1" x14ac:dyDescent="0.3">
      <c r="A116" s="92" t="b">
        <f>PLB</f>
        <v>1</v>
      </c>
      <c r="B116" s="93" t="s">
        <v>41</v>
      </c>
      <c r="C116" s="94"/>
    </row>
    <row r="117" spans="1:4" ht="24.9" customHeight="1" x14ac:dyDescent="0.3">
      <c r="A117" s="92" t="b">
        <f>PLB</f>
        <v>1</v>
      </c>
      <c r="B117" s="100" t="s">
        <v>411</v>
      </c>
      <c r="C117" s="117"/>
      <c r="D117" s="95" t="s">
        <v>327</v>
      </c>
    </row>
    <row r="118" spans="1:4" ht="24.9" customHeight="1" x14ac:dyDescent="0.3">
      <c r="A118" s="92">
        <f>C117</f>
        <v>0</v>
      </c>
      <c r="B118" s="100" t="s">
        <v>412</v>
      </c>
      <c r="C118" s="117"/>
      <c r="D118" s="95" t="s">
        <v>327</v>
      </c>
    </row>
    <row r="119" spans="1:4" ht="24.9" customHeight="1" x14ac:dyDescent="0.3">
      <c r="A119" s="92">
        <f>C117</f>
        <v>0</v>
      </c>
      <c r="B119" s="100" t="s">
        <v>413</v>
      </c>
      <c r="C119" s="117"/>
      <c r="D119" s="95" t="s">
        <v>327</v>
      </c>
    </row>
    <row r="120" spans="1:4" ht="24.9" customHeight="1" x14ac:dyDescent="0.3">
      <c r="A120" s="92">
        <f>C117</f>
        <v>0</v>
      </c>
      <c r="B120" s="100" t="s">
        <v>414</v>
      </c>
      <c r="C120" s="117"/>
      <c r="D120" s="95" t="s">
        <v>327</v>
      </c>
    </row>
    <row r="121" spans="1:4" ht="24.9" customHeight="1" x14ac:dyDescent="0.3">
      <c r="A121" s="92" t="b">
        <f>PLB</f>
        <v>1</v>
      </c>
      <c r="B121" s="100" t="s">
        <v>415</v>
      </c>
      <c r="C121" s="117"/>
      <c r="D121" s="95" t="s">
        <v>327</v>
      </c>
    </row>
    <row r="122" spans="1:4" ht="24.9" customHeight="1" x14ac:dyDescent="0.3">
      <c r="A122" s="92">
        <f>C121</f>
        <v>0</v>
      </c>
      <c r="B122" s="100" t="s">
        <v>416</v>
      </c>
      <c r="C122" s="117"/>
      <c r="D122" s="95" t="s">
        <v>327</v>
      </c>
    </row>
    <row r="123" spans="1:4" ht="24.9" customHeight="1" x14ac:dyDescent="0.3">
      <c r="A123" s="92" t="str">
        <f>IF(C122="No","Yes","No")</f>
        <v>No</v>
      </c>
      <c r="B123" s="100" t="s">
        <v>417</v>
      </c>
      <c r="C123" s="97"/>
      <c r="D123" s="95" t="s">
        <v>323</v>
      </c>
    </row>
    <row r="124" spans="1:4" ht="24.9" customHeight="1" x14ac:dyDescent="0.3">
      <c r="A124" s="92" t="b">
        <f>PLB</f>
        <v>1</v>
      </c>
      <c r="B124" s="100" t="s">
        <v>418</v>
      </c>
      <c r="C124" s="117"/>
      <c r="D124" s="95" t="s">
        <v>327</v>
      </c>
    </row>
    <row r="125" spans="1:4" ht="24.9" customHeight="1" x14ac:dyDescent="0.3">
      <c r="A125" s="92">
        <f>C124</f>
        <v>0</v>
      </c>
      <c r="B125" s="100" t="s">
        <v>419</v>
      </c>
      <c r="C125" s="97"/>
      <c r="D125" s="95" t="s">
        <v>321</v>
      </c>
    </row>
    <row r="126" spans="1:4" ht="24.9" customHeight="1" x14ac:dyDescent="0.3">
      <c r="A126" s="92" t="b">
        <f>PLB</f>
        <v>1</v>
      </c>
      <c r="B126" s="100" t="s">
        <v>420</v>
      </c>
      <c r="C126" s="117"/>
      <c r="D126" s="95" t="s">
        <v>327</v>
      </c>
    </row>
    <row r="127" spans="1:4" ht="24.9" customHeight="1" x14ac:dyDescent="0.3">
      <c r="A127" s="92" t="b">
        <f>PLB</f>
        <v>1</v>
      </c>
      <c r="B127" s="100" t="s">
        <v>421</v>
      </c>
      <c r="C127" s="117"/>
      <c r="D127" s="95" t="s">
        <v>327</v>
      </c>
    </row>
    <row r="128" spans="1:4" ht="24.9" customHeight="1" x14ac:dyDescent="0.3">
      <c r="A128" s="92" t="b">
        <f>PLB</f>
        <v>1</v>
      </c>
      <c r="B128" s="100" t="s">
        <v>422</v>
      </c>
      <c r="C128" s="117"/>
      <c r="D128" s="95" t="s">
        <v>327</v>
      </c>
    </row>
    <row r="129" spans="1:4" ht="24.9" customHeight="1" x14ac:dyDescent="0.3">
      <c r="A129" s="92" t="b">
        <f>PLB</f>
        <v>1</v>
      </c>
      <c r="B129" s="100" t="s">
        <v>423</v>
      </c>
      <c r="C129" s="117"/>
      <c r="D129" s="95" t="s">
        <v>327</v>
      </c>
    </row>
    <row r="130" spans="1:4" ht="24.9" customHeight="1" x14ac:dyDescent="0.3">
      <c r="A130" s="92" t="str">
        <f>IF($C$17="Addition","Yes","No")</f>
        <v>No</v>
      </c>
      <c r="B130" s="93" t="s">
        <v>424</v>
      </c>
      <c r="C130" s="118"/>
    </row>
    <row r="131" spans="1:4" ht="24.9" customHeight="1" x14ac:dyDescent="0.3">
      <c r="A131" s="92" t="str">
        <f>$A$130</f>
        <v>No</v>
      </c>
      <c r="B131" s="100" t="s">
        <v>425</v>
      </c>
      <c r="C131" s="118"/>
    </row>
    <row r="132" spans="1:4" ht="24.9" customHeight="1" x14ac:dyDescent="0.3">
      <c r="A132" s="92" t="str">
        <f>$A$130</f>
        <v>No</v>
      </c>
      <c r="B132" s="100" t="s">
        <v>426</v>
      </c>
      <c r="C132" s="97"/>
      <c r="D132" s="95" t="s">
        <v>327</v>
      </c>
    </row>
    <row r="133" spans="1:4" ht="24.9" customHeight="1" x14ac:dyDescent="0.3">
      <c r="A133" s="92" t="str">
        <f>$A$130</f>
        <v>No</v>
      </c>
      <c r="B133" s="100" t="s">
        <v>427</v>
      </c>
      <c r="C133" s="97"/>
      <c r="D133" s="95" t="s">
        <v>327</v>
      </c>
    </row>
    <row r="134" spans="1:4" ht="24.9" customHeight="1" x14ac:dyDescent="0.3">
      <c r="A134" s="92" t="str">
        <f>$A$130</f>
        <v>No</v>
      </c>
      <c r="B134" s="100" t="s">
        <v>428</v>
      </c>
      <c r="C134" s="97"/>
      <c r="D134" s="95" t="s">
        <v>327</v>
      </c>
    </row>
    <row r="135" spans="1:4" ht="24.9" customHeight="1" x14ac:dyDescent="0.3">
      <c r="A135" s="92" t="str">
        <f>$A$130</f>
        <v>No</v>
      </c>
      <c r="B135" s="107" t="s">
        <v>429</v>
      </c>
      <c r="C135" s="97"/>
      <c r="D135" s="95" t="s">
        <v>327</v>
      </c>
    </row>
    <row r="136" spans="1:4" ht="24.9" customHeight="1" x14ac:dyDescent="0.3">
      <c r="A136" s="92" t="str">
        <f>IF($C$17="Alteration/Repair/Replacement","Yes","No")</f>
        <v>No</v>
      </c>
      <c r="B136" s="93" t="s">
        <v>430</v>
      </c>
      <c r="C136" s="94"/>
    </row>
    <row r="137" spans="1:4" ht="24.9" customHeight="1" x14ac:dyDescent="0.3">
      <c r="A137" s="92" t="str">
        <f>$A$136</f>
        <v>No</v>
      </c>
      <c r="B137" s="100" t="s">
        <v>431</v>
      </c>
      <c r="C137" s="97"/>
    </row>
    <row r="138" spans="1:4" ht="24.9" customHeight="1" x14ac:dyDescent="0.3">
      <c r="A138" s="92" t="str">
        <f>$A$136</f>
        <v>No</v>
      </c>
      <c r="B138" s="119" t="s">
        <v>432</v>
      </c>
      <c r="C138" s="117"/>
      <c r="D138" s="95" t="s">
        <v>327</v>
      </c>
    </row>
    <row r="139" spans="1:4" ht="24.9" customHeight="1" x14ac:dyDescent="0.3">
      <c r="A139" s="92">
        <f>C138</f>
        <v>0</v>
      </c>
      <c r="B139" s="100" t="s">
        <v>433</v>
      </c>
      <c r="C139" s="120"/>
      <c r="D139" s="95" t="s">
        <v>434</v>
      </c>
    </row>
    <row r="140" spans="1:4" ht="24.9" customHeight="1" x14ac:dyDescent="0.3">
      <c r="A140" s="92">
        <f>C138</f>
        <v>0</v>
      </c>
      <c r="B140" s="100" t="s">
        <v>435</v>
      </c>
      <c r="C140" s="97"/>
    </row>
    <row r="141" spans="1:4" ht="24.9" customHeight="1" x14ac:dyDescent="0.3">
      <c r="A141" s="92" t="str">
        <f>IF($C$140="No","Yes","No")</f>
        <v>No</v>
      </c>
      <c r="B141" s="100" t="s">
        <v>436</v>
      </c>
      <c r="C141" s="97"/>
    </row>
    <row r="142" spans="1:4" ht="24.9" customHeight="1" x14ac:dyDescent="0.3">
      <c r="A142" s="92" t="str">
        <f>IF($C$141="Other","Yes","No")</f>
        <v>No</v>
      </c>
      <c r="B142" s="116" t="s">
        <v>437</v>
      </c>
      <c r="C142" s="97"/>
      <c r="D142" s="95" t="s">
        <v>323</v>
      </c>
    </row>
    <row r="143" spans="1:4" ht="24.9" customHeight="1" x14ac:dyDescent="0.3">
      <c r="A143" s="92">
        <f>C138</f>
        <v>0</v>
      </c>
      <c r="B143" s="100" t="s">
        <v>438</v>
      </c>
      <c r="C143" s="97"/>
    </row>
    <row r="144" spans="1:4" ht="24.9" customHeight="1" x14ac:dyDescent="0.3">
      <c r="A144" s="92" t="str">
        <f>IF($C$143="Other","Yes","No")</f>
        <v>No</v>
      </c>
      <c r="B144" s="107" t="s">
        <v>439</v>
      </c>
      <c r="C144" s="101"/>
      <c r="D144" s="95" t="s">
        <v>323</v>
      </c>
    </row>
    <row r="145" spans="1:4" ht="24.9" customHeight="1" x14ac:dyDescent="0.3">
      <c r="A145" s="92" t="str">
        <f t="shared" ref="A145:A151" si="5">$A$136</f>
        <v>No</v>
      </c>
      <c r="B145" s="119" t="s">
        <v>440</v>
      </c>
      <c r="C145" s="109"/>
      <c r="D145" s="95" t="s">
        <v>327</v>
      </c>
    </row>
    <row r="146" spans="1:4" ht="24.9" customHeight="1" x14ac:dyDescent="0.3">
      <c r="A146" s="92" t="str">
        <f t="shared" si="5"/>
        <v>No</v>
      </c>
      <c r="B146" s="100" t="s">
        <v>441</v>
      </c>
      <c r="C146" s="97"/>
      <c r="D146" s="95" t="s">
        <v>327</v>
      </c>
    </row>
    <row r="147" spans="1:4" ht="24.9" customHeight="1" x14ac:dyDescent="0.3">
      <c r="A147" s="92" t="str">
        <f t="shared" si="5"/>
        <v>No</v>
      </c>
      <c r="B147" s="100" t="s">
        <v>442</v>
      </c>
      <c r="C147" s="97"/>
      <c r="D147" s="95" t="s">
        <v>327</v>
      </c>
    </row>
    <row r="148" spans="1:4" ht="24.9" customHeight="1" x14ac:dyDescent="0.3">
      <c r="A148" s="92" t="str">
        <f t="shared" si="5"/>
        <v>No</v>
      </c>
      <c r="B148" s="100" t="s">
        <v>443</v>
      </c>
      <c r="C148" s="97"/>
      <c r="D148" s="95" t="s">
        <v>327</v>
      </c>
    </row>
    <row r="149" spans="1:4" ht="24.9" customHeight="1" x14ac:dyDescent="0.3">
      <c r="A149" s="92" t="str">
        <f t="shared" si="5"/>
        <v>No</v>
      </c>
      <c r="B149" s="100" t="s">
        <v>444</v>
      </c>
      <c r="C149" s="97"/>
      <c r="D149" s="95" t="s">
        <v>327</v>
      </c>
    </row>
    <row r="150" spans="1:4" ht="24.9" customHeight="1" x14ac:dyDescent="0.3">
      <c r="A150" s="92" t="str">
        <f t="shared" si="5"/>
        <v>No</v>
      </c>
      <c r="B150" s="100" t="s">
        <v>445</v>
      </c>
      <c r="C150" s="97"/>
      <c r="D150" s="95" t="s">
        <v>327</v>
      </c>
    </row>
    <row r="151" spans="1:4" ht="24.9" customHeight="1" x14ac:dyDescent="0.3">
      <c r="A151" s="92" t="str">
        <f t="shared" si="5"/>
        <v>No</v>
      </c>
      <c r="B151" s="107" t="s">
        <v>446</v>
      </c>
      <c r="C151" s="101"/>
      <c r="D151" s="95" t="s">
        <v>323</v>
      </c>
    </row>
    <row r="152" spans="1:4" ht="24.9" customHeight="1" x14ac:dyDescent="0.3">
      <c r="A152" s="92" t="str">
        <f>IF($C$17="New","Yes","No")</f>
        <v>No</v>
      </c>
      <c r="B152" s="93" t="s">
        <v>447</v>
      </c>
      <c r="C152" s="94"/>
    </row>
    <row r="153" spans="1:4" ht="24.9" customHeight="1" x14ac:dyDescent="0.3">
      <c r="A153" s="92" t="str">
        <f t="shared" ref="A153:A159" si="6">$A$152</f>
        <v>No</v>
      </c>
      <c r="B153" s="100" t="s">
        <v>315</v>
      </c>
      <c r="C153" s="118"/>
    </row>
    <row r="154" spans="1:4" ht="24.9" customHeight="1" x14ac:dyDescent="0.3">
      <c r="A154" s="92" t="str">
        <f t="shared" si="6"/>
        <v>No</v>
      </c>
      <c r="B154" s="100" t="s">
        <v>448</v>
      </c>
      <c r="C154" s="97"/>
      <c r="D154" s="95" t="s">
        <v>327</v>
      </c>
    </row>
    <row r="155" spans="1:4" ht="24.9" customHeight="1" x14ac:dyDescent="0.3">
      <c r="A155" s="92" t="str">
        <f t="shared" si="6"/>
        <v>No</v>
      </c>
      <c r="B155" s="116" t="s">
        <v>449</v>
      </c>
      <c r="C155" s="97"/>
      <c r="D155" s="95" t="s">
        <v>327</v>
      </c>
    </row>
    <row r="156" spans="1:4" ht="24.9" customHeight="1" x14ac:dyDescent="0.3">
      <c r="A156" s="92" t="str">
        <f t="shared" si="6"/>
        <v>No</v>
      </c>
      <c r="B156" s="116" t="s">
        <v>450</v>
      </c>
      <c r="C156" s="97"/>
      <c r="D156" s="95" t="s">
        <v>327</v>
      </c>
    </row>
    <row r="157" spans="1:4" ht="24.9" customHeight="1" x14ac:dyDescent="0.3">
      <c r="A157" s="92" t="str">
        <f t="shared" si="6"/>
        <v>No</v>
      </c>
      <c r="B157" s="116" t="s">
        <v>451</v>
      </c>
      <c r="C157" s="97"/>
      <c r="D157" s="95" t="s">
        <v>327</v>
      </c>
    </row>
    <row r="158" spans="1:4" ht="24.9" customHeight="1" x14ac:dyDescent="0.3">
      <c r="A158" s="92" t="str">
        <f t="shared" si="6"/>
        <v>No</v>
      </c>
      <c r="B158" s="116" t="s">
        <v>452</v>
      </c>
      <c r="C158" s="97"/>
      <c r="D158" s="95" t="s">
        <v>327</v>
      </c>
    </row>
    <row r="159" spans="1:4" ht="24.9" customHeight="1" x14ac:dyDescent="0.3">
      <c r="A159" s="92" t="str">
        <f t="shared" si="6"/>
        <v>No</v>
      </c>
      <c r="B159" s="100" t="s">
        <v>453</v>
      </c>
      <c r="C159" s="97"/>
      <c r="D159" s="95" t="s">
        <v>327</v>
      </c>
    </row>
    <row r="160" spans="1:4" ht="24.9" customHeight="1" x14ac:dyDescent="0.3">
      <c r="A160" s="92" t="str">
        <f>IF(C16="Commercial Building","Yes","No")</f>
        <v>No</v>
      </c>
      <c r="B160" s="93" t="s">
        <v>454</v>
      </c>
      <c r="C160" s="94"/>
    </row>
    <row r="161" spans="1:4" ht="24.9" customHeight="1" x14ac:dyDescent="0.3">
      <c r="A161" s="92" t="str">
        <f t="shared" ref="A161:A169" si="7">$A$160</f>
        <v>No</v>
      </c>
      <c r="B161" s="100" t="s">
        <v>455</v>
      </c>
      <c r="C161" s="97"/>
      <c r="D161" s="95" t="s">
        <v>327</v>
      </c>
    </row>
    <row r="162" spans="1:4" ht="24.9" customHeight="1" x14ac:dyDescent="0.3">
      <c r="A162" s="92" t="str">
        <f t="shared" si="7"/>
        <v>No</v>
      </c>
      <c r="B162" s="100" t="s">
        <v>456</v>
      </c>
      <c r="C162" s="97"/>
      <c r="D162" s="95" t="s">
        <v>327</v>
      </c>
    </row>
    <row r="163" spans="1:4" ht="24.9" customHeight="1" x14ac:dyDescent="0.3">
      <c r="A163" s="92" t="str">
        <f t="shared" si="7"/>
        <v>No</v>
      </c>
      <c r="B163" s="100" t="s">
        <v>457</v>
      </c>
      <c r="C163" s="97"/>
      <c r="D163" s="95" t="s">
        <v>327</v>
      </c>
    </row>
    <row r="164" spans="1:4" ht="24.9" customHeight="1" x14ac:dyDescent="0.3">
      <c r="A164" s="92" t="str">
        <f t="shared" si="7"/>
        <v>No</v>
      </c>
      <c r="B164" s="100" t="s">
        <v>458</v>
      </c>
      <c r="C164" s="97"/>
      <c r="D164" s="95" t="s">
        <v>327</v>
      </c>
    </row>
    <row r="165" spans="1:4" ht="24.9" customHeight="1" x14ac:dyDescent="0.3">
      <c r="A165" s="92" t="str">
        <f t="shared" si="7"/>
        <v>No</v>
      </c>
      <c r="B165" s="100" t="s">
        <v>459</v>
      </c>
      <c r="C165" s="97"/>
      <c r="D165" s="95" t="s">
        <v>327</v>
      </c>
    </row>
    <row r="166" spans="1:4" ht="24.9" customHeight="1" x14ac:dyDescent="0.3">
      <c r="A166" s="92" t="str">
        <f t="shared" si="7"/>
        <v>No</v>
      </c>
      <c r="B166" s="100" t="s">
        <v>460</v>
      </c>
      <c r="C166" s="97"/>
      <c r="D166" s="95" t="s">
        <v>327</v>
      </c>
    </row>
    <row r="167" spans="1:4" ht="24.9" customHeight="1" x14ac:dyDescent="0.3">
      <c r="A167" s="92" t="str">
        <f t="shared" si="7"/>
        <v>No</v>
      </c>
      <c r="B167" s="100" t="s">
        <v>461</v>
      </c>
      <c r="C167" s="97"/>
      <c r="D167" s="95" t="s">
        <v>327</v>
      </c>
    </row>
    <row r="168" spans="1:4" ht="24.9" customHeight="1" x14ac:dyDescent="0.3">
      <c r="A168" s="92" t="str">
        <f t="shared" si="7"/>
        <v>No</v>
      </c>
      <c r="B168" s="100" t="s">
        <v>462</v>
      </c>
      <c r="C168" s="97"/>
      <c r="D168" s="95" t="s">
        <v>327</v>
      </c>
    </row>
    <row r="169" spans="1:4" ht="24.9" customHeight="1" x14ac:dyDescent="0.3">
      <c r="A169" s="92" t="str">
        <f t="shared" si="7"/>
        <v>No</v>
      </c>
      <c r="B169" s="107" t="s">
        <v>446</v>
      </c>
      <c r="C169" s="101"/>
      <c r="D169" s="95" t="s">
        <v>323</v>
      </c>
    </row>
    <row r="170" spans="1:4" ht="24.9" customHeight="1" x14ac:dyDescent="0.3">
      <c r="A170" s="121">
        <f>C161</f>
        <v>0</v>
      </c>
      <c r="B170" s="102" t="s">
        <v>463</v>
      </c>
      <c r="C170" s="109"/>
      <c r="D170" s="95" t="s">
        <v>321</v>
      </c>
    </row>
    <row r="171" spans="1:4" ht="24.9" customHeight="1" x14ac:dyDescent="0.3">
      <c r="A171" s="121">
        <f t="shared" ref="A171:A177" si="8">C162</f>
        <v>0</v>
      </c>
      <c r="B171" s="100" t="s">
        <v>464</v>
      </c>
      <c r="C171" s="97"/>
      <c r="D171" s="95" t="s">
        <v>321</v>
      </c>
    </row>
    <row r="172" spans="1:4" ht="24.9" customHeight="1" x14ac:dyDescent="0.3">
      <c r="A172" s="121">
        <f t="shared" si="8"/>
        <v>0</v>
      </c>
      <c r="B172" s="100" t="s">
        <v>465</v>
      </c>
      <c r="C172" s="97"/>
      <c r="D172" s="95" t="s">
        <v>321</v>
      </c>
    </row>
    <row r="173" spans="1:4" ht="24.9" customHeight="1" x14ac:dyDescent="0.3">
      <c r="A173" s="121">
        <f t="shared" si="8"/>
        <v>0</v>
      </c>
      <c r="B173" s="100" t="s">
        <v>466</v>
      </c>
      <c r="C173" s="97"/>
      <c r="D173" s="95" t="s">
        <v>321</v>
      </c>
    </row>
    <row r="174" spans="1:4" ht="24.9" customHeight="1" x14ac:dyDescent="0.3">
      <c r="A174" s="121">
        <f t="shared" si="8"/>
        <v>0</v>
      </c>
      <c r="B174" s="100" t="s">
        <v>467</v>
      </c>
      <c r="C174" s="97"/>
      <c r="D174" s="95" t="s">
        <v>321</v>
      </c>
    </row>
    <row r="175" spans="1:4" ht="24.9" customHeight="1" x14ac:dyDescent="0.3">
      <c r="A175" s="121">
        <f t="shared" si="8"/>
        <v>0</v>
      </c>
      <c r="B175" s="100" t="s">
        <v>468</v>
      </c>
      <c r="C175" s="97"/>
      <c r="D175" s="95" t="s">
        <v>321</v>
      </c>
    </row>
    <row r="176" spans="1:4" ht="24.9" customHeight="1" x14ac:dyDescent="0.3">
      <c r="A176" s="121">
        <f t="shared" si="8"/>
        <v>0</v>
      </c>
      <c r="B176" s="100" t="s">
        <v>469</v>
      </c>
      <c r="C176" s="97"/>
      <c r="D176" s="95" t="s">
        <v>321</v>
      </c>
    </row>
    <row r="177" spans="1:4" ht="24.9" customHeight="1" x14ac:dyDescent="0.3">
      <c r="A177" s="121">
        <f t="shared" si="8"/>
        <v>0</v>
      </c>
      <c r="B177" s="107" t="s">
        <v>470</v>
      </c>
      <c r="C177" s="101"/>
      <c r="D177" s="95" t="s">
        <v>321</v>
      </c>
    </row>
    <row r="178" spans="1:4" ht="24.9" customHeight="1" x14ac:dyDescent="0.3">
      <c r="A178" s="92" t="str">
        <f t="shared" ref="A178:A187" si="9">$A$160</f>
        <v>No</v>
      </c>
      <c r="B178" s="119" t="s">
        <v>471</v>
      </c>
      <c r="C178" s="117"/>
      <c r="D178" s="95" t="s">
        <v>321</v>
      </c>
    </row>
    <row r="179" spans="1:4" ht="24.9" customHeight="1" x14ac:dyDescent="0.3">
      <c r="A179" s="92" t="str">
        <f t="shared" si="9"/>
        <v>No</v>
      </c>
      <c r="B179" s="100" t="s">
        <v>472</v>
      </c>
      <c r="C179" s="97"/>
      <c r="D179" s="95" t="s">
        <v>321</v>
      </c>
    </row>
    <row r="180" spans="1:4" ht="24.9" customHeight="1" x14ac:dyDescent="0.3">
      <c r="A180" s="92" t="str">
        <f t="shared" si="9"/>
        <v>No</v>
      </c>
      <c r="B180" s="107" t="s">
        <v>473</v>
      </c>
      <c r="C180" s="101"/>
      <c r="D180" s="95" t="s">
        <v>321</v>
      </c>
    </row>
    <row r="181" spans="1:4" ht="24.9" customHeight="1" x14ac:dyDescent="0.3">
      <c r="A181" s="92" t="str">
        <f t="shared" si="9"/>
        <v>No</v>
      </c>
      <c r="B181" s="119" t="s">
        <v>474</v>
      </c>
      <c r="C181" s="97"/>
      <c r="D181" s="95" t="s">
        <v>327</v>
      </c>
    </row>
    <row r="182" spans="1:4" ht="24.9" customHeight="1" x14ac:dyDescent="0.3">
      <c r="A182" s="92" t="str">
        <f t="shared" si="9"/>
        <v>No</v>
      </c>
      <c r="B182" s="100" t="s">
        <v>475</v>
      </c>
      <c r="C182" s="97"/>
      <c r="D182" s="95" t="s">
        <v>327</v>
      </c>
    </row>
    <row r="183" spans="1:4" ht="24.9" customHeight="1" x14ac:dyDescent="0.3">
      <c r="A183" s="92" t="str">
        <f t="shared" si="9"/>
        <v>No</v>
      </c>
      <c r="B183" s="100" t="s">
        <v>476</v>
      </c>
      <c r="C183" s="97"/>
      <c r="D183" s="95" t="s">
        <v>323</v>
      </c>
    </row>
    <row r="184" spans="1:4" ht="24.9" customHeight="1" x14ac:dyDescent="0.3">
      <c r="A184" s="92" t="str">
        <f t="shared" si="9"/>
        <v>No</v>
      </c>
      <c r="B184" s="100" t="s">
        <v>477</v>
      </c>
      <c r="C184" s="97"/>
      <c r="D184" s="95" t="s">
        <v>321</v>
      </c>
    </row>
    <row r="185" spans="1:4" ht="24.9" customHeight="1" x14ac:dyDescent="0.3">
      <c r="A185" s="92" t="str">
        <f t="shared" si="9"/>
        <v>No</v>
      </c>
      <c r="B185" s="100" t="s">
        <v>478</v>
      </c>
      <c r="C185" s="97" t="s">
        <v>479</v>
      </c>
      <c r="D185" s="95" t="s">
        <v>327</v>
      </c>
    </row>
    <row r="186" spans="1:4" ht="24.9" customHeight="1" x14ac:dyDescent="0.3">
      <c r="A186" s="92" t="str">
        <f t="shared" si="9"/>
        <v>No</v>
      </c>
      <c r="B186" s="100" t="s">
        <v>480</v>
      </c>
      <c r="C186" s="97" t="s">
        <v>479</v>
      </c>
      <c r="D186" s="95" t="s">
        <v>327</v>
      </c>
    </row>
    <row r="187" spans="1:4" ht="24.9" customHeight="1" x14ac:dyDescent="0.3">
      <c r="A187" s="92" t="str">
        <f t="shared" si="9"/>
        <v>No</v>
      </c>
      <c r="B187" s="100" t="s">
        <v>481</v>
      </c>
      <c r="C187" s="97" t="s">
        <v>479</v>
      </c>
      <c r="D187" s="95" t="s">
        <v>327</v>
      </c>
    </row>
    <row r="188" spans="1:4" ht="24.9" customHeight="1" x14ac:dyDescent="0.3">
      <c r="A188" s="92" t="str">
        <f>IF(C16="Accessory Structure","Yes","No")</f>
        <v>No</v>
      </c>
      <c r="B188" s="93" t="s">
        <v>482</v>
      </c>
      <c r="C188" s="94"/>
    </row>
    <row r="189" spans="1:4" ht="24.9" customHeight="1" x14ac:dyDescent="0.3">
      <c r="A189" s="92" t="str">
        <f t="shared" ref="A189:A195" si="10">$A$188</f>
        <v>No</v>
      </c>
      <c r="B189" s="100" t="s">
        <v>483</v>
      </c>
      <c r="C189" s="97" t="s">
        <v>479</v>
      </c>
      <c r="D189" s="95" t="s">
        <v>327</v>
      </c>
    </row>
    <row r="190" spans="1:4" ht="24.9" customHeight="1" x14ac:dyDescent="0.3">
      <c r="A190" s="92" t="str">
        <f t="shared" si="10"/>
        <v>No</v>
      </c>
      <c r="B190" s="100" t="s">
        <v>484</v>
      </c>
      <c r="C190" s="97" t="s">
        <v>479</v>
      </c>
      <c r="D190" s="95" t="s">
        <v>327</v>
      </c>
    </row>
    <row r="191" spans="1:4" ht="24.9" customHeight="1" x14ac:dyDescent="0.3">
      <c r="A191" s="92" t="str">
        <f t="shared" si="10"/>
        <v>No</v>
      </c>
      <c r="B191" s="100" t="s">
        <v>485</v>
      </c>
      <c r="C191" s="97" t="s">
        <v>479</v>
      </c>
      <c r="D191" s="95" t="s">
        <v>327</v>
      </c>
    </row>
    <row r="192" spans="1:4" ht="24.9" customHeight="1" x14ac:dyDescent="0.3">
      <c r="A192" s="92" t="str">
        <f t="shared" si="10"/>
        <v>No</v>
      </c>
      <c r="B192" s="100" t="s">
        <v>486</v>
      </c>
      <c r="C192" s="97" t="s">
        <v>479</v>
      </c>
      <c r="D192" s="95" t="s">
        <v>327</v>
      </c>
    </row>
    <row r="193" spans="1:4" ht="24.9" customHeight="1" x14ac:dyDescent="0.3">
      <c r="A193" s="92" t="str">
        <f t="shared" si="10"/>
        <v>No</v>
      </c>
      <c r="B193" s="100" t="s">
        <v>487</v>
      </c>
      <c r="C193" s="97" t="s">
        <v>479</v>
      </c>
      <c r="D193" s="95" t="s">
        <v>327</v>
      </c>
    </row>
    <row r="194" spans="1:4" ht="24.9" customHeight="1" x14ac:dyDescent="0.3">
      <c r="A194" s="92" t="str">
        <f t="shared" si="10"/>
        <v>No</v>
      </c>
      <c r="B194" s="100" t="s">
        <v>488</v>
      </c>
      <c r="C194" s="97" t="s">
        <v>479</v>
      </c>
      <c r="D194" s="95" t="s">
        <v>327</v>
      </c>
    </row>
    <row r="195" spans="1:4" ht="24.9" customHeight="1" x14ac:dyDescent="0.3">
      <c r="A195" s="92" t="str">
        <f t="shared" si="10"/>
        <v>No</v>
      </c>
      <c r="B195" s="107" t="s">
        <v>489</v>
      </c>
      <c r="C195" s="97" t="s">
        <v>479</v>
      </c>
      <c r="D195" s="95" t="s">
        <v>327</v>
      </c>
    </row>
    <row r="196" spans="1:4" ht="24.9" customHeight="1" x14ac:dyDescent="0.3">
      <c r="A196" s="92" t="s">
        <v>312</v>
      </c>
      <c r="B196" s="100" t="s">
        <v>490</v>
      </c>
      <c r="C196" s="97"/>
      <c r="D196" s="95" t="s">
        <v>323</v>
      </c>
    </row>
    <row r="197" spans="1:4" ht="24.9" customHeight="1" x14ac:dyDescent="0.3">
      <c r="A197" s="92" t="s">
        <v>312</v>
      </c>
      <c r="B197" s="100" t="s">
        <v>266</v>
      </c>
      <c r="C197" s="97"/>
      <c r="D197" s="95" t="s">
        <v>323</v>
      </c>
    </row>
    <row r="198" spans="1:4" ht="24.9" customHeight="1" x14ac:dyDescent="0.3">
      <c r="A198" s="92" t="s">
        <v>312</v>
      </c>
      <c r="B198" s="100" t="s">
        <v>491</v>
      </c>
      <c r="C198" s="97"/>
      <c r="D198" s="95" t="s">
        <v>323</v>
      </c>
    </row>
    <row r="199" spans="1:4" ht="24.9" customHeight="1" x14ac:dyDescent="0.3">
      <c r="A199" s="92" t="s">
        <v>312</v>
      </c>
      <c r="B199" s="100" t="s">
        <v>492</v>
      </c>
      <c r="C199" s="97" t="s">
        <v>479</v>
      </c>
      <c r="D199" s="95" t="s">
        <v>327</v>
      </c>
    </row>
    <row r="200" spans="1:4" ht="24.9" customHeight="1" x14ac:dyDescent="0.3">
      <c r="A200" s="92" t="s">
        <v>312</v>
      </c>
      <c r="B200" s="100" t="s">
        <v>493</v>
      </c>
      <c r="C200" s="97" t="s">
        <v>479</v>
      </c>
      <c r="D200" s="95" t="s">
        <v>327</v>
      </c>
    </row>
    <row r="201" spans="1:4" ht="24.9" customHeight="1" x14ac:dyDescent="0.3">
      <c r="A201" s="92" t="s">
        <v>312</v>
      </c>
      <c r="B201" s="107" t="s">
        <v>494</v>
      </c>
      <c r="C201" s="97" t="s">
        <v>479</v>
      </c>
      <c r="D201" s="95" t="s">
        <v>327</v>
      </c>
    </row>
    <row r="202" spans="1:4" ht="24.9" customHeight="1" x14ac:dyDescent="0.3">
      <c r="B202" s="113" t="s">
        <v>495</v>
      </c>
    </row>
    <row r="203" spans="1:4" ht="24.9" customHeight="1" x14ac:dyDescent="0.3">
      <c r="A203" s="89" t="s">
        <v>496</v>
      </c>
      <c r="B203" s="90" t="s">
        <v>497</v>
      </c>
      <c r="C203" s="90" t="s">
        <v>310</v>
      </c>
      <c r="D203" s="91" t="s">
        <v>311</v>
      </c>
    </row>
    <row r="204" spans="1:4" ht="24.9" customHeight="1" x14ac:dyDescent="0.3">
      <c r="A204" s="92" t="str">
        <f>IF(OR($C$17="New",$C$17="Addition"),"Yes","No")</f>
        <v>No</v>
      </c>
      <c r="B204" s="102" t="e">
        <f ca="1">Reviews!I3</f>
        <v>#NAME?</v>
      </c>
      <c r="C204" s="102"/>
    </row>
    <row r="205" spans="1:4" ht="24.9" customHeight="1" x14ac:dyDescent="0.3">
      <c r="A205" s="92" t="str">
        <f>IF(OR($C$16="Commercial Building",$C$17="New"),"Yes","No")</f>
        <v>No</v>
      </c>
      <c r="B205" s="100" t="e">
        <f ca="1">Reviews!I4</f>
        <v>#NAME?</v>
      </c>
      <c r="C205" s="100"/>
    </row>
    <row r="206" spans="1:4" ht="24.9" customHeight="1" x14ac:dyDescent="0.3">
      <c r="A206" s="92" t="str">
        <f>IF(OR($C$17="New",$C$17="Addition"),"Yes","No")</f>
        <v>No</v>
      </c>
      <c r="B206" s="100" t="e">
        <f ca="1">Reviews!I5</f>
        <v>#NAME?</v>
      </c>
      <c r="C206" s="100"/>
    </row>
    <row r="207" spans="1:4" ht="24.9" customHeight="1" x14ac:dyDescent="0.3">
      <c r="A207" s="92" t="str">
        <f>IF(OR(DEM="Yes",C16="Commercial Building"),"Yes","No")</f>
        <v>No</v>
      </c>
      <c r="B207" s="100" t="e">
        <f ca="1">Reviews!I6</f>
        <v>#NAME?</v>
      </c>
      <c r="C207" s="100"/>
    </row>
    <row r="208" spans="1:4" ht="24.9" customHeight="1" x14ac:dyDescent="0.3">
      <c r="A208" s="92" t="str">
        <f>IF(OR($C$17="New",$C$17="Addition"),"Yes","No")</f>
        <v>No</v>
      </c>
      <c r="B208" s="100" t="e">
        <f ca="1">Reviews!I9</f>
        <v>#NAME?</v>
      </c>
      <c r="C208" s="100"/>
    </row>
    <row r="209" spans="1:3" ht="24.9" customHeight="1" x14ac:dyDescent="0.3">
      <c r="A209" s="92" t="str">
        <f>IF($C$16="Commercial Building","Yes","No")</f>
        <v>No</v>
      </c>
      <c r="B209" s="100" t="e">
        <f ca="1">Reviews!I10</f>
        <v>#NAME?</v>
      </c>
      <c r="C209" s="100"/>
    </row>
    <row r="210" spans="1:3" ht="24.9" customHeight="1" x14ac:dyDescent="0.3">
      <c r="A210" s="92" t="str">
        <f>IF($C$17="New","Yes","No")</f>
        <v>No</v>
      </c>
      <c r="B210" s="100" t="e">
        <f ca="1">Reviews!I11</f>
        <v>#NAME?</v>
      </c>
      <c r="C210" s="100"/>
    </row>
    <row r="211" spans="1:3" ht="24.9" customHeight="1" x14ac:dyDescent="0.3">
      <c r="A211" s="92" t="str">
        <f>IF(AG,"Yes","No")</f>
        <v>Yes</v>
      </c>
      <c r="B211" s="100" t="e">
        <f ca="1">Reviews!I12</f>
        <v>#NAME?</v>
      </c>
      <c r="C211" s="100"/>
    </row>
    <row r="212" spans="1:3" ht="24.9" customHeight="1" x14ac:dyDescent="0.3">
      <c r="A212" s="92" t="str">
        <f>IF(BLD,"Yes","No")</f>
        <v>No</v>
      </c>
      <c r="B212" s="100" t="e">
        <f ca="1">Reviews!I13</f>
        <v>#NAME?</v>
      </c>
      <c r="C212" s="100"/>
    </row>
    <row r="213" spans="1:3" ht="24.9" customHeight="1" x14ac:dyDescent="0.3">
      <c r="A213" s="92" t="str">
        <f>IF(C157,"Yes","No")</f>
        <v>No</v>
      </c>
      <c r="B213" s="100" t="e">
        <f ca="1">Reviews!I14</f>
        <v>#NAME?</v>
      </c>
      <c r="C213" s="100"/>
    </row>
    <row r="214" spans="1:3" ht="24.9" customHeight="1" x14ac:dyDescent="0.3">
      <c r="A214" s="92" t="str">
        <f>IF(DEMO,"Yes","No")</f>
        <v>Yes</v>
      </c>
      <c r="B214" s="100" t="e">
        <f ca="1">Reviews!I15</f>
        <v>#NAME?</v>
      </c>
      <c r="C214" s="100"/>
    </row>
    <row r="215" spans="1:3" ht="24.9" customHeight="1" x14ac:dyDescent="0.3">
      <c r="A215" s="92" t="str">
        <f>IF(GRADE,"Yes","No")</f>
        <v>Yes</v>
      </c>
      <c r="B215" s="100" t="e">
        <f ca="1">Reviews!I16</f>
        <v>#NAME?</v>
      </c>
      <c r="C215" s="100"/>
    </row>
    <row r="216" spans="1:3" ht="24.9" customHeight="1" x14ac:dyDescent="0.3">
      <c r="A216" s="92" t="str">
        <f>IF(OR($C$17="New",$C$17="Addition"),"Yes","No")</f>
        <v>No</v>
      </c>
      <c r="B216" s="100" t="e">
        <f ca="1">Reviews!I17</f>
        <v>#NAME?</v>
      </c>
      <c r="C216" s="100"/>
    </row>
    <row r="217" spans="1:3" ht="24.9" customHeight="1" x14ac:dyDescent="0.3">
      <c r="A217" s="92" t="str">
        <f>IF(ELC,"Yes","No")</f>
        <v>Yes</v>
      </c>
      <c r="B217" s="100" t="e">
        <f ca="1">Reviews!I18</f>
        <v>#NAME?</v>
      </c>
      <c r="C217" s="100"/>
    </row>
    <row r="218" spans="1:3" ht="24.9" customHeight="1" x14ac:dyDescent="0.3">
      <c r="A218" s="92" t="str">
        <f>IF(C107,"Yes","No")</f>
        <v>No</v>
      </c>
      <c r="B218" s="100" t="e">
        <f ca="1">Reviews!I19</f>
        <v>#NAME?</v>
      </c>
      <c r="C218" s="100"/>
    </row>
    <row r="219" spans="1:3" ht="24.9" customHeight="1" x14ac:dyDescent="0.3">
      <c r="A219" s="92" t="str">
        <f>IF(OR($C$17="New",$C$17="Addition"),"Yes","No")</f>
        <v>No</v>
      </c>
      <c r="B219" s="100" t="e">
        <f ca="1">Reviews!I20</f>
        <v>#NAME?</v>
      </c>
      <c r="C219" s="100"/>
    </row>
    <row r="220" spans="1:3" ht="24.9" customHeight="1" x14ac:dyDescent="0.3">
      <c r="A220" s="92" t="s">
        <v>498</v>
      </c>
      <c r="B220" s="100" t="e">
        <f ca="1">Reviews!I21</f>
        <v>#NAME?</v>
      </c>
      <c r="C220" s="100"/>
    </row>
    <row r="221" spans="1:3" ht="24.9" customHeight="1" x14ac:dyDescent="0.3">
      <c r="A221" s="92" t="str">
        <f>IF(MCH,"Yes","No")</f>
        <v>Yes</v>
      </c>
      <c r="B221" s="100" t="e">
        <f ca="1">Reviews!I22</f>
        <v>#NAME?</v>
      </c>
      <c r="C221" s="100"/>
    </row>
    <row r="222" spans="1:3" ht="24.9" customHeight="1" x14ac:dyDescent="0.3">
      <c r="A222" s="92" t="str">
        <f>IF(PLB,"Yes","No")</f>
        <v>Yes</v>
      </c>
      <c r="B222" s="100" t="e">
        <f ca="1">Reviews!I23</f>
        <v>#NAME?</v>
      </c>
      <c r="C222" s="100"/>
    </row>
    <row r="223" spans="1:3" ht="24.9" customHeight="1" x14ac:dyDescent="0.3">
      <c r="A223" s="92" t="str">
        <f>IF($C$17="Alteration","Yes","No")</f>
        <v>No</v>
      </c>
      <c r="B223" s="100" t="e">
        <f ca="1">Reviews!I25</f>
        <v>#NAME?</v>
      </c>
      <c r="C223" s="100"/>
    </row>
    <row r="224" spans="1:3" ht="24.9" customHeight="1" x14ac:dyDescent="0.3">
      <c r="A224" s="92" t="str">
        <f>IF(OR($C$17="New",$C$17="Addition"),"Yes","No")</f>
        <v>No</v>
      </c>
      <c r="B224" s="100" t="e">
        <f ca="1">Reviews!I26</f>
        <v>#NAME?</v>
      </c>
      <c r="C224" s="100"/>
    </row>
    <row r="225" spans="1:3" ht="24.9" customHeight="1" x14ac:dyDescent="0.3">
      <c r="A225" s="92" t="s">
        <v>479</v>
      </c>
      <c r="B225" s="100" t="e">
        <f ca="1">Reviews!I27</f>
        <v>#NAME?</v>
      </c>
      <c r="C225" s="100"/>
    </row>
    <row r="226" spans="1:3" ht="24.9" customHeight="1" x14ac:dyDescent="0.3">
      <c r="A226" s="92" t="str">
        <f t="shared" ref="A226:A231" si="11">IF(OR($C$17="New",$C$17="Addition"),"Yes","No")</f>
        <v>No</v>
      </c>
      <c r="B226" s="100" t="e">
        <f ca="1">Reviews!I8</f>
        <v>#NAME?</v>
      </c>
      <c r="C226" s="100"/>
    </row>
    <row r="227" spans="1:3" ht="24.9" customHeight="1" x14ac:dyDescent="0.3">
      <c r="A227" s="92" t="str">
        <f t="shared" si="11"/>
        <v>No</v>
      </c>
      <c r="B227" s="100" t="e">
        <f ca="1">Reviews!I30</f>
        <v>#NAME?</v>
      </c>
      <c r="C227" s="100"/>
    </row>
    <row r="228" spans="1:3" ht="24.9" customHeight="1" x14ac:dyDescent="0.3">
      <c r="A228" s="92" t="str">
        <f t="shared" si="11"/>
        <v>No</v>
      </c>
      <c r="B228" s="100" t="e">
        <f ca="1">Reviews!I7</f>
        <v>#NAME?</v>
      </c>
      <c r="C228" s="100"/>
    </row>
    <row r="229" spans="1:3" ht="24.9" customHeight="1" x14ac:dyDescent="0.3">
      <c r="A229" s="92" t="str">
        <f t="shared" si="11"/>
        <v>No</v>
      </c>
      <c r="B229" s="100" t="e">
        <f ca="1">Reviews!I32</f>
        <v>#NAME?</v>
      </c>
      <c r="C229" s="100"/>
    </row>
    <row r="230" spans="1:3" ht="24.9" customHeight="1" x14ac:dyDescent="0.3">
      <c r="A230" s="92" t="str">
        <f t="shared" si="11"/>
        <v>No</v>
      </c>
      <c r="B230" s="100" t="e">
        <f ca="1">Reviews!I33</f>
        <v>#NAME?</v>
      </c>
      <c r="C230" s="100"/>
    </row>
    <row r="231" spans="1:3" ht="24.9" customHeight="1" x14ac:dyDescent="0.3">
      <c r="A231" s="92" t="str">
        <f t="shared" si="11"/>
        <v>No</v>
      </c>
      <c r="B231" s="107" t="e">
        <f ca="1">Reviews!I34</f>
        <v>#NAME?</v>
      </c>
      <c r="C231" s="107"/>
    </row>
  </sheetData>
  <conditionalFormatting sqref="A2:A197">
    <cfRule type="cellIs" dxfId="24" priority="1" operator="equal">
      <formula>"Yes"</formula>
    </cfRule>
    <cfRule type="cellIs" dxfId="23" priority="2" operator="equal">
      <formula>"No"</formula>
    </cfRule>
  </conditionalFormatting>
  <conditionalFormatting sqref="A200:A227">
    <cfRule type="cellIs" dxfId="22" priority="3" operator="equal">
      <formula>"Yes"</formula>
    </cfRule>
    <cfRule type="cellIs" dxfId="21" priority="4" operator="equal">
      <formula>"No"</formula>
    </cfRule>
  </conditionalFormatting>
  <dataValidations count="9">
    <dataValidation type="list" allowBlank="1" showInputMessage="1" showErrorMessage="1" sqref="C19:C22 C29:C32 C48:C52 C134 C136 C195:C197 C181:C183 C157:C164 C177:C178 C150:C155 C122:C131 C141:C146 C61 C92 C95 C98 C109:C110 C105 C107 C100:C103 C113:C118 C120 C185:C191" xr:uid="{88E61AAF-01AD-49FE-B9CD-B542276A0C7B}">
      <formula1>"Yes,No"</formula1>
    </dataValidation>
    <dataValidation type="list" allowBlank="1" showInputMessage="1" showErrorMessage="1" sqref="C75 C69" xr:uid="{E4E3E42A-0852-40CF-9D31-890D3560979E}">
      <formula1>"Habitable,Occupiable,Non-Occupiable,Not-Permitted"</formula1>
    </dataValidation>
    <dataValidation type="list" allowBlank="1" showInputMessage="1" showErrorMessage="1" sqref="C76 C70" xr:uid="{6A3B7E8F-0B95-4E12-AF45-9ED0ACED0448}">
      <formula1>"Total,Partial,Pool"</formula1>
    </dataValidation>
    <dataValidation type="list" allowBlank="1" showInputMessage="1" showErrorMessage="1" sqref="C13" xr:uid="{8B848EDC-70B4-4049-90A8-EEE0DF137E8F}">
      <formula1>"New,Addition,Alteration/Repair/Replacement"</formula1>
    </dataValidation>
    <dataValidation type="list" allowBlank="1" showInputMessage="1" showErrorMessage="1" sqref="C137 C139" xr:uid="{882982B7-C140-4139-BFA3-5E16B8F49969}">
      <formula1>"Composition Shingles,Other"</formula1>
    </dataValidation>
    <dataValidation type="decimal" operator="greaterThanOrEqual" allowBlank="1" showInputMessage="1" showErrorMessage="1" sqref="C15" xr:uid="{E21BE8B5-F8AA-44B0-BAF5-E82ACA1340CE}">
      <formula1>1</formula1>
    </dataValidation>
    <dataValidation type="whole" operator="greaterThanOrEqual" allowBlank="1" showInputMessage="1" showErrorMessage="1" sqref="C77:C79 C166:C176 C180 C81:C90 C96:C97 C99 C104 C108 C111 C121 C71:C73" xr:uid="{C72DDF82-A487-4E45-AC24-5F8642E11C55}">
      <formula1>0</formula1>
    </dataValidation>
    <dataValidation type="whole" allowBlank="1" showInputMessage="1" showErrorMessage="1" sqref="C135" xr:uid="{A3B278FF-026D-4E68-A242-7A1473594FC8}">
      <formula1>0</formula1>
      <formula2>100</formula2>
    </dataValidation>
    <dataValidation operator="greaterThan" allowBlank="1" showInputMessage="1" showErrorMessage="1" sqref="C179" xr:uid="{AE6A3543-13D3-4CA2-8361-FB7348ACC424}"/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107" r:id="rId4" name="CheckBox1">
          <controlPr defaultSize="0" autoLine="0" autoPict="0" linkedCell="C3" r:id="rId5">
            <anchor moveWithCells="1">
              <from>
                <xdr:col>1</xdr:col>
                <xdr:colOff>60960</xdr:colOff>
                <xdr:row>2</xdr:row>
                <xdr:rowOff>38100</xdr:rowOff>
              </from>
              <to>
                <xdr:col>1</xdr:col>
                <xdr:colOff>2186940</xdr:colOff>
                <xdr:row>3</xdr:row>
                <xdr:rowOff>30480</xdr:rowOff>
              </to>
            </anchor>
          </controlPr>
        </control>
      </mc:Choice>
      <mc:Fallback>
        <control shapeId="4107" r:id="rId4" name="CheckBox1"/>
      </mc:Fallback>
    </mc:AlternateContent>
    <mc:AlternateContent xmlns:mc="http://schemas.openxmlformats.org/markup-compatibility/2006">
      <mc:Choice Requires="x14">
        <control shapeId="4108" r:id="rId6" name="Demo">
          <controlPr defaultSize="0" autoLine="0" autoPict="0" linkedCell="C4" r:id="rId7">
            <anchor moveWithCells="1">
              <from>
                <xdr:col>1</xdr:col>
                <xdr:colOff>60960</xdr:colOff>
                <xdr:row>3</xdr:row>
                <xdr:rowOff>30480</xdr:rowOff>
              </from>
              <to>
                <xdr:col>1</xdr:col>
                <xdr:colOff>2186940</xdr:colOff>
                <xdr:row>4</xdr:row>
                <xdr:rowOff>22860</xdr:rowOff>
              </to>
            </anchor>
          </controlPr>
        </control>
      </mc:Choice>
      <mc:Fallback>
        <control shapeId="4108" r:id="rId6" name="Demo"/>
      </mc:Fallback>
    </mc:AlternateContent>
    <mc:AlternateContent xmlns:mc="http://schemas.openxmlformats.org/markup-compatibility/2006">
      <mc:Choice Requires="x14">
        <control shapeId="4109" r:id="rId8" name="Grading">
          <controlPr defaultSize="0" autoLine="0" autoPict="0" linkedCell="C5" r:id="rId9">
            <anchor moveWithCells="1">
              <from>
                <xdr:col>1</xdr:col>
                <xdr:colOff>60960</xdr:colOff>
                <xdr:row>4</xdr:row>
                <xdr:rowOff>22860</xdr:rowOff>
              </from>
              <to>
                <xdr:col>1</xdr:col>
                <xdr:colOff>2186940</xdr:colOff>
                <xdr:row>5</xdr:row>
                <xdr:rowOff>7620</xdr:rowOff>
              </to>
            </anchor>
          </controlPr>
        </control>
      </mc:Choice>
      <mc:Fallback>
        <control shapeId="4109" r:id="rId8" name="Grading"/>
      </mc:Fallback>
    </mc:AlternateContent>
    <mc:AlternateContent xmlns:mc="http://schemas.openxmlformats.org/markup-compatibility/2006">
      <mc:Choice Requires="x14">
        <control shapeId="4110" r:id="rId10" name="Pool">
          <controlPr defaultSize="0" autoLine="0" autoPict="0" linkedCell="C6" r:id="rId11">
            <anchor moveWithCells="1">
              <from>
                <xdr:col>1</xdr:col>
                <xdr:colOff>60960</xdr:colOff>
                <xdr:row>5</xdr:row>
                <xdr:rowOff>7620</xdr:rowOff>
              </from>
              <to>
                <xdr:col>1</xdr:col>
                <xdr:colOff>2186940</xdr:colOff>
                <xdr:row>6</xdr:row>
                <xdr:rowOff>0</xdr:rowOff>
              </to>
            </anchor>
          </controlPr>
        </control>
      </mc:Choice>
      <mc:Fallback>
        <control shapeId="4110" r:id="rId10" name="Pool"/>
      </mc:Fallback>
    </mc:AlternateContent>
    <mc:AlternateContent xmlns:mc="http://schemas.openxmlformats.org/markup-compatibility/2006">
      <mc:Choice Requires="x14">
        <control shapeId="4111" r:id="rId12" name="Elc">
          <controlPr defaultSize="0" autoLine="0" autoPict="0" linkedCell="C7" r:id="rId13">
            <anchor moveWithCells="1">
              <from>
                <xdr:col>1</xdr:col>
                <xdr:colOff>60960</xdr:colOff>
                <xdr:row>6</xdr:row>
                <xdr:rowOff>0</xdr:rowOff>
              </from>
              <to>
                <xdr:col>1</xdr:col>
                <xdr:colOff>2186940</xdr:colOff>
                <xdr:row>6</xdr:row>
                <xdr:rowOff>304800</xdr:rowOff>
              </to>
            </anchor>
          </controlPr>
        </control>
      </mc:Choice>
      <mc:Fallback>
        <control shapeId="4111" r:id="rId12" name="Elc"/>
      </mc:Fallback>
    </mc:AlternateContent>
    <mc:AlternateContent xmlns:mc="http://schemas.openxmlformats.org/markup-compatibility/2006">
      <mc:Choice Requires="x14">
        <control shapeId="4112" r:id="rId14" name="Mch">
          <controlPr defaultSize="0" autoLine="0" autoPict="0" linkedCell="C8" r:id="rId15">
            <anchor moveWithCells="1">
              <from>
                <xdr:col>1</xdr:col>
                <xdr:colOff>60960</xdr:colOff>
                <xdr:row>6</xdr:row>
                <xdr:rowOff>304800</xdr:rowOff>
              </from>
              <to>
                <xdr:col>1</xdr:col>
                <xdr:colOff>2186940</xdr:colOff>
                <xdr:row>7</xdr:row>
                <xdr:rowOff>289560</xdr:rowOff>
              </to>
            </anchor>
          </controlPr>
        </control>
      </mc:Choice>
      <mc:Fallback>
        <control shapeId="4112" r:id="rId14" name="Mch"/>
      </mc:Fallback>
    </mc:AlternateContent>
    <mc:AlternateContent xmlns:mc="http://schemas.openxmlformats.org/markup-compatibility/2006">
      <mc:Choice Requires="x14">
        <control shapeId="4113" r:id="rId16" name="Plb">
          <controlPr defaultSize="0" autoLine="0" autoPict="0" linkedCell="C9" r:id="rId17">
            <anchor moveWithCells="1">
              <from>
                <xdr:col>1</xdr:col>
                <xdr:colOff>60960</xdr:colOff>
                <xdr:row>7</xdr:row>
                <xdr:rowOff>289560</xdr:rowOff>
              </from>
              <to>
                <xdr:col>1</xdr:col>
                <xdr:colOff>2186940</xdr:colOff>
                <xdr:row>8</xdr:row>
                <xdr:rowOff>281940</xdr:rowOff>
              </to>
            </anchor>
          </controlPr>
        </control>
      </mc:Choice>
      <mc:Fallback>
        <control shapeId="4113" r:id="rId16" name="Plb"/>
      </mc:Fallback>
    </mc:AlternateContent>
    <mc:AlternateContent xmlns:mc="http://schemas.openxmlformats.org/markup-compatibility/2006">
      <mc:Choice Requires="x14">
        <control shapeId="4114" r:id="rId18" name="Dwelling">
          <controlPr defaultSize="0" autoLine="0" autoPict="0" linkedCell="C10" r:id="rId19">
            <anchor moveWithCells="1">
              <from>
                <xdr:col>1</xdr:col>
                <xdr:colOff>60960</xdr:colOff>
                <xdr:row>8</xdr:row>
                <xdr:rowOff>281940</xdr:rowOff>
              </from>
              <to>
                <xdr:col>1</xdr:col>
                <xdr:colOff>2186940</xdr:colOff>
                <xdr:row>9</xdr:row>
                <xdr:rowOff>274320</xdr:rowOff>
              </to>
            </anchor>
          </controlPr>
        </control>
      </mc:Choice>
      <mc:Fallback>
        <control shapeId="4114" r:id="rId18" name="Dwelling"/>
      </mc:Fallback>
    </mc:AlternateContent>
    <mc:AlternateContent xmlns:mc="http://schemas.openxmlformats.org/markup-compatibility/2006">
      <mc:Choice Requires="x14">
        <control shapeId="4115" r:id="rId20" name="Commercial">
          <controlPr defaultSize="0" autoLine="0" autoPict="0" linkedCell="C11" r:id="rId21">
            <anchor moveWithCells="1">
              <from>
                <xdr:col>1</xdr:col>
                <xdr:colOff>60960</xdr:colOff>
                <xdr:row>9</xdr:row>
                <xdr:rowOff>274320</xdr:rowOff>
              </from>
              <to>
                <xdr:col>1</xdr:col>
                <xdr:colOff>2186940</xdr:colOff>
                <xdr:row>10</xdr:row>
                <xdr:rowOff>259080</xdr:rowOff>
              </to>
            </anchor>
          </controlPr>
        </control>
      </mc:Choice>
      <mc:Fallback>
        <control shapeId="4115" r:id="rId20" name="Commercial"/>
      </mc:Fallback>
    </mc:AlternateContent>
    <mc:AlternateContent xmlns:mc="http://schemas.openxmlformats.org/markup-compatibility/2006">
      <mc:Choice Requires="x14">
        <control shapeId="4116" r:id="rId22" name="Accessory">
          <controlPr defaultSize="0" autoLine="0" autoPict="0" linkedCell="C12" r:id="rId23">
            <anchor moveWithCells="1">
              <from>
                <xdr:col>1</xdr:col>
                <xdr:colOff>60960</xdr:colOff>
                <xdr:row>10</xdr:row>
                <xdr:rowOff>259080</xdr:rowOff>
              </from>
              <to>
                <xdr:col>1</xdr:col>
                <xdr:colOff>2186940</xdr:colOff>
                <xdr:row>11</xdr:row>
                <xdr:rowOff>251460</xdr:rowOff>
              </to>
            </anchor>
          </controlPr>
        </control>
      </mc:Choice>
      <mc:Fallback>
        <control shapeId="4116" r:id="rId22" name="Accessory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3D07-88AC-BF4F-B5C2-0B9DCEB539BA}">
  <dimension ref="B2:G152"/>
  <sheetViews>
    <sheetView tabSelected="1" topLeftCell="A32" zoomScaleNormal="100" zoomScaleSheetLayoutView="100" workbookViewId="0">
      <selection activeCell="C25" sqref="C25"/>
    </sheetView>
  </sheetViews>
  <sheetFormatPr defaultColWidth="8.5546875" defaultRowHeight="14.4" x14ac:dyDescent="0.3"/>
  <cols>
    <col min="1" max="1" width="8.5546875" style="165"/>
    <col min="2" max="2" width="14.109375" style="165" customWidth="1"/>
    <col min="3" max="3" width="34.6640625" style="165" customWidth="1"/>
    <col min="4" max="4" width="15.44140625" style="165" customWidth="1"/>
    <col min="5" max="5" width="13.33203125" style="165" customWidth="1"/>
    <col min="6" max="6" width="8.5546875" style="165"/>
    <col min="7" max="7" width="11" style="165" customWidth="1"/>
    <col min="8" max="12" width="8.5546875" style="165"/>
    <col min="13" max="13" width="47.88671875" style="165" customWidth="1"/>
    <col min="14" max="17" width="26.109375" style="165" customWidth="1"/>
    <col min="18" max="16384" width="8.5546875" style="165"/>
  </cols>
  <sheetData>
    <row r="2" spans="2:7" x14ac:dyDescent="0.3">
      <c r="B2" t="s">
        <v>99</v>
      </c>
    </row>
    <row r="3" spans="2:7" x14ac:dyDescent="0.3">
      <c r="B3" s="164" t="str">
        <f>'Permit &amp; App'!A9</f>
        <v>Accessory</v>
      </c>
    </row>
    <row r="4" spans="2:7" x14ac:dyDescent="0.3">
      <c r="B4" s="164" t="str">
        <f>'Permit &amp; App'!A10</f>
        <v>Commercial</v>
      </c>
    </row>
    <row r="5" spans="2:7" x14ac:dyDescent="0.3">
      <c r="B5" s="164" t="str">
        <f>'Permit &amp; App'!A11</f>
        <v>Demolition</v>
      </c>
    </row>
    <row r="6" spans="2:7" x14ac:dyDescent="0.3">
      <c r="B6" s="164" t="str">
        <f>'Permit &amp; App'!A12</f>
        <v>Dwellings</v>
      </c>
    </row>
    <row r="7" spans="2:7" x14ac:dyDescent="0.3">
      <c r="B7" s="164" t="str">
        <f>'Permit &amp; App'!A13</f>
        <v>Electrical</v>
      </c>
    </row>
    <row r="8" spans="2:7" x14ac:dyDescent="0.3">
      <c r="B8" s="164" t="str">
        <f>'Permit &amp; App'!A14</f>
        <v>Fire</v>
      </c>
    </row>
    <row r="9" spans="2:7" x14ac:dyDescent="0.3">
      <c r="B9" s="164" t="str">
        <f>'Permit &amp; App'!A15</f>
        <v>Flood</v>
      </c>
    </row>
    <row r="10" spans="2:7" x14ac:dyDescent="0.3">
      <c r="B10" s="164" t="str">
        <f>'Permit &amp; App'!A16</f>
        <v>Grading</v>
      </c>
    </row>
    <row r="11" spans="2:7" x14ac:dyDescent="0.3">
      <c r="B11" s="164" t="str">
        <f>'Permit &amp; App'!A17</f>
        <v>Mechanical</v>
      </c>
    </row>
    <row r="12" spans="2:7" x14ac:dyDescent="0.3">
      <c r="B12" s="164" t="str">
        <f>'Permit &amp; App'!A18</f>
        <v>Plumbing</v>
      </c>
    </row>
    <row r="13" spans="2:7" x14ac:dyDescent="0.3">
      <c r="B13" s="164" t="str">
        <f>'Permit &amp; App'!A19</f>
        <v>Pool/Spa</v>
      </c>
    </row>
    <row r="15" spans="2:7" x14ac:dyDescent="0.3">
      <c r="B15" t="s">
        <v>99</v>
      </c>
      <c r="C15" t="s">
        <v>499</v>
      </c>
      <c r="D15" t="s">
        <v>743</v>
      </c>
      <c r="E15" t="s">
        <v>101</v>
      </c>
      <c r="F15" t="s">
        <v>645</v>
      </c>
      <c r="G15" t="s">
        <v>500</v>
      </c>
    </row>
    <row r="16" spans="2:7" x14ac:dyDescent="0.3">
      <c r="B16" s="164" t="str">
        <f>$B$3</f>
        <v>Accessory</v>
      </c>
      <c r="C16" t="s">
        <v>375</v>
      </c>
      <c r="D16"/>
      <c r="E16"/>
      <c r="F16"/>
      <c r="G16"/>
    </row>
    <row r="17" spans="2:7" x14ac:dyDescent="0.3">
      <c r="B17" s="164" t="str">
        <f>$B$3</f>
        <v>Accessory</v>
      </c>
      <c r="C17" t="s">
        <v>745</v>
      </c>
      <c r="D17"/>
      <c r="E17"/>
      <c r="F17"/>
      <c r="G17"/>
    </row>
    <row r="18" spans="2:7" x14ac:dyDescent="0.3">
      <c r="B18" s="164" t="str">
        <f>$B$3</f>
        <v>Accessory</v>
      </c>
      <c r="C18" t="s">
        <v>746</v>
      </c>
      <c r="D18"/>
      <c r="E18"/>
      <c r="F18"/>
      <c r="G18"/>
    </row>
    <row r="19" spans="2:7" x14ac:dyDescent="0.3">
      <c r="B19" s="164" t="str">
        <f>$B$3</f>
        <v>Accessory</v>
      </c>
      <c r="C19" t="s">
        <v>747</v>
      </c>
      <c r="D19"/>
      <c r="E19"/>
      <c r="F19"/>
      <c r="G19"/>
    </row>
    <row r="20" spans="2:7" x14ac:dyDescent="0.3">
      <c r="B20" s="164" t="str">
        <f>$B$3</f>
        <v>Accessory</v>
      </c>
      <c r="C20" t="s">
        <v>748</v>
      </c>
      <c r="D20"/>
      <c r="E20"/>
      <c r="F20"/>
      <c r="G20"/>
    </row>
    <row r="21" spans="2:7" x14ac:dyDescent="0.3">
      <c r="B21" s="164" t="str">
        <f>$B$3</f>
        <v>Accessory</v>
      </c>
      <c r="C21" t="s">
        <v>749</v>
      </c>
      <c r="D21"/>
      <c r="E21"/>
      <c r="F21"/>
      <c r="G21"/>
    </row>
    <row r="22" spans="2:7" x14ac:dyDescent="0.3">
      <c r="B22" s="164" t="str">
        <f>$B$3</f>
        <v>Accessory</v>
      </c>
      <c r="C22" t="s">
        <v>501</v>
      </c>
      <c r="D22"/>
      <c r="E22"/>
      <c r="F22"/>
      <c r="G22"/>
    </row>
    <row r="23" spans="2:7" x14ac:dyDescent="0.3">
      <c r="B23" s="164" t="str">
        <f>$B$3</f>
        <v>Accessory</v>
      </c>
      <c r="C23" t="s">
        <v>750</v>
      </c>
      <c r="D23"/>
      <c r="E23"/>
      <c r="F23"/>
      <c r="G23"/>
    </row>
    <row r="24" spans="2:7" x14ac:dyDescent="0.3">
      <c r="B24" s="164" t="str">
        <f>$B$3</f>
        <v>Accessory</v>
      </c>
      <c r="C24" t="s">
        <v>751</v>
      </c>
      <c r="D24"/>
      <c r="E24"/>
      <c r="F24"/>
      <c r="G24"/>
    </row>
    <row r="25" spans="2:7" x14ac:dyDescent="0.3">
      <c r="B25" s="164" t="str">
        <f>$B$3</f>
        <v>Accessory</v>
      </c>
      <c r="C25" t="s">
        <v>752</v>
      </c>
      <c r="D25"/>
      <c r="E25"/>
      <c r="F25"/>
      <c r="G25"/>
    </row>
    <row r="26" spans="2:7" x14ac:dyDescent="0.3">
      <c r="B26" s="164" t="str">
        <f>$B$3</f>
        <v>Accessory</v>
      </c>
      <c r="C26" t="s">
        <v>502</v>
      </c>
      <c r="D26"/>
      <c r="E26"/>
      <c r="F26"/>
      <c r="G26"/>
    </row>
    <row r="27" spans="2:7" x14ac:dyDescent="0.3">
      <c r="B27" s="164" t="str">
        <f>$B$3</f>
        <v>Accessory</v>
      </c>
      <c r="C27" t="s">
        <v>503</v>
      </c>
      <c r="D27"/>
      <c r="E27"/>
      <c r="F27"/>
      <c r="G27"/>
    </row>
    <row r="28" spans="2:7" x14ac:dyDescent="0.3">
      <c r="B28" s="164" t="str">
        <f>$B$3</f>
        <v>Accessory</v>
      </c>
      <c r="C28" t="s">
        <v>753</v>
      </c>
      <c r="D28"/>
      <c r="E28"/>
      <c r="F28"/>
      <c r="G28"/>
    </row>
    <row r="29" spans="2:7" x14ac:dyDescent="0.3">
      <c r="B29" s="164" t="str">
        <f>$B$3</f>
        <v>Accessory</v>
      </c>
      <c r="C29" t="s">
        <v>754</v>
      </c>
      <c r="D29"/>
      <c r="E29"/>
      <c r="F29"/>
      <c r="G29"/>
    </row>
    <row r="30" spans="2:7" x14ac:dyDescent="0.3">
      <c r="B30" s="164" t="str">
        <f>$B$3</f>
        <v>Accessory</v>
      </c>
      <c r="C30" t="s">
        <v>755</v>
      </c>
      <c r="D30"/>
      <c r="E30"/>
      <c r="F30"/>
      <c r="G30"/>
    </row>
    <row r="32" spans="2:7" x14ac:dyDescent="0.3">
      <c r="B32" s="235" t="s">
        <v>99</v>
      </c>
      <c r="C32" s="236" t="s">
        <v>499</v>
      </c>
      <c r="D32" s="236" t="s">
        <v>743</v>
      </c>
      <c r="E32" s="236" t="s">
        <v>101</v>
      </c>
      <c r="F32" s="236" t="s">
        <v>645</v>
      </c>
      <c r="G32" s="237" t="s">
        <v>500</v>
      </c>
    </row>
    <row r="33" spans="2:7" x14ac:dyDescent="0.3">
      <c r="B33" t="s">
        <v>744</v>
      </c>
      <c r="C33" t="s">
        <v>678</v>
      </c>
      <c r="D33"/>
      <c r="E33"/>
      <c r="F33"/>
      <c r="G33"/>
    </row>
    <row r="34" spans="2:7" x14ac:dyDescent="0.3">
      <c r="B34" t="s">
        <v>744</v>
      </c>
      <c r="C34" t="s">
        <v>817</v>
      </c>
      <c r="D34"/>
      <c r="E34"/>
      <c r="F34"/>
      <c r="G34"/>
    </row>
    <row r="35" spans="2:7" x14ac:dyDescent="0.3">
      <c r="B35" t="s">
        <v>744</v>
      </c>
      <c r="C35" t="s">
        <v>818</v>
      </c>
      <c r="D35"/>
      <c r="E35"/>
      <c r="F35"/>
      <c r="G35"/>
    </row>
    <row r="36" spans="2:7" x14ac:dyDescent="0.3">
      <c r="B36" t="s">
        <v>744</v>
      </c>
      <c r="C36" t="s">
        <v>819</v>
      </c>
      <c r="D36"/>
      <c r="E36"/>
      <c r="F36"/>
      <c r="G36"/>
    </row>
    <row r="37" spans="2:7" x14ac:dyDescent="0.3">
      <c r="B37" t="s">
        <v>744</v>
      </c>
      <c r="C37" t="s">
        <v>671</v>
      </c>
      <c r="D37"/>
      <c r="E37"/>
      <c r="F37"/>
      <c r="G37"/>
    </row>
    <row r="38" spans="2:7" x14ac:dyDescent="0.3">
      <c r="B38" t="s">
        <v>744</v>
      </c>
      <c r="C38" t="s">
        <v>820</v>
      </c>
      <c r="D38"/>
      <c r="E38"/>
      <c r="F38"/>
      <c r="G38"/>
    </row>
    <row r="39" spans="2:7" x14ac:dyDescent="0.3">
      <c r="B39" t="s">
        <v>744</v>
      </c>
      <c r="C39" t="s">
        <v>821</v>
      </c>
      <c r="D39"/>
      <c r="E39"/>
      <c r="F39"/>
      <c r="G39"/>
    </row>
    <row r="40" spans="2:7" x14ac:dyDescent="0.3">
      <c r="B40" t="s">
        <v>744</v>
      </c>
      <c r="C40" t="s">
        <v>822</v>
      </c>
      <c r="D40"/>
      <c r="E40"/>
      <c r="F40"/>
      <c r="G40"/>
    </row>
    <row r="41" spans="2:7" x14ac:dyDescent="0.3">
      <c r="B41" t="s">
        <v>744</v>
      </c>
      <c r="C41" t="s">
        <v>823</v>
      </c>
      <c r="D41"/>
      <c r="E41"/>
      <c r="F41"/>
      <c r="G41"/>
    </row>
    <row r="43" spans="2:7" x14ac:dyDescent="0.3">
      <c r="B43" t="s">
        <v>99</v>
      </c>
      <c r="C43" t="s">
        <v>499</v>
      </c>
      <c r="D43" t="s">
        <v>743</v>
      </c>
      <c r="E43" t="s">
        <v>101</v>
      </c>
      <c r="F43" t="s">
        <v>645</v>
      </c>
      <c r="G43" t="s">
        <v>500</v>
      </c>
    </row>
    <row r="44" spans="2:7" x14ac:dyDescent="0.3">
      <c r="B44" s="164" t="str">
        <f>$B$4</f>
        <v>Commercial</v>
      </c>
      <c r="C44" t="s">
        <v>504</v>
      </c>
      <c r="D44"/>
      <c r="E44"/>
      <c r="F44"/>
      <c r="G44"/>
    </row>
    <row r="45" spans="2:7" x14ac:dyDescent="0.3">
      <c r="B45" s="164" t="str">
        <f>$B$4</f>
        <v>Commercial</v>
      </c>
      <c r="C45" t="s">
        <v>505</v>
      </c>
      <c r="D45"/>
      <c r="E45"/>
      <c r="F45"/>
      <c r="G45"/>
    </row>
    <row r="46" spans="2:7" x14ac:dyDescent="0.3">
      <c r="B46" s="164" t="str">
        <f>$B$4</f>
        <v>Commercial</v>
      </c>
      <c r="C46" t="s">
        <v>506</v>
      </c>
      <c r="D46"/>
      <c r="E46"/>
      <c r="F46"/>
      <c r="G46"/>
    </row>
    <row r="47" spans="2:7" x14ac:dyDescent="0.3">
      <c r="B47" s="164" t="str">
        <f>$B$4</f>
        <v>Commercial</v>
      </c>
      <c r="C47" t="s">
        <v>507</v>
      </c>
      <c r="D47"/>
      <c r="E47"/>
      <c r="F47"/>
      <c r="G47"/>
    </row>
    <row r="48" spans="2:7" x14ac:dyDescent="0.3">
      <c r="B48" s="164" t="str">
        <f>$B$4</f>
        <v>Commercial</v>
      </c>
      <c r="C48" t="s">
        <v>508</v>
      </c>
      <c r="D48"/>
      <c r="E48"/>
      <c r="F48"/>
      <c r="G48"/>
    </row>
    <row r="49" spans="2:7" x14ac:dyDescent="0.3">
      <c r="B49" s="164" t="str">
        <f>$B$4</f>
        <v>Commercial</v>
      </c>
      <c r="C49" t="s">
        <v>509</v>
      </c>
      <c r="D49"/>
      <c r="E49"/>
      <c r="F49"/>
      <c r="G49"/>
    </row>
    <row r="50" spans="2:7" x14ac:dyDescent="0.3">
      <c r="B50" s="164" t="str">
        <f>$B$4</f>
        <v>Commercial</v>
      </c>
      <c r="C50" t="s">
        <v>510</v>
      </c>
      <c r="D50"/>
      <c r="E50"/>
      <c r="F50" t="s">
        <v>511</v>
      </c>
      <c r="G50"/>
    </row>
    <row r="52" spans="2:7" x14ac:dyDescent="0.3">
      <c r="B52" t="s">
        <v>99</v>
      </c>
      <c r="C52" t="s">
        <v>499</v>
      </c>
      <c r="D52" t="s">
        <v>743</v>
      </c>
      <c r="E52" t="s">
        <v>101</v>
      </c>
      <c r="F52" t="s">
        <v>645</v>
      </c>
      <c r="G52" t="s">
        <v>500</v>
      </c>
    </row>
    <row r="53" spans="2:7" x14ac:dyDescent="0.3">
      <c r="B53" s="164" t="str">
        <f>$B$5</f>
        <v>Demolition</v>
      </c>
      <c r="C53" t="s">
        <v>23</v>
      </c>
      <c r="D53"/>
      <c r="E53"/>
      <c r="F53"/>
      <c r="G53"/>
    </row>
    <row r="54" spans="2:7" x14ac:dyDescent="0.3">
      <c r="B54" s="164" t="str">
        <f>$B$5</f>
        <v>Demolition</v>
      </c>
      <c r="C54" t="s">
        <v>513</v>
      </c>
      <c r="D54"/>
      <c r="E54"/>
      <c r="F54"/>
      <c r="G54"/>
    </row>
    <row r="55" spans="2:7" x14ac:dyDescent="0.3">
      <c r="B55" s="164" t="str">
        <f>$B$5</f>
        <v>Demolition</v>
      </c>
      <c r="C55" t="s">
        <v>25</v>
      </c>
      <c r="D55"/>
      <c r="E55"/>
      <c r="F55"/>
      <c r="G55"/>
    </row>
    <row r="56" spans="2:7" x14ac:dyDescent="0.3">
      <c r="B56" s="164" t="str">
        <f>$B$5</f>
        <v>Demolition</v>
      </c>
      <c r="C56" t="s">
        <v>512</v>
      </c>
      <c r="D56"/>
      <c r="E56"/>
      <c r="F56"/>
      <c r="G56"/>
    </row>
    <row r="57" spans="2:7" x14ac:dyDescent="0.3">
      <c r="B57" s="164" t="str">
        <f>$B$5</f>
        <v>Demolition</v>
      </c>
      <c r="C57" t="s">
        <v>43</v>
      </c>
      <c r="D57"/>
      <c r="E57"/>
      <c r="F57"/>
      <c r="G57"/>
    </row>
    <row r="59" spans="2:7" x14ac:dyDescent="0.3">
      <c r="B59" t="s">
        <v>99</v>
      </c>
      <c r="C59" t="s">
        <v>499</v>
      </c>
      <c r="D59" t="s">
        <v>743</v>
      </c>
      <c r="E59" t="s">
        <v>101</v>
      </c>
      <c r="F59" t="s">
        <v>645</v>
      </c>
      <c r="G59" t="s">
        <v>500</v>
      </c>
    </row>
    <row r="60" spans="2:7" x14ac:dyDescent="0.3">
      <c r="B60" s="164" t="str">
        <f>$B$6</f>
        <v>Dwellings</v>
      </c>
      <c r="C60" t="s">
        <v>756</v>
      </c>
      <c r="D60"/>
      <c r="E60"/>
      <c r="F60"/>
      <c r="G60"/>
    </row>
    <row r="61" spans="2:7" x14ac:dyDescent="0.3">
      <c r="B61" s="164" t="str">
        <f>$B$6</f>
        <v>Dwellings</v>
      </c>
      <c r="C61" t="s">
        <v>757</v>
      </c>
      <c r="D61"/>
      <c r="E61"/>
      <c r="F61"/>
      <c r="G61"/>
    </row>
    <row r="62" spans="2:7" x14ac:dyDescent="0.3">
      <c r="B62" s="164" t="str">
        <f>$B$6</f>
        <v>Dwellings</v>
      </c>
      <c r="C62" t="s">
        <v>750</v>
      </c>
      <c r="D62"/>
      <c r="E62"/>
      <c r="F62"/>
      <c r="G62"/>
    </row>
    <row r="63" spans="2:7" x14ac:dyDescent="0.3">
      <c r="B63" s="164" t="str">
        <f>$B$6</f>
        <v>Dwellings</v>
      </c>
      <c r="C63" t="s">
        <v>760</v>
      </c>
      <c r="D63"/>
      <c r="E63"/>
      <c r="F63"/>
      <c r="G63"/>
    </row>
    <row r="64" spans="2:7" x14ac:dyDescent="0.3">
      <c r="B64" s="164" t="str">
        <f>$B$6</f>
        <v>Dwellings</v>
      </c>
      <c r="C64" t="s">
        <v>761</v>
      </c>
      <c r="D64"/>
      <c r="E64"/>
      <c r="F64"/>
      <c r="G64"/>
    </row>
    <row r="65" spans="2:7" x14ac:dyDescent="0.3">
      <c r="B65" s="164" t="str">
        <f>$B$6</f>
        <v>Dwellings</v>
      </c>
      <c r="C65" t="s">
        <v>758</v>
      </c>
      <c r="D65" t="s">
        <v>514</v>
      </c>
      <c r="E65"/>
      <c r="F65"/>
      <c r="G65"/>
    </row>
    <row r="66" spans="2:7" x14ac:dyDescent="0.3">
      <c r="B66" s="164" t="str">
        <f>$B$6</f>
        <v>Dwellings</v>
      </c>
      <c r="C66" t="s">
        <v>758</v>
      </c>
      <c r="D66" t="s">
        <v>762</v>
      </c>
      <c r="E66"/>
      <c r="F66"/>
      <c r="G66"/>
    </row>
    <row r="67" spans="2:7" x14ac:dyDescent="0.3">
      <c r="B67" s="164" t="str">
        <f>$B$6</f>
        <v>Dwellings</v>
      </c>
      <c r="C67" t="s">
        <v>758</v>
      </c>
      <c r="D67" t="s">
        <v>763</v>
      </c>
      <c r="E67"/>
      <c r="F67"/>
      <c r="G67"/>
    </row>
    <row r="68" spans="2:7" x14ac:dyDescent="0.3">
      <c r="B68" s="164" t="str">
        <f>$B$6</f>
        <v>Dwellings</v>
      </c>
      <c r="C68" t="s">
        <v>758</v>
      </c>
      <c r="D68" t="s">
        <v>764</v>
      </c>
      <c r="E68"/>
      <c r="F68"/>
      <c r="G68"/>
    </row>
    <row r="69" spans="2:7" x14ac:dyDescent="0.3">
      <c r="B69" s="164" t="str">
        <f>$B$6</f>
        <v>Dwellings</v>
      </c>
      <c r="C69" t="s">
        <v>765</v>
      </c>
      <c r="D69"/>
      <c r="E69"/>
      <c r="F69"/>
      <c r="G69"/>
    </row>
    <row r="70" spans="2:7" x14ac:dyDescent="0.3">
      <c r="B70" s="164" t="str">
        <f>$B$6</f>
        <v>Dwellings</v>
      </c>
      <c r="C70" t="s">
        <v>766</v>
      </c>
      <c r="D70"/>
      <c r="E70"/>
      <c r="F70"/>
      <c r="G70"/>
    </row>
    <row r="71" spans="2:7" x14ac:dyDescent="0.3">
      <c r="B71" s="164" t="str">
        <f>$B$6</f>
        <v>Dwellings</v>
      </c>
      <c r="C71" t="s">
        <v>767</v>
      </c>
      <c r="D71"/>
      <c r="E71"/>
      <c r="F71"/>
      <c r="G71"/>
    </row>
    <row r="72" spans="2:7" x14ac:dyDescent="0.3">
      <c r="B72" s="164" t="str">
        <f>$B$6</f>
        <v>Dwellings</v>
      </c>
      <c r="C72" t="s">
        <v>767</v>
      </c>
      <c r="D72"/>
      <c r="E72"/>
      <c r="F72"/>
      <c r="G72"/>
    </row>
    <row r="73" spans="2:7" x14ac:dyDescent="0.3">
      <c r="B73" s="164" t="str">
        <f>$B$6</f>
        <v>Dwellings</v>
      </c>
      <c r="C73" t="s">
        <v>768</v>
      </c>
      <c r="D73"/>
      <c r="E73"/>
      <c r="F73"/>
      <c r="G73"/>
    </row>
    <row r="74" spans="2:7" x14ac:dyDescent="0.3">
      <c r="B74" s="164" t="str">
        <f>$B$6</f>
        <v>Dwellings</v>
      </c>
      <c r="C74" t="s">
        <v>769</v>
      </c>
      <c r="D74" t="s">
        <v>631</v>
      </c>
      <c r="E74"/>
      <c r="F74"/>
      <c r="G74"/>
    </row>
    <row r="75" spans="2:7" x14ac:dyDescent="0.3">
      <c r="B75" s="164" t="str">
        <f>$B$6</f>
        <v>Dwellings</v>
      </c>
      <c r="C75" t="s">
        <v>769</v>
      </c>
      <c r="D75" t="s">
        <v>770</v>
      </c>
      <c r="E75"/>
      <c r="F75"/>
      <c r="G75"/>
    </row>
    <row r="76" spans="2:7" x14ac:dyDescent="0.3">
      <c r="B76" s="164" t="str">
        <f>$B$6</f>
        <v>Dwellings</v>
      </c>
      <c r="C76" t="s">
        <v>769</v>
      </c>
      <c r="D76" t="s">
        <v>771</v>
      </c>
      <c r="E76"/>
      <c r="F76"/>
      <c r="G76"/>
    </row>
    <row r="77" spans="2:7" x14ac:dyDescent="0.3">
      <c r="B77" s="164" t="str">
        <f>$B$6</f>
        <v>Dwellings</v>
      </c>
      <c r="C77" t="s">
        <v>769</v>
      </c>
      <c r="D77" t="s">
        <v>772</v>
      </c>
      <c r="E77"/>
      <c r="F77"/>
      <c r="G77"/>
    </row>
    <row r="78" spans="2:7" x14ac:dyDescent="0.3">
      <c r="B78" s="164" t="str">
        <f>$B$6</f>
        <v>Dwellings</v>
      </c>
      <c r="C78" t="s">
        <v>769</v>
      </c>
      <c r="D78" t="s">
        <v>773</v>
      </c>
      <c r="E78"/>
      <c r="F78"/>
      <c r="G78"/>
    </row>
    <row r="79" spans="2:7" x14ac:dyDescent="0.3">
      <c r="B79" s="164" t="str">
        <f>$B$6</f>
        <v>Dwellings</v>
      </c>
      <c r="C79" t="s">
        <v>769</v>
      </c>
      <c r="D79" t="s">
        <v>774</v>
      </c>
      <c r="E79"/>
      <c r="F79"/>
      <c r="G79"/>
    </row>
    <row r="80" spans="2:7" x14ac:dyDescent="0.3">
      <c r="B80" s="164" t="str">
        <f>$B$6</f>
        <v>Dwellings</v>
      </c>
      <c r="C80" t="s">
        <v>759</v>
      </c>
      <c r="D80"/>
      <c r="E80"/>
      <c r="F80"/>
      <c r="G80"/>
    </row>
    <row r="81" spans="2:7" x14ac:dyDescent="0.3">
      <c r="B81" s="164" t="str">
        <f>$B$6</f>
        <v>Dwellings</v>
      </c>
      <c r="C81" t="s">
        <v>759</v>
      </c>
      <c r="D81" t="s">
        <v>514</v>
      </c>
      <c r="E81"/>
      <c r="F81"/>
      <c r="G81"/>
    </row>
    <row r="82" spans="2:7" x14ac:dyDescent="0.3">
      <c r="B82" s="164" t="str">
        <f>$B$6</f>
        <v>Dwellings</v>
      </c>
      <c r="C82" t="s">
        <v>759</v>
      </c>
      <c r="D82" t="s">
        <v>816</v>
      </c>
      <c r="E82"/>
      <c r="F82"/>
      <c r="G82"/>
    </row>
    <row r="85" spans="2:7" x14ac:dyDescent="0.3">
      <c r="B85" t="s">
        <v>99</v>
      </c>
      <c r="C85" t="s">
        <v>499</v>
      </c>
      <c r="D85" t="s">
        <v>743</v>
      </c>
      <c r="E85" t="s">
        <v>101</v>
      </c>
      <c r="F85" t="s">
        <v>645</v>
      </c>
      <c r="G85" t="s">
        <v>500</v>
      </c>
    </row>
    <row r="86" spans="2:7" x14ac:dyDescent="0.3">
      <c r="B86" s="164" t="str">
        <f>$B$7</f>
        <v>Electrical</v>
      </c>
      <c r="C86" t="s">
        <v>775</v>
      </c>
      <c r="D86"/>
      <c r="E86"/>
      <c r="F86"/>
      <c r="G86"/>
    </row>
    <row r="87" spans="2:7" x14ac:dyDescent="0.3">
      <c r="B87" s="164" t="str">
        <f>$B$7</f>
        <v>Electrical</v>
      </c>
      <c r="C87" t="s">
        <v>776</v>
      </c>
      <c r="D87"/>
      <c r="E87"/>
      <c r="F87"/>
      <c r="G87"/>
    </row>
    <row r="88" spans="2:7" x14ac:dyDescent="0.3">
      <c r="B88" s="164" t="str">
        <f>$B$7</f>
        <v>Electrical</v>
      </c>
      <c r="C88" t="s">
        <v>777</v>
      </c>
      <c r="D88"/>
      <c r="E88"/>
      <c r="F88"/>
      <c r="G88"/>
    </row>
    <row r="89" spans="2:7" x14ac:dyDescent="0.3">
      <c r="B89" s="164" t="str">
        <f>$B$7</f>
        <v>Electrical</v>
      </c>
      <c r="C89" t="s">
        <v>778</v>
      </c>
      <c r="D89"/>
      <c r="E89"/>
      <c r="F89"/>
      <c r="G89"/>
    </row>
    <row r="90" spans="2:7" x14ac:dyDescent="0.3">
      <c r="B90" s="164" t="str">
        <f>$B$7</f>
        <v>Electrical</v>
      </c>
      <c r="C90" t="s">
        <v>515</v>
      </c>
      <c r="D90"/>
      <c r="E90"/>
      <c r="F90"/>
      <c r="G90"/>
    </row>
    <row r="91" spans="2:7" x14ac:dyDescent="0.3">
      <c r="B91" s="164" t="str">
        <f>$B$7</f>
        <v>Electrical</v>
      </c>
      <c r="C91" t="s">
        <v>516</v>
      </c>
      <c r="D91"/>
      <c r="E91"/>
      <c r="F91"/>
      <c r="G91"/>
    </row>
    <row r="92" spans="2:7" x14ac:dyDescent="0.3">
      <c r="B92" s="164" t="str">
        <f>$B$7</f>
        <v>Electrical</v>
      </c>
      <c r="C92" t="s">
        <v>779</v>
      </c>
      <c r="D92"/>
      <c r="E92"/>
      <c r="F92"/>
      <c r="G92"/>
    </row>
    <row r="93" spans="2:7" x14ac:dyDescent="0.3">
      <c r="B93" s="164" t="str">
        <f>$B$7</f>
        <v>Electrical</v>
      </c>
      <c r="C93" t="s">
        <v>780</v>
      </c>
      <c r="D93"/>
      <c r="E93"/>
      <c r="F93"/>
      <c r="G93"/>
    </row>
    <row r="94" spans="2:7" x14ac:dyDescent="0.3">
      <c r="B94" s="164" t="str">
        <f>$B$7</f>
        <v>Electrical</v>
      </c>
      <c r="C94" t="s">
        <v>781</v>
      </c>
      <c r="D94"/>
      <c r="E94"/>
      <c r="F94"/>
      <c r="G94"/>
    </row>
    <row r="95" spans="2:7" x14ac:dyDescent="0.3">
      <c r="B95" s="164" t="str">
        <f>$B$7</f>
        <v>Electrical</v>
      </c>
      <c r="C95" t="s">
        <v>782</v>
      </c>
      <c r="D95"/>
      <c r="E95"/>
      <c r="F95"/>
      <c r="G95"/>
    </row>
    <row r="96" spans="2:7" x14ac:dyDescent="0.3">
      <c r="B96" s="164" t="str">
        <f>$B$7</f>
        <v>Electrical</v>
      </c>
      <c r="C96" t="s">
        <v>783</v>
      </c>
      <c r="D96"/>
      <c r="E96"/>
      <c r="F96"/>
      <c r="G96"/>
    </row>
    <row r="97" spans="2:7" x14ac:dyDescent="0.3">
      <c r="B97" s="164" t="str">
        <f>$B$7</f>
        <v>Electrical</v>
      </c>
      <c r="C97" t="s">
        <v>784</v>
      </c>
      <c r="D97"/>
      <c r="E97"/>
      <c r="F97"/>
      <c r="G97"/>
    </row>
    <row r="98" spans="2:7" x14ac:dyDescent="0.3">
      <c r="B98" s="164" t="str">
        <f>$B$7</f>
        <v>Electrical</v>
      </c>
      <c r="C98" t="s">
        <v>33</v>
      </c>
      <c r="D98"/>
      <c r="E98"/>
      <c r="F98"/>
      <c r="G98"/>
    </row>
    <row r="99" spans="2:7" x14ac:dyDescent="0.3">
      <c r="B99" s="164" t="str">
        <f>$B$7</f>
        <v>Electrical</v>
      </c>
      <c r="C99" t="s">
        <v>744</v>
      </c>
      <c r="D99"/>
      <c r="E99"/>
      <c r="F99"/>
      <c r="G99"/>
    </row>
    <row r="100" spans="2:7" x14ac:dyDescent="0.3">
      <c r="B100" s="164" t="str">
        <f>$B$7</f>
        <v>Electrical</v>
      </c>
      <c r="C100" t="s">
        <v>785</v>
      </c>
      <c r="D100"/>
      <c r="E100"/>
      <c r="F100"/>
      <c r="G100"/>
    </row>
    <row r="101" spans="2:7" x14ac:dyDescent="0.3">
      <c r="B101" s="164" t="str">
        <f>$B$7</f>
        <v>Electrical</v>
      </c>
      <c r="C101" t="s">
        <v>786</v>
      </c>
      <c r="D101"/>
      <c r="E101"/>
      <c r="F101"/>
      <c r="G101"/>
    </row>
    <row r="102" spans="2:7" x14ac:dyDescent="0.3">
      <c r="B102" s="164" t="str">
        <f>$B$7</f>
        <v>Electrical</v>
      </c>
      <c r="C102" t="s">
        <v>787</v>
      </c>
      <c r="D102"/>
      <c r="E102"/>
      <c r="F102"/>
      <c r="G102"/>
    </row>
    <row r="103" spans="2:7" x14ac:dyDescent="0.3">
      <c r="B103" s="164" t="str">
        <f>$B$7</f>
        <v>Electrical</v>
      </c>
      <c r="C103" t="s">
        <v>753</v>
      </c>
      <c r="D103"/>
      <c r="E103"/>
      <c r="F103"/>
      <c r="G103"/>
    </row>
    <row r="106" spans="2:7" x14ac:dyDescent="0.3">
      <c r="B106" t="s">
        <v>99</v>
      </c>
      <c r="C106" t="s">
        <v>499</v>
      </c>
      <c r="D106" t="s">
        <v>743</v>
      </c>
      <c r="E106" t="s">
        <v>101</v>
      </c>
      <c r="F106" t="s">
        <v>645</v>
      </c>
      <c r="G106" t="s">
        <v>517</v>
      </c>
    </row>
    <row r="107" spans="2:7" x14ac:dyDescent="0.3">
      <c r="B107" s="164" t="str">
        <f>$B$8</f>
        <v>Fire</v>
      </c>
      <c r="C107"/>
      <c r="D107"/>
      <c r="E107"/>
      <c r="F107"/>
      <c r="G107"/>
    </row>
    <row r="108" spans="2:7" x14ac:dyDescent="0.3">
      <c r="B108" s="164" t="str">
        <f>$B$8</f>
        <v>Fire</v>
      </c>
      <c r="C108"/>
      <c r="D108"/>
      <c r="E108"/>
      <c r="F108"/>
      <c r="G108"/>
    </row>
    <row r="109" spans="2:7" x14ac:dyDescent="0.3">
      <c r="B109" s="164" t="str">
        <f>$B$8</f>
        <v>Fire</v>
      </c>
      <c r="C109"/>
      <c r="D109"/>
      <c r="E109"/>
      <c r="F109"/>
      <c r="G109"/>
    </row>
    <row r="110" spans="2:7" x14ac:dyDescent="0.3">
      <c r="B110" s="164" t="str">
        <f>$B$8</f>
        <v>Fire</v>
      </c>
      <c r="C110"/>
      <c r="D110"/>
      <c r="E110"/>
      <c r="F110"/>
      <c r="G110"/>
    </row>
    <row r="111" spans="2:7" x14ac:dyDescent="0.3">
      <c r="B111" s="164" t="str">
        <f>$B$8</f>
        <v>Fire</v>
      </c>
      <c r="C111"/>
      <c r="D111"/>
      <c r="E111"/>
      <c r="F111"/>
      <c r="G111"/>
    </row>
    <row r="113" spans="2:7" x14ac:dyDescent="0.3">
      <c r="B113" t="s">
        <v>99</v>
      </c>
      <c r="C113" t="s">
        <v>499</v>
      </c>
      <c r="D113" t="s">
        <v>743</v>
      </c>
      <c r="E113" t="s">
        <v>101</v>
      </c>
      <c r="F113" t="s">
        <v>645</v>
      </c>
      <c r="G113" t="s">
        <v>517</v>
      </c>
    </row>
    <row r="114" spans="2:7" x14ac:dyDescent="0.3">
      <c r="B114" s="164" t="str">
        <f>$B$9</f>
        <v>Flood</v>
      </c>
      <c r="C114" t="s">
        <v>788</v>
      </c>
      <c r="D114"/>
      <c r="E114"/>
      <c r="F114"/>
      <c r="G114"/>
    </row>
    <row r="115" spans="2:7" x14ac:dyDescent="0.3">
      <c r="B115" s="164" t="str">
        <f>$B$9</f>
        <v>Flood</v>
      </c>
      <c r="C115" t="s">
        <v>789</v>
      </c>
      <c r="D115"/>
      <c r="E115"/>
      <c r="F115"/>
      <c r="G115"/>
    </row>
    <row r="116" spans="2:7" x14ac:dyDescent="0.3">
      <c r="B116" s="164" t="str">
        <f>$B$9</f>
        <v>Flood</v>
      </c>
      <c r="C116" t="s">
        <v>790</v>
      </c>
      <c r="D116"/>
      <c r="E116"/>
      <c r="F116"/>
      <c r="G116"/>
    </row>
    <row r="117" spans="2:7" x14ac:dyDescent="0.3">
      <c r="B117" s="164" t="str">
        <f>$B$9</f>
        <v>Flood</v>
      </c>
      <c r="C117" t="s">
        <v>791</v>
      </c>
      <c r="D117"/>
      <c r="E117"/>
      <c r="F117"/>
      <c r="G117"/>
    </row>
    <row r="118" spans="2:7" x14ac:dyDescent="0.3">
      <c r="B118" s="164" t="str">
        <f>$B$9</f>
        <v>Flood</v>
      </c>
      <c r="C118" t="s">
        <v>792</v>
      </c>
      <c r="D118"/>
      <c r="E118"/>
      <c r="F118"/>
      <c r="G118"/>
    </row>
    <row r="119" spans="2:7" x14ac:dyDescent="0.3">
      <c r="B119" s="164" t="str">
        <f>$B$9</f>
        <v>Flood</v>
      </c>
      <c r="C119" t="s">
        <v>793</v>
      </c>
      <c r="D119"/>
      <c r="E119"/>
      <c r="F119"/>
      <c r="G119"/>
    </row>
    <row r="120" spans="2:7" x14ac:dyDescent="0.3">
      <c r="B120" s="164" t="str">
        <f>$B$9</f>
        <v>Flood</v>
      </c>
      <c r="C120" t="s">
        <v>794</v>
      </c>
      <c r="D120"/>
      <c r="E120"/>
      <c r="F120"/>
      <c r="G120"/>
    </row>
    <row r="121" spans="2:7" x14ac:dyDescent="0.3">
      <c r="B121" s="164" t="str">
        <f>$B$9</f>
        <v>Flood</v>
      </c>
      <c r="C121" t="s">
        <v>795</v>
      </c>
      <c r="D121"/>
      <c r="E121"/>
      <c r="F121"/>
      <c r="G121"/>
    </row>
    <row r="122" spans="2:7" x14ac:dyDescent="0.3">
      <c r="B122" s="164" t="str">
        <f>$B$9</f>
        <v>Flood</v>
      </c>
      <c r="C122" t="s">
        <v>796</v>
      </c>
      <c r="D122"/>
      <c r="E122"/>
      <c r="F122"/>
      <c r="G122"/>
    </row>
    <row r="123" spans="2:7" x14ac:dyDescent="0.3">
      <c r="B123" s="164" t="str">
        <f>$B$9</f>
        <v>Flood</v>
      </c>
      <c r="C123" t="s">
        <v>797</v>
      </c>
      <c r="D123"/>
      <c r="E123"/>
      <c r="F123"/>
      <c r="G123"/>
    </row>
    <row r="125" spans="2:7" x14ac:dyDescent="0.3">
      <c r="B125" t="s">
        <v>99</v>
      </c>
      <c r="C125" t="s">
        <v>499</v>
      </c>
      <c r="D125" t="s">
        <v>743</v>
      </c>
      <c r="E125" t="s">
        <v>101</v>
      </c>
      <c r="F125" t="s">
        <v>645</v>
      </c>
      <c r="G125" t="s">
        <v>517</v>
      </c>
    </row>
    <row r="126" spans="2:7" x14ac:dyDescent="0.3">
      <c r="B126" s="164" t="str">
        <f>$B$10</f>
        <v>Grading</v>
      </c>
      <c r="C126" t="s">
        <v>798</v>
      </c>
      <c r="D126"/>
      <c r="E126"/>
      <c r="F126"/>
      <c r="G126"/>
    </row>
    <row r="127" spans="2:7" x14ac:dyDescent="0.3">
      <c r="B127" s="164" t="str">
        <f>$B$10</f>
        <v>Grading</v>
      </c>
      <c r="C127" t="s">
        <v>799</v>
      </c>
      <c r="D127"/>
      <c r="E127"/>
      <c r="F127"/>
      <c r="G127"/>
    </row>
    <row r="128" spans="2:7" x14ac:dyDescent="0.3">
      <c r="B128" s="164" t="str">
        <f>$B$10</f>
        <v>Grading</v>
      </c>
      <c r="C128" t="s">
        <v>800</v>
      </c>
      <c r="D128"/>
      <c r="E128"/>
      <c r="F128"/>
      <c r="G128"/>
    </row>
    <row r="129" spans="2:7" x14ac:dyDescent="0.3">
      <c r="B129" s="164" t="str">
        <f>$B$10</f>
        <v>Grading</v>
      </c>
      <c r="C129" t="s">
        <v>801</v>
      </c>
      <c r="D129"/>
      <c r="E129"/>
      <c r="F129"/>
      <c r="G129"/>
    </row>
    <row r="131" spans="2:7" x14ac:dyDescent="0.3">
      <c r="B131" t="s">
        <v>99</v>
      </c>
      <c r="C131" t="s">
        <v>499</v>
      </c>
      <c r="D131" t="s">
        <v>743</v>
      </c>
      <c r="E131" t="s">
        <v>101</v>
      </c>
      <c r="F131" t="s">
        <v>645</v>
      </c>
      <c r="G131" t="s">
        <v>517</v>
      </c>
    </row>
    <row r="132" spans="2:7" x14ac:dyDescent="0.3">
      <c r="B132" s="164" t="str">
        <f>$B$11</f>
        <v>Mechanical</v>
      </c>
      <c r="C132"/>
      <c r="D132"/>
      <c r="E132"/>
      <c r="F132"/>
      <c r="G132"/>
    </row>
    <row r="133" spans="2:7" x14ac:dyDescent="0.3">
      <c r="B133" s="164" t="str">
        <f>$B$11</f>
        <v>Mechanical</v>
      </c>
      <c r="C133" t="s">
        <v>802</v>
      </c>
      <c r="D133"/>
      <c r="E133"/>
      <c r="F133"/>
      <c r="G133"/>
    </row>
    <row r="134" spans="2:7" x14ac:dyDescent="0.3">
      <c r="B134" s="164" t="str">
        <f>$B$11</f>
        <v>Mechanical</v>
      </c>
      <c r="C134" t="s">
        <v>803</v>
      </c>
      <c r="D134"/>
      <c r="E134"/>
      <c r="F134"/>
      <c r="G134"/>
    </row>
    <row r="135" spans="2:7" x14ac:dyDescent="0.3">
      <c r="B135" s="164" t="str">
        <f>$B$11</f>
        <v>Mechanical</v>
      </c>
      <c r="C135" t="s">
        <v>804</v>
      </c>
      <c r="D135"/>
      <c r="E135"/>
      <c r="F135"/>
      <c r="G135"/>
    </row>
    <row r="137" spans="2:7" x14ac:dyDescent="0.3">
      <c r="B137" t="s">
        <v>99</v>
      </c>
      <c r="C137" t="s">
        <v>499</v>
      </c>
      <c r="D137" t="s">
        <v>743</v>
      </c>
      <c r="E137" t="s">
        <v>101</v>
      </c>
      <c r="F137" t="s">
        <v>645</v>
      </c>
      <c r="G137" t="s">
        <v>517</v>
      </c>
    </row>
    <row r="138" spans="2:7" x14ac:dyDescent="0.3">
      <c r="B138" s="164" t="str">
        <f>$B$12</f>
        <v>Plumbing</v>
      </c>
      <c r="C138"/>
      <c r="D138"/>
      <c r="E138"/>
      <c r="F138"/>
      <c r="G138"/>
    </row>
    <row r="139" spans="2:7" x14ac:dyDescent="0.3">
      <c r="B139" s="164" t="str">
        <f>$B$12</f>
        <v>Plumbing</v>
      </c>
      <c r="C139" t="s">
        <v>805</v>
      </c>
      <c r="D139"/>
      <c r="E139"/>
      <c r="F139"/>
      <c r="G139"/>
    </row>
    <row r="140" spans="2:7" x14ac:dyDescent="0.3">
      <c r="B140" s="164" t="str">
        <f>$B$12</f>
        <v>Plumbing</v>
      </c>
      <c r="C140" t="s">
        <v>806</v>
      </c>
      <c r="D140"/>
      <c r="E140"/>
      <c r="F140"/>
      <c r="G140"/>
    </row>
    <row r="141" spans="2:7" x14ac:dyDescent="0.3">
      <c r="B141" s="164" t="str">
        <f>$B$12</f>
        <v>Plumbing</v>
      </c>
      <c r="C141" t="s">
        <v>807</v>
      </c>
      <c r="D141"/>
      <c r="E141"/>
      <c r="F141"/>
      <c r="G141"/>
    </row>
    <row r="142" spans="2:7" x14ac:dyDescent="0.3">
      <c r="B142" s="164" t="str">
        <f>$B$12</f>
        <v>Plumbing</v>
      </c>
      <c r="C142" t="s">
        <v>808</v>
      </c>
      <c r="D142"/>
      <c r="E142"/>
      <c r="F142"/>
      <c r="G142"/>
    </row>
    <row r="143" spans="2:7" x14ac:dyDescent="0.3">
      <c r="B143" s="164" t="str">
        <f>$B$12</f>
        <v>Plumbing</v>
      </c>
      <c r="C143" t="s">
        <v>809</v>
      </c>
      <c r="D143"/>
      <c r="E143"/>
      <c r="F143"/>
      <c r="G143"/>
    </row>
    <row r="144" spans="2:7" x14ac:dyDescent="0.3">
      <c r="B144" s="164" t="str">
        <f>$B$12</f>
        <v>Plumbing</v>
      </c>
      <c r="C144" t="s">
        <v>810</v>
      </c>
      <c r="D144"/>
      <c r="E144"/>
      <c r="F144"/>
      <c r="G144"/>
    </row>
    <row r="145" spans="2:7" x14ac:dyDescent="0.3">
      <c r="B145" s="164" t="str">
        <f>$B$12</f>
        <v>Plumbing</v>
      </c>
      <c r="C145" t="s">
        <v>811</v>
      </c>
      <c r="D145"/>
      <c r="E145"/>
      <c r="F145"/>
      <c r="G145"/>
    </row>
    <row r="146" spans="2:7" x14ac:dyDescent="0.3">
      <c r="B146" s="164" t="str">
        <f>$B$12</f>
        <v>Plumbing</v>
      </c>
      <c r="C146" t="s">
        <v>812</v>
      </c>
      <c r="D146"/>
      <c r="E146"/>
      <c r="F146"/>
      <c r="G146"/>
    </row>
    <row r="147" spans="2:7" x14ac:dyDescent="0.3">
      <c r="B147" s="164" t="str">
        <f>$B$12</f>
        <v>Plumbing</v>
      </c>
      <c r="C147" t="s">
        <v>813</v>
      </c>
      <c r="D147"/>
      <c r="E147"/>
      <c r="F147"/>
      <c r="G147"/>
    </row>
    <row r="149" spans="2:7" x14ac:dyDescent="0.3">
      <c r="B149" t="s">
        <v>99</v>
      </c>
      <c r="C149" t="s">
        <v>499</v>
      </c>
      <c r="D149" t="s">
        <v>743</v>
      </c>
      <c r="E149" t="s">
        <v>101</v>
      </c>
      <c r="F149" t="s">
        <v>645</v>
      </c>
      <c r="G149" t="s">
        <v>517</v>
      </c>
    </row>
    <row r="150" spans="2:7" x14ac:dyDescent="0.3">
      <c r="B150" s="164" t="str">
        <f>$B$13</f>
        <v>Pool/Spa</v>
      </c>
      <c r="C150" t="s">
        <v>814</v>
      </c>
      <c r="D150"/>
      <c r="E150"/>
      <c r="F150"/>
      <c r="G150"/>
    </row>
    <row r="151" spans="2:7" x14ac:dyDescent="0.3">
      <c r="B151" s="164" t="str">
        <f>$B$13</f>
        <v>Pool/Spa</v>
      </c>
      <c r="C151" t="s">
        <v>815</v>
      </c>
      <c r="D151"/>
      <c r="E151"/>
      <c r="F151"/>
      <c r="G151"/>
    </row>
    <row r="152" spans="2:7" x14ac:dyDescent="0.3">
      <c r="B152" s="164" t="str">
        <f>$B$13</f>
        <v>Pool/Spa</v>
      </c>
      <c r="C152" t="s">
        <v>767</v>
      </c>
      <c r="D152"/>
      <c r="E152"/>
      <c r="F152"/>
      <c r="G152"/>
    </row>
  </sheetData>
  <phoneticPr fontId="12" alignment="center"/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12EE-0604-B948-B059-CA5AD846AEB0}">
  <sheetPr codeName="Sheet5"/>
  <dimension ref="A1:Q79"/>
  <sheetViews>
    <sheetView showGridLines="0" zoomScaleNormal="100" zoomScaleSheetLayoutView="100" workbookViewId="0">
      <selection activeCell="I4" sqref="I4"/>
    </sheetView>
  </sheetViews>
  <sheetFormatPr defaultRowHeight="14.4" x14ac:dyDescent="0.3"/>
  <cols>
    <col min="1" max="1" width="8.5546875" style="1"/>
    <col min="2" max="2" width="31.88671875" customWidth="1"/>
    <col min="3" max="3" width="11.44140625" style="9" customWidth="1"/>
    <col min="4" max="4" width="4.6640625" customWidth="1"/>
    <col min="5" max="5" width="15.88671875" style="2" customWidth="1"/>
    <col min="6" max="6" width="15.33203125" style="2" customWidth="1"/>
    <col min="7" max="7" width="15.33203125" customWidth="1"/>
    <col min="8" max="8" width="15.33203125" style="78" customWidth="1"/>
    <col min="9" max="9" width="15.33203125" style="3" customWidth="1"/>
    <col min="10" max="10" width="3.109375" customWidth="1"/>
    <col min="11" max="11" width="15.88671875" style="2" customWidth="1"/>
    <col min="12" max="12" width="15.33203125" style="2" customWidth="1"/>
    <col min="13" max="13" width="15.33203125" customWidth="1"/>
    <col min="14" max="15" width="15.33203125" style="3" customWidth="1"/>
    <col min="16" max="16" width="3" customWidth="1"/>
    <col min="17" max="17" width="70.88671875" customWidth="1"/>
  </cols>
  <sheetData>
    <row r="1" spans="1:17" ht="67.5" customHeight="1" x14ac:dyDescent="0.3">
      <c r="A1" s="6" t="s">
        <v>518</v>
      </c>
      <c r="B1" s="4" t="s">
        <v>92</v>
      </c>
      <c r="C1" s="10" t="s">
        <v>519</v>
      </c>
      <c r="D1" s="30"/>
      <c r="E1" s="48" t="s">
        <v>520</v>
      </c>
      <c r="F1" s="8" t="s">
        <v>521</v>
      </c>
      <c r="G1" s="8" t="s">
        <v>522</v>
      </c>
      <c r="H1" s="74" t="s">
        <v>523</v>
      </c>
      <c r="I1" s="8" t="s">
        <v>524</v>
      </c>
      <c r="J1" s="30"/>
      <c r="K1" s="47" t="s">
        <v>520</v>
      </c>
      <c r="L1" s="8" t="s">
        <v>521</v>
      </c>
      <c r="M1" s="8" t="s">
        <v>522</v>
      </c>
      <c r="N1" s="8" t="s">
        <v>523</v>
      </c>
      <c r="O1" s="8" t="s">
        <v>524</v>
      </c>
      <c r="P1" s="31"/>
    </row>
    <row r="2" spans="1:17" x14ac:dyDescent="0.3">
      <c r="A2" s="1">
        <v>1</v>
      </c>
      <c r="B2" s="11" t="s">
        <v>525</v>
      </c>
      <c r="C2" s="12"/>
      <c r="D2" s="31"/>
      <c r="E2" s="43" t="s">
        <v>526</v>
      </c>
      <c r="F2" s="44">
        <v>15</v>
      </c>
      <c r="G2" s="44">
        <v>1</v>
      </c>
      <c r="H2" s="75">
        <v>0</v>
      </c>
      <c r="I2" s="52">
        <f>149*(F2/60+0.4*G2+0.7*H2)</f>
        <v>96.850000000000009</v>
      </c>
      <c r="J2" s="31"/>
      <c r="K2" s="55" t="s">
        <v>527</v>
      </c>
      <c r="L2" s="56">
        <f>F2</f>
        <v>15</v>
      </c>
      <c r="M2" s="56">
        <f>G2</f>
        <v>1</v>
      </c>
      <c r="N2" s="57">
        <f>M2*0.1</f>
        <v>0.1</v>
      </c>
      <c r="O2" s="58">
        <f>149*(L2/60+0.4*M2+0.7*N2)</f>
        <v>107.28</v>
      </c>
      <c r="P2" s="31"/>
    </row>
    <row r="3" spans="1:17" x14ac:dyDescent="0.3">
      <c r="A3" s="1">
        <f>A2+1</f>
        <v>2</v>
      </c>
      <c r="B3" s="13" t="s">
        <v>528</v>
      </c>
      <c r="C3" s="14"/>
      <c r="D3" s="31"/>
      <c r="E3" s="63"/>
      <c r="F3" s="64"/>
      <c r="G3" s="64"/>
      <c r="H3" s="64"/>
      <c r="I3" s="65"/>
      <c r="J3" s="45"/>
      <c r="K3" s="63"/>
      <c r="L3" s="64"/>
      <c r="M3" s="64"/>
      <c r="N3" s="64"/>
      <c r="O3" s="65"/>
      <c r="P3" s="46"/>
    </row>
    <row r="4" spans="1:17" x14ac:dyDescent="0.3">
      <c r="A4" s="1">
        <f t="shared" ref="A4:A67" si="0">A3+1</f>
        <v>3</v>
      </c>
      <c r="B4" s="13" t="s">
        <v>529</v>
      </c>
      <c r="C4" s="14"/>
      <c r="D4" s="32"/>
      <c r="E4" s="66"/>
      <c r="F4" s="61"/>
      <c r="G4" s="61"/>
      <c r="H4" s="61"/>
      <c r="I4" s="67"/>
      <c r="J4" s="54"/>
      <c r="K4" s="66"/>
      <c r="L4" s="61"/>
      <c r="M4" s="61"/>
      <c r="N4" s="61"/>
      <c r="O4" s="67"/>
      <c r="P4" s="46"/>
    </row>
    <row r="5" spans="1:17" x14ac:dyDescent="0.3">
      <c r="A5" s="1">
        <f t="shared" si="0"/>
        <v>4</v>
      </c>
      <c r="B5" s="13" t="s">
        <v>530</v>
      </c>
      <c r="C5" s="14"/>
      <c r="D5" s="31"/>
      <c r="E5" s="66"/>
      <c r="F5" s="61"/>
      <c r="G5" s="61"/>
      <c r="H5" s="61"/>
      <c r="I5" s="67"/>
      <c r="J5" s="45"/>
      <c r="K5" s="66"/>
      <c r="L5" s="61"/>
      <c r="M5" s="61"/>
      <c r="N5" s="61"/>
      <c r="O5" s="67"/>
      <c r="P5" s="46"/>
    </row>
    <row r="6" spans="1:17" x14ac:dyDescent="0.3">
      <c r="A6" s="1">
        <f t="shared" si="0"/>
        <v>5</v>
      </c>
      <c r="B6" s="13" t="s">
        <v>531</v>
      </c>
      <c r="C6" s="14"/>
      <c r="D6" s="31"/>
      <c r="E6" s="66"/>
      <c r="F6" s="61"/>
      <c r="G6" s="61"/>
      <c r="H6" s="61"/>
      <c r="I6" s="67"/>
      <c r="J6" s="45"/>
      <c r="K6" s="66"/>
      <c r="L6" s="61"/>
      <c r="M6" s="61"/>
      <c r="N6" s="61"/>
      <c r="O6" s="67"/>
      <c r="P6" s="46"/>
      <c r="Q6" s="49" t="s">
        <v>532</v>
      </c>
    </row>
    <row r="7" spans="1:17" x14ac:dyDescent="0.3">
      <c r="A7" s="1">
        <f t="shared" si="0"/>
        <v>6</v>
      </c>
      <c r="B7" s="13" t="s">
        <v>533</v>
      </c>
      <c r="C7" s="14"/>
      <c r="D7" s="31"/>
      <c r="E7" s="81"/>
      <c r="F7" s="82"/>
      <c r="G7" s="82"/>
      <c r="H7" s="82"/>
      <c r="I7" s="83"/>
      <c r="J7" s="45"/>
      <c r="K7" s="66"/>
      <c r="L7" s="61"/>
      <c r="M7" s="61"/>
      <c r="N7" s="61"/>
      <c r="O7" s="67"/>
      <c r="P7" s="46"/>
      <c r="Q7" s="49" t="s">
        <v>534</v>
      </c>
    </row>
    <row r="8" spans="1:17" x14ac:dyDescent="0.3">
      <c r="A8" s="1">
        <f t="shared" si="0"/>
        <v>7</v>
      </c>
      <c r="B8" s="15" t="s">
        <v>535</v>
      </c>
      <c r="C8" s="16"/>
      <c r="D8" s="31"/>
      <c r="E8" s="79"/>
      <c r="F8" s="59">
        <f t="shared" ref="F8:F26" si="1">F$2</f>
        <v>15</v>
      </c>
      <c r="G8" s="59">
        <f t="shared" ref="G8:H32" si="2">G$2</f>
        <v>1</v>
      </c>
      <c r="H8" s="80">
        <f t="shared" si="2"/>
        <v>0</v>
      </c>
      <c r="I8" s="60">
        <f>149*(F8/60+0.4*G8+0.7*H8)</f>
        <v>96.850000000000009</v>
      </c>
      <c r="J8" s="45"/>
      <c r="K8" s="68" t="s">
        <v>536</v>
      </c>
      <c r="L8" s="62"/>
      <c r="M8" s="62"/>
      <c r="N8" s="62"/>
      <c r="O8" s="69"/>
      <c r="P8" s="46"/>
      <c r="Q8" s="49" t="s">
        <v>537</v>
      </c>
    </row>
    <row r="9" spans="1:17" x14ac:dyDescent="0.3">
      <c r="A9" s="1">
        <f t="shared" si="0"/>
        <v>8</v>
      </c>
      <c r="B9" s="17" t="s">
        <v>538</v>
      </c>
      <c r="C9" s="16"/>
      <c r="D9" s="31"/>
      <c r="E9" s="27"/>
      <c r="F9" s="38">
        <f t="shared" si="1"/>
        <v>15</v>
      </c>
      <c r="G9" s="38">
        <f t="shared" si="2"/>
        <v>1</v>
      </c>
      <c r="H9" s="76">
        <f t="shared" si="2"/>
        <v>0</v>
      </c>
      <c r="I9" s="53">
        <f t="shared" ref="I9:I72" si="3">149*(F9/60+0.4*G9+0.7*H9)</f>
        <v>96.850000000000009</v>
      </c>
      <c r="J9" s="45"/>
      <c r="K9" s="68" t="s">
        <v>536</v>
      </c>
      <c r="L9" s="62"/>
      <c r="M9" s="62"/>
      <c r="N9" s="62"/>
      <c r="O9" s="69"/>
      <c r="P9" s="46"/>
      <c r="Q9" s="49" t="s">
        <v>539</v>
      </c>
    </row>
    <row r="10" spans="1:17" x14ac:dyDescent="0.3">
      <c r="A10" s="1">
        <f t="shared" si="0"/>
        <v>9</v>
      </c>
      <c r="B10" s="17" t="s">
        <v>540</v>
      </c>
      <c r="C10" s="16"/>
      <c r="D10" s="31"/>
      <c r="E10" s="27"/>
      <c r="F10" s="38">
        <f t="shared" si="1"/>
        <v>15</v>
      </c>
      <c r="G10" s="38">
        <f t="shared" si="2"/>
        <v>1</v>
      </c>
      <c r="H10" s="76">
        <f t="shared" si="2"/>
        <v>0</v>
      </c>
      <c r="I10" s="53">
        <f t="shared" si="3"/>
        <v>96.850000000000009</v>
      </c>
      <c r="J10" s="45"/>
      <c r="K10" s="68" t="s">
        <v>536</v>
      </c>
      <c r="L10" s="62"/>
      <c r="M10" s="62"/>
      <c r="N10" s="62"/>
      <c r="O10" s="69"/>
      <c r="P10" s="46"/>
      <c r="Q10" s="49" t="s">
        <v>541</v>
      </c>
    </row>
    <row r="11" spans="1:17" x14ac:dyDescent="0.3">
      <c r="A11" s="1">
        <f t="shared" si="0"/>
        <v>10</v>
      </c>
      <c r="B11" s="18" t="s">
        <v>542</v>
      </c>
      <c r="C11" s="19"/>
      <c r="D11" s="31"/>
      <c r="E11" s="27"/>
      <c r="F11" s="38">
        <f t="shared" si="1"/>
        <v>15</v>
      </c>
      <c r="G11" s="38">
        <f t="shared" si="2"/>
        <v>1</v>
      </c>
      <c r="H11" s="76">
        <f t="shared" si="2"/>
        <v>0</v>
      </c>
      <c r="I11" s="53">
        <f t="shared" si="3"/>
        <v>96.850000000000009</v>
      </c>
      <c r="J11" s="45"/>
      <c r="K11" s="68" t="s">
        <v>536</v>
      </c>
      <c r="L11" s="62"/>
      <c r="M11" s="62"/>
      <c r="N11" s="62"/>
      <c r="O11" s="69"/>
      <c r="P11" s="46"/>
    </row>
    <row r="12" spans="1:17" x14ac:dyDescent="0.3">
      <c r="A12" s="1">
        <f t="shared" si="0"/>
        <v>11</v>
      </c>
      <c r="B12" s="20" t="s">
        <v>543</v>
      </c>
      <c r="C12" s="16"/>
      <c r="D12" s="31"/>
      <c r="E12" s="27"/>
      <c r="F12" s="38">
        <f t="shared" ref="F12:F34" si="4">F$2</f>
        <v>15</v>
      </c>
      <c r="G12" s="38">
        <f t="shared" ref="G12:H67" si="5">G$2</f>
        <v>1</v>
      </c>
      <c r="H12" s="76">
        <f t="shared" si="2"/>
        <v>0</v>
      </c>
      <c r="I12" s="53">
        <f t="shared" si="3"/>
        <v>96.850000000000009</v>
      </c>
      <c r="J12" s="45"/>
      <c r="K12" s="68" t="s">
        <v>536</v>
      </c>
      <c r="L12" s="62"/>
      <c r="M12" s="62"/>
      <c r="N12" s="62"/>
      <c r="O12" s="69"/>
      <c r="P12" s="46"/>
    </row>
    <row r="13" spans="1:17" x14ac:dyDescent="0.3">
      <c r="A13" s="1">
        <f t="shared" si="0"/>
        <v>12</v>
      </c>
      <c r="B13" s="20" t="s">
        <v>544</v>
      </c>
      <c r="C13" s="16"/>
      <c r="D13" s="31"/>
      <c r="E13" s="27"/>
      <c r="F13" s="38">
        <f t="shared" si="4"/>
        <v>15</v>
      </c>
      <c r="G13" s="38">
        <f t="shared" si="5"/>
        <v>1</v>
      </c>
      <c r="H13" s="76">
        <f t="shared" si="2"/>
        <v>0</v>
      </c>
      <c r="I13" s="53">
        <f t="shared" si="3"/>
        <v>96.850000000000009</v>
      </c>
      <c r="J13" s="45"/>
      <c r="K13" s="68" t="s">
        <v>536</v>
      </c>
      <c r="L13" s="62"/>
      <c r="M13" s="62"/>
      <c r="N13" s="62"/>
      <c r="O13" s="69"/>
      <c r="P13" s="46"/>
    </row>
    <row r="14" spans="1:17" x14ac:dyDescent="0.3">
      <c r="A14" s="1">
        <f t="shared" si="0"/>
        <v>13</v>
      </c>
      <c r="B14" s="20" t="s">
        <v>545</v>
      </c>
      <c r="C14" s="16"/>
      <c r="D14" s="31"/>
      <c r="E14" s="27"/>
      <c r="F14" s="38">
        <f t="shared" si="4"/>
        <v>15</v>
      </c>
      <c r="G14" s="38">
        <f t="shared" si="5"/>
        <v>1</v>
      </c>
      <c r="H14" s="76">
        <f t="shared" si="2"/>
        <v>0</v>
      </c>
      <c r="I14" s="53">
        <f t="shared" si="3"/>
        <v>96.850000000000009</v>
      </c>
      <c r="J14" s="45"/>
      <c r="K14" s="68" t="s">
        <v>536</v>
      </c>
      <c r="L14" s="62"/>
      <c r="M14" s="62"/>
      <c r="N14" s="62"/>
      <c r="O14" s="69"/>
      <c r="P14" s="46"/>
    </row>
    <row r="15" spans="1:17" x14ac:dyDescent="0.3">
      <c r="A15" s="1">
        <f t="shared" si="0"/>
        <v>14</v>
      </c>
      <c r="B15" s="20" t="s">
        <v>546</v>
      </c>
      <c r="C15" s="16"/>
      <c r="D15" s="31"/>
      <c r="E15" s="27"/>
      <c r="F15" s="38">
        <f t="shared" si="4"/>
        <v>15</v>
      </c>
      <c r="G15" s="38">
        <f t="shared" si="5"/>
        <v>1</v>
      </c>
      <c r="H15" s="76">
        <f t="shared" si="2"/>
        <v>0</v>
      </c>
      <c r="I15" s="53">
        <f t="shared" si="3"/>
        <v>96.850000000000009</v>
      </c>
      <c r="J15" s="45"/>
      <c r="K15" s="68" t="s">
        <v>536</v>
      </c>
      <c r="L15" s="62"/>
      <c r="M15" s="62"/>
      <c r="N15" s="62"/>
      <c r="O15" s="69"/>
      <c r="P15" s="46"/>
    </row>
    <row r="16" spans="1:17" x14ac:dyDescent="0.3">
      <c r="A16" s="1">
        <f t="shared" si="0"/>
        <v>15</v>
      </c>
      <c r="B16" s="20" t="s">
        <v>547</v>
      </c>
      <c r="C16" s="16"/>
      <c r="D16" s="31"/>
      <c r="E16" s="27"/>
      <c r="F16" s="38">
        <f t="shared" si="4"/>
        <v>15</v>
      </c>
      <c r="G16" s="38">
        <f t="shared" si="5"/>
        <v>1</v>
      </c>
      <c r="H16" s="76">
        <f t="shared" si="2"/>
        <v>0</v>
      </c>
      <c r="I16" s="53">
        <f t="shared" si="3"/>
        <v>96.850000000000009</v>
      </c>
      <c r="J16" s="45"/>
      <c r="K16" s="68" t="s">
        <v>536</v>
      </c>
      <c r="L16" s="62"/>
      <c r="M16" s="62"/>
      <c r="N16" s="62"/>
      <c r="O16" s="69"/>
      <c r="P16" s="46"/>
    </row>
    <row r="17" spans="1:16" x14ac:dyDescent="0.3">
      <c r="A17" s="1">
        <f t="shared" si="0"/>
        <v>16</v>
      </c>
      <c r="B17" s="20" t="s">
        <v>548</v>
      </c>
      <c r="C17" s="16"/>
      <c r="D17" s="31"/>
      <c r="E17" s="27"/>
      <c r="F17" s="38">
        <f t="shared" si="4"/>
        <v>15</v>
      </c>
      <c r="G17" s="38">
        <f t="shared" si="5"/>
        <v>1</v>
      </c>
      <c r="H17" s="76">
        <f t="shared" si="2"/>
        <v>0</v>
      </c>
      <c r="I17" s="53">
        <f t="shared" si="3"/>
        <v>96.850000000000009</v>
      </c>
      <c r="J17" s="45"/>
      <c r="K17" s="68" t="s">
        <v>536</v>
      </c>
      <c r="L17" s="62"/>
      <c r="M17" s="62"/>
      <c r="N17" s="62"/>
      <c r="O17" s="69"/>
      <c r="P17" s="46"/>
    </row>
    <row r="18" spans="1:16" x14ac:dyDescent="0.3">
      <c r="A18" s="1">
        <f t="shared" si="0"/>
        <v>17</v>
      </c>
      <c r="B18" s="20" t="s">
        <v>549</v>
      </c>
      <c r="C18" s="16"/>
      <c r="D18" s="31"/>
      <c r="E18" s="27"/>
      <c r="F18" s="38">
        <f t="shared" si="4"/>
        <v>15</v>
      </c>
      <c r="G18" s="38">
        <f t="shared" si="5"/>
        <v>1</v>
      </c>
      <c r="H18" s="76">
        <f t="shared" si="2"/>
        <v>0</v>
      </c>
      <c r="I18" s="53">
        <f t="shared" si="3"/>
        <v>96.850000000000009</v>
      </c>
      <c r="J18" s="45"/>
      <c r="K18" s="68" t="s">
        <v>536</v>
      </c>
      <c r="L18" s="62"/>
      <c r="M18" s="62"/>
      <c r="N18" s="62"/>
      <c r="O18" s="69"/>
      <c r="P18" s="46"/>
    </row>
    <row r="19" spans="1:16" x14ac:dyDescent="0.3">
      <c r="A19" s="1">
        <f t="shared" si="0"/>
        <v>18</v>
      </c>
      <c r="B19" s="20" t="s">
        <v>550</v>
      </c>
      <c r="C19" s="16"/>
      <c r="D19" s="31"/>
      <c r="E19" s="27"/>
      <c r="F19" s="38">
        <f t="shared" si="4"/>
        <v>15</v>
      </c>
      <c r="G19" s="38">
        <f t="shared" si="5"/>
        <v>1</v>
      </c>
      <c r="H19" s="76">
        <f t="shared" si="2"/>
        <v>0</v>
      </c>
      <c r="I19" s="53">
        <f t="shared" si="3"/>
        <v>96.850000000000009</v>
      </c>
      <c r="J19" s="45"/>
      <c r="K19" s="68" t="s">
        <v>536</v>
      </c>
      <c r="L19" s="62"/>
      <c r="M19" s="62"/>
      <c r="N19" s="62"/>
      <c r="O19" s="69"/>
      <c r="P19" s="46"/>
    </row>
    <row r="20" spans="1:16" x14ac:dyDescent="0.3">
      <c r="A20" s="1">
        <f t="shared" si="0"/>
        <v>19</v>
      </c>
      <c r="B20" s="20" t="s">
        <v>551</v>
      </c>
      <c r="C20" s="16"/>
      <c r="D20" s="31"/>
      <c r="E20" s="27"/>
      <c r="F20" s="38">
        <f t="shared" si="4"/>
        <v>15</v>
      </c>
      <c r="G20" s="38">
        <f t="shared" si="5"/>
        <v>1</v>
      </c>
      <c r="H20" s="76">
        <f t="shared" si="2"/>
        <v>0</v>
      </c>
      <c r="I20" s="53">
        <f t="shared" si="3"/>
        <v>96.850000000000009</v>
      </c>
      <c r="J20" s="45"/>
      <c r="K20" s="68" t="s">
        <v>536</v>
      </c>
      <c r="L20" s="62"/>
      <c r="M20" s="62"/>
      <c r="N20" s="62"/>
      <c r="O20" s="69"/>
      <c r="P20" s="46"/>
    </row>
    <row r="21" spans="1:16" x14ac:dyDescent="0.3">
      <c r="A21" s="1">
        <f t="shared" si="0"/>
        <v>20</v>
      </c>
      <c r="B21" s="20" t="s">
        <v>552</v>
      </c>
      <c r="C21" s="16"/>
      <c r="D21" s="31"/>
      <c r="E21" s="27"/>
      <c r="F21" s="38">
        <f t="shared" si="4"/>
        <v>15</v>
      </c>
      <c r="G21" s="38">
        <f t="shared" si="5"/>
        <v>1</v>
      </c>
      <c r="H21" s="76">
        <f t="shared" si="2"/>
        <v>0</v>
      </c>
      <c r="I21" s="53">
        <f t="shared" si="3"/>
        <v>96.850000000000009</v>
      </c>
      <c r="J21" s="45"/>
      <c r="K21" s="68" t="s">
        <v>536</v>
      </c>
      <c r="L21" s="62"/>
      <c r="M21" s="62"/>
      <c r="N21" s="62"/>
      <c r="O21" s="69"/>
      <c r="P21" s="46"/>
    </row>
    <row r="22" spans="1:16" x14ac:dyDescent="0.3">
      <c r="A22" s="1">
        <f t="shared" si="0"/>
        <v>21</v>
      </c>
      <c r="B22" s="20" t="s">
        <v>553</v>
      </c>
      <c r="C22" s="16"/>
      <c r="D22" s="31"/>
      <c r="E22" s="27"/>
      <c r="F22" s="38">
        <f t="shared" si="4"/>
        <v>15</v>
      </c>
      <c r="G22" s="38">
        <f t="shared" si="5"/>
        <v>1</v>
      </c>
      <c r="H22" s="76">
        <f t="shared" si="2"/>
        <v>0</v>
      </c>
      <c r="I22" s="53">
        <f t="shared" si="3"/>
        <v>96.850000000000009</v>
      </c>
      <c r="J22" s="45"/>
      <c r="K22" s="68" t="s">
        <v>536</v>
      </c>
      <c r="L22" s="62"/>
      <c r="M22" s="62"/>
      <c r="N22" s="62"/>
      <c r="O22" s="69"/>
      <c r="P22" s="46"/>
    </row>
    <row r="23" spans="1:16" x14ac:dyDescent="0.3">
      <c r="A23" s="1">
        <f t="shared" si="0"/>
        <v>22</v>
      </c>
      <c r="B23" s="20" t="s">
        <v>554</v>
      </c>
      <c r="C23" s="16"/>
      <c r="D23" s="31"/>
      <c r="E23" s="27"/>
      <c r="F23" s="38">
        <f t="shared" si="1"/>
        <v>15</v>
      </c>
      <c r="G23" s="38">
        <f t="shared" si="2"/>
        <v>1</v>
      </c>
      <c r="H23" s="76">
        <f t="shared" si="2"/>
        <v>0</v>
      </c>
      <c r="I23" s="53">
        <f t="shared" si="3"/>
        <v>96.850000000000009</v>
      </c>
      <c r="J23" s="45"/>
      <c r="K23" s="68" t="s">
        <v>536</v>
      </c>
      <c r="L23" s="62"/>
      <c r="M23" s="62"/>
      <c r="N23" s="62"/>
      <c r="O23" s="69"/>
      <c r="P23" s="46"/>
    </row>
    <row r="24" spans="1:16" x14ac:dyDescent="0.3">
      <c r="A24" s="1">
        <f t="shared" si="0"/>
        <v>23</v>
      </c>
      <c r="B24" s="20" t="s">
        <v>555</v>
      </c>
      <c r="C24" s="16"/>
      <c r="D24" s="31"/>
      <c r="E24" s="27"/>
      <c r="F24" s="38">
        <f t="shared" si="1"/>
        <v>15</v>
      </c>
      <c r="G24" s="38">
        <f t="shared" si="2"/>
        <v>1</v>
      </c>
      <c r="H24" s="76">
        <f t="shared" si="2"/>
        <v>0</v>
      </c>
      <c r="I24" s="53">
        <f t="shared" si="3"/>
        <v>96.850000000000009</v>
      </c>
      <c r="J24" s="45"/>
      <c r="K24" s="68" t="s">
        <v>536</v>
      </c>
      <c r="L24" s="62"/>
      <c r="M24" s="62"/>
      <c r="N24" s="62"/>
      <c r="O24" s="69"/>
      <c r="P24" s="46"/>
    </row>
    <row r="25" spans="1:16" x14ac:dyDescent="0.3">
      <c r="A25" s="1">
        <f t="shared" si="0"/>
        <v>24</v>
      </c>
      <c r="B25" s="21" t="s">
        <v>556</v>
      </c>
      <c r="C25" s="16"/>
      <c r="D25" s="31"/>
      <c r="E25" s="27"/>
      <c r="F25" s="38">
        <f t="shared" si="1"/>
        <v>15</v>
      </c>
      <c r="G25" s="38">
        <f t="shared" si="2"/>
        <v>1</v>
      </c>
      <c r="H25" s="76">
        <f t="shared" si="2"/>
        <v>0</v>
      </c>
      <c r="I25" s="53">
        <f t="shared" si="3"/>
        <v>96.850000000000009</v>
      </c>
      <c r="J25" s="45"/>
      <c r="K25" s="68" t="s">
        <v>536</v>
      </c>
      <c r="L25" s="62"/>
      <c r="M25" s="62"/>
      <c r="N25" s="62"/>
      <c r="O25" s="69"/>
      <c r="P25" s="46"/>
    </row>
    <row r="26" spans="1:16" x14ac:dyDescent="0.3">
      <c r="A26" s="1">
        <f t="shared" si="0"/>
        <v>25</v>
      </c>
      <c r="B26" s="21" t="s">
        <v>557</v>
      </c>
      <c r="C26" s="16" t="s">
        <v>281</v>
      </c>
      <c r="D26" s="31"/>
      <c r="E26" s="27">
        <v>10000</v>
      </c>
      <c r="F26" s="38">
        <f t="shared" si="1"/>
        <v>15</v>
      </c>
      <c r="G26" s="38">
        <f t="shared" si="2"/>
        <v>1</v>
      </c>
      <c r="H26" s="76">
        <f t="shared" si="2"/>
        <v>0</v>
      </c>
      <c r="I26" s="53">
        <f t="shared" si="3"/>
        <v>96.850000000000009</v>
      </c>
      <c r="J26" s="31"/>
      <c r="K26" s="84">
        <v>1000000</v>
      </c>
      <c r="L26" s="38">
        <f>F$2</f>
        <v>15</v>
      </c>
      <c r="M26" s="38">
        <f t="shared" ref="M26:M31" si="6">M$2</f>
        <v>1</v>
      </c>
      <c r="N26" s="39">
        <f>M26*0.1</f>
        <v>0.1</v>
      </c>
      <c r="O26" s="85">
        <f t="shared" ref="O26:O67" si="7">149*(L26/60+0.4*M26+0.7*N26)</f>
        <v>107.28</v>
      </c>
      <c r="P26" s="31"/>
    </row>
    <row r="27" spans="1:16" x14ac:dyDescent="0.3">
      <c r="A27" s="1">
        <f t="shared" si="0"/>
        <v>26</v>
      </c>
      <c r="B27" s="21" t="s">
        <v>558</v>
      </c>
      <c r="C27" s="16"/>
      <c r="D27" s="31"/>
      <c r="E27" s="27"/>
      <c r="F27" s="40">
        <v>30</v>
      </c>
      <c r="G27" s="38">
        <f t="shared" si="2"/>
        <v>1</v>
      </c>
      <c r="H27" s="76">
        <f t="shared" si="2"/>
        <v>0</v>
      </c>
      <c r="I27" s="53">
        <f t="shared" si="3"/>
        <v>134.1</v>
      </c>
      <c r="J27" s="45"/>
      <c r="K27" s="68" t="s">
        <v>536</v>
      </c>
      <c r="L27" s="62"/>
      <c r="M27" s="62"/>
      <c r="N27" s="62"/>
      <c r="O27" s="69"/>
      <c r="P27" s="46"/>
    </row>
    <row r="28" spans="1:16" x14ac:dyDescent="0.3">
      <c r="A28" s="1">
        <f t="shared" si="0"/>
        <v>27</v>
      </c>
      <c r="B28" s="21" t="s">
        <v>559</v>
      </c>
      <c r="C28" s="16"/>
      <c r="D28" s="31"/>
      <c r="E28" s="27"/>
      <c r="F28" s="38">
        <f>F$2</f>
        <v>15</v>
      </c>
      <c r="G28" s="38">
        <f t="shared" si="2"/>
        <v>1</v>
      </c>
      <c r="H28" s="76">
        <f t="shared" si="2"/>
        <v>0</v>
      </c>
      <c r="I28" s="53">
        <f t="shared" si="3"/>
        <v>96.850000000000009</v>
      </c>
      <c r="J28" s="31"/>
      <c r="K28" s="86"/>
      <c r="L28" s="38">
        <f>F$2</f>
        <v>15</v>
      </c>
      <c r="M28" s="38">
        <f t="shared" si="6"/>
        <v>1</v>
      </c>
      <c r="N28" s="39">
        <f>M28*0.1</f>
        <v>0.1</v>
      </c>
      <c r="O28" s="85">
        <f t="shared" si="7"/>
        <v>107.28</v>
      </c>
      <c r="P28" s="31"/>
    </row>
    <row r="29" spans="1:16" x14ac:dyDescent="0.3">
      <c r="A29" s="1">
        <f t="shared" si="0"/>
        <v>28</v>
      </c>
      <c r="B29" s="21" t="s">
        <v>560</v>
      </c>
      <c r="C29" s="16" t="s">
        <v>281</v>
      </c>
      <c r="D29" s="31"/>
      <c r="E29" s="26">
        <v>1000</v>
      </c>
      <c r="F29" s="38">
        <f t="shared" si="4"/>
        <v>15</v>
      </c>
      <c r="G29" s="38">
        <f t="shared" si="2"/>
        <v>1</v>
      </c>
      <c r="H29" s="76">
        <f t="shared" si="2"/>
        <v>0</v>
      </c>
      <c r="I29" s="53">
        <f t="shared" si="3"/>
        <v>96.850000000000009</v>
      </c>
      <c r="J29" s="31"/>
      <c r="K29" s="84">
        <v>100000</v>
      </c>
      <c r="L29" s="40">
        <v>300</v>
      </c>
      <c r="M29" s="38">
        <v>5</v>
      </c>
      <c r="N29" s="41">
        <f>M29*0.1</f>
        <v>0.5</v>
      </c>
      <c r="O29" s="85">
        <f t="shared" si="7"/>
        <v>1095.1499999999999</v>
      </c>
      <c r="P29" s="31"/>
    </row>
    <row r="30" spans="1:16" x14ac:dyDescent="0.3">
      <c r="A30" s="1">
        <f t="shared" si="0"/>
        <v>29</v>
      </c>
      <c r="B30" s="21" t="s">
        <v>561</v>
      </c>
      <c r="C30" s="16" t="s">
        <v>562</v>
      </c>
      <c r="D30" s="31"/>
      <c r="E30" s="28">
        <f>240*200</f>
        <v>48000</v>
      </c>
      <c r="F30" s="38">
        <f>F$2</f>
        <v>15</v>
      </c>
      <c r="G30" s="38">
        <f>G$2</f>
        <v>1</v>
      </c>
      <c r="H30" s="76">
        <f t="shared" si="2"/>
        <v>0</v>
      </c>
      <c r="I30" s="53">
        <f t="shared" si="3"/>
        <v>96.850000000000009</v>
      </c>
      <c r="J30" s="45"/>
      <c r="K30" s="68" t="s">
        <v>536</v>
      </c>
      <c r="L30" s="62"/>
      <c r="M30" s="62"/>
      <c r="N30" s="62"/>
      <c r="O30" s="69"/>
      <c r="P30" s="46"/>
    </row>
    <row r="31" spans="1:16" x14ac:dyDescent="0.3">
      <c r="A31" s="1">
        <f t="shared" si="0"/>
        <v>30</v>
      </c>
      <c r="B31" s="21" t="s">
        <v>563</v>
      </c>
      <c r="C31" s="16" t="s">
        <v>281</v>
      </c>
      <c r="D31" s="31"/>
      <c r="E31" s="26">
        <v>500</v>
      </c>
      <c r="F31" s="38">
        <f t="shared" si="4"/>
        <v>15</v>
      </c>
      <c r="G31" s="38">
        <f t="shared" si="2"/>
        <v>1</v>
      </c>
      <c r="H31" s="76">
        <f t="shared" si="2"/>
        <v>0</v>
      </c>
      <c r="I31" s="53">
        <f t="shared" si="3"/>
        <v>96.850000000000009</v>
      </c>
      <c r="J31" s="31"/>
      <c r="K31" s="84">
        <v>500</v>
      </c>
      <c r="L31" s="38">
        <f>F$2</f>
        <v>15</v>
      </c>
      <c r="M31" s="38">
        <f t="shared" si="6"/>
        <v>1</v>
      </c>
      <c r="N31" s="41">
        <f>M31*0.1</f>
        <v>0.1</v>
      </c>
      <c r="O31" s="85">
        <f t="shared" si="7"/>
        <v>107.28</v>
      </c>
      <c r="P31" s="31"/>
    </row>
    <row r="32" spans="1:16" x14ac:dyDescent="0.3">
      <c r="A32" s="1">
        <f t="shared" si="0"/>
        <v>31</v>
      </c>
      <c r="B32" s="21" t="s">
        <v>564</v>
      </c>
      <c r="C32" s="16" t="s">
        <v>565</v>
      </c>
      <c r="D32" s="31"/>
      <c r="E32" s="29">
        <v>15</v>
      </c>
      <c r="F32" s="38">
        <f t="shared" si="4"/>
        <v>15</v>
      </c>
      <c r="G32" s="38">
        <f t="shared" si="2"/>
        <v>1</v>
      </c>
      <c r="H32" s="76">
        <f t="shared" si="2"/>
        <v>0</v>
      </c>
      <c r="I32" s="53">
        <f t="shared" si="3"/>
        <v>96.850000000000009</v>
      </c>
      <c r="J32" s="31"/>
      <c r="K32" s="87">
        <v>15</v>
      </c>
      <c r="L32" s="38">
        <f>F$2</f>
        <v>15</v>
      </c>
      <c r="M32" s="38">
        <f t="shared" ref="M32" si="8">M$2</f>
        <v>1</v>
      </c>
      <c r="N32" s="41">
        <f>M32*0.1</f>
        <v>0.1</v>
      </c>
      <c r="O32" s="85">
        <f t="shared" si="7"/>
        <v>107.28</v>
      </c>
      <c r="P32" s="31"/>
    </row>
    <row r="33" spans="1:16" x14ac:dyDescent="0.3">
      <c r="A33" s="1">
        <f t="shared" si="0"/>
        <v>32</v>
      </c>
      <c r="B33" s="21" t="s">
        <v>566</v>
      </c>
      <c r="C33" s="16"/>
      <c r="D33" s="31"/>
      <c r="E33" s="27"/>
      <c r="F33" s="38">
        <f t="shared" si="4"/>
        <v>15</v>
      </c>
      <c r="G33" s="38">
        <f t="shared" si="5"/>
        <v>1</v>
      </c>
      <c r="H33" s="76">
        <f t="shared" si="5"/>
        <v>0</v>
      </c>
      <c r="I33" s="53">
        <f t="shared" si="3"/>
        <v>96.850000000000009</v>
      </c>
      <c r="J33" s="45"/>
      <c r="K33" s="68" t="s">
        <v>536</v>
      </c>
      <c r="L33" s="62"/>
      <c r="M33" s="62"/>
      <c r="N33" s="62"/>
      <c r="O33" s="69"/>
      <c r="P33" s="46"/>
    </row>
    <row r="34" spans="1:16" x14ac:dyDescent="0.3">
      <c r="A34" s="1">
        <f t="shared" si="0"/>
        <v>33</v>
      </c>
      <c r="B34" s="21" t="s">
        <v>567</v>
      </c>
      <c r="C34" s="16"/>
      <c r="D34" s="31"/>
      <c r="E34" s="27"/>
      <c r="F34" s="38">
        <f t="shared" si="4"/>
        <v>15</v>
      </c>
      <c r="G34" s="38">
        <f t="shared" si="5"/>
        <v>1</v>
      </c>
      <c r="H34" s="76">
        <f t="shared" si="5"/>
        <v>0</v>
      </c>
      <c r="I34" s="53">
        <f t="shared" si="3"/>
        <v>96.850000000000009</v>
      </c>
      <c r="J34" s="45"/>
      <c r="K34" s="68" t="s">
        <v>536</v>
      </c>
      <c r="L34" s="62"/>
      <c r="M34" s="62"/>
      <c r="N34" s="62"/>
      <c r="O34" s="69"/>
      <c r="P34" s="46"/>
    </row>
    <row r="35" spans="1:16" x14ac:dyDescent="0.3">
      <c r="A35" s="1">
        <f t="shared" si="0"/>
        <v>34</v>
      </c>
      <c r="B35" s="22" t="s">
        <v>568</v>
      </c>
      <c r="C35" s="16"/>
      <c r="D35" s="31"/>
      <c r="E35" s="27"/>
      <c r="F35" s="40">
        <v>60</v>
      </c>
      <c r="G35" s="38">
        <f t="shared" si="5"/>
        <v>1</v>
      </c>
      <c r="H35" s="76">
        <f t="shared" si="5"/>
        <v>0</v>
      </c>
      <c r="I35" s="53">
        <f t="shared" si="3"/>
        <v>208.6</v>
      </c>
      <c r="J35" s="45"/>
      <c r="K35" s="68" t="s">
        <v>536</v>
      </c>
      <c r="L35" s="62"/>
      <c r="M35" s="62"/>
      <c r="N35" s="62"/>
      <c r="O35" s="69"/>
      <c r="P35" s="46"/>
    </row>
    <row r="36" spans="1:16" x14ac:dyDescent="0.3">
      <c r="A36" s="1">
        <f t="shared" si="0"/>
        <v>35</v>
      </c>
      <c r="B36" s="22" t="s">
        <v>569</v>
      </c>
      <c r="C36" s="16"/>
      <c r="D36" s="31"/>
      <c r="E36" s="27"/>
      <c r="F36" s="40">
        <v>60</v>
      </c>
      <c r="G36" s="38">
        <f t="shared" si="5"/>
        <v>1</v>
      </c>
      <c r="H36" s="76">
        <f t="shared" si="5"/>
        <v>0</v>
      </c>
      <c r="I36" s="53">
        <f t="shared" si="3"/>
        <v>208.6</v>
      </c>
      <c r="J36" s="45"/>
      <c r="K36" s="68" t="s">
        <v>536</v>
      </c>
      <c r="L36" s="62"/>
      <c r="M36" s="62"/>
      <c r="N36" s="62"/>
      <c r="O36" s="69"/>
      <c r="P36" s="46"/>
    </row>
    <row r="37" spans="1:16" x14ac:dyDescent="0.3">
      <c r="A37" s="1">
        <f t="shared" si="0"/>
        <v>36</v>
      </c>
      <c r="B37" s="20" t="s">
        <v>570</v>
      </c>
      <c r="C37" s="16" t="s">
        <v>571</v>
      </c>
      <c r="D37" s="31"/>
      <c r="E37" s="37">
        <v>0.5</v>
      </c>
      <c r="F37" s="38">
        <f>F$2</f>
        <v>15</v>
      </c>
      <c r="G37" s="38">
        <f t="shared" si="5"/>
        <v>1</v>
      </c>
      <c r="H37" s="76">
        <f t="shared" si="5"/>
        <v>0</v>
      </c>
      <c r="I37" s="53">
        <f t="shared" si="3"/>
        <v>96.850000000000009</v>
      </c>
      <c r="J37" s="31"/>
      <c r="K37" s="87">
        <v>100</v>
      </c>
      <c r="L37" s="40" t="s">
        <v>572</v>
      </c>
      <c r="M37" s="42">
        <v>5</v>
      </c>
      <c r="N37" s="41">
        <f>M37*0.1</f>
        <v>0.5</v>
      </c>
      <c r="O37" s="85" t="e">
        <f t="shared" si="7"/>
        <v>#VALUE!</v>
      </c>
      <c r="P37" s="31"/>
    </row>
    <row r="38" spans="1:16" x14ac:dyDescent="0.3">
      <c r="A38" s="1">
        <f t="shared" si="0"/>
        <v>37</v>
      </c>
      <c r="B38" s="20" t="s">
        <v>573</v>
      </c>
      <c r="C38" s="16" t="s">
        <v>574</v>
      </c>
      <c r="D38" s="31"/>
      <c r="E38" s="28">
        <v>1000</v>
      </c>
      <c r="F38" s="38">
        <v>0</v>
      </c>
      <c r="G38" s="38">
        <v>0</v>
      </c>
      <c r="H38" s="76">
        <f t="shared" si="5"/>
        <v>0</v>
      </c>
      <c r="I38" s="53">
        <f t="shared" si="3"/>
        <v>0</v>
      </c>
      <c r="J38" s="31"/>
      <c r="K38" s="88">
        <v>100000</v>
      </c>
      <c r="L38" s="40" t="s">
        <v>575</v>
      </c>
      <c r="M38" s="42">
        <v>5</v>
      </c>
      <c r="N38" s="41">
        <f>M38*0.1</f>
        <v>0.5</v>
      </c>
      <c r="O38" s="85" t="e">
        <f t="shared" si="7"/>
        <v>#VALUE!</v>
      </c>
      <c r="P38" s="31"/>
    </row>
    <row r="39" spans="1:16" x14ac:dyDescent="0.3">
      <c r="A39" s="1">
        <f t="shared" si="0"/>
        <v>38</v>
      </c>
      <c r="B39" s="20" t="s">
        <v>576</v>
      </c>
      <c r="C39" s="16" t="s">
        <v>571</v>
      </c>
      <c r="D39" s="31"/>
      <c r="E39" s="37">
        <v>0.5</v>
      </c>
      <c r="F39" s="38">
        <f>F$2</f>
        <v>15</v>
      </c>
      <c r="G39" s="38">
        <f t="shared" si="5"/>
        <v>1</v>
      </c>
      <c r="H39" s="76">
        <f t="shared" si="5"/>
        <v>0</v>
      </c>
      <c r="I39" s="53">
        <f t="shared" si="3"/>
        <v>96.850000000000009</v>
      </c>
      <c r="J39" s="31"/>
      <c r="K39" s="87">
        <v>100</v>
      </c>
      <c r="L39" s="40" t="s">
        <v>572</v>
      </c>
      <c r="M39" s="42">
        <v>5</v>
      </c>
      <c r="N39" s="41">
        <f>M39*0.1</f>
        <v>0.5</v>
      </c>
      <c r="O39" s="85" t="e">
        <f t="shared" si="7"/>
        <v>#VALUE!</v>
      </c>
      <c r="P39" s="31"/>
    </row>
    <row r="40" spans="1:16" x14ac:dyDescent="0.3">
      <c r="A40" s="1">
        <f t="shared" si="0"/>
        <v>39</v>
      </c>
      <c r="B40" s="23" t="s">
        <v>577</v>
      </c>
      <c r="C40" s="16"/>
      <c r="D40" s="31"/>
      <c r="E40" s="27"/>
      <c r="F40" s="38">
        <f>F$2</f>
        <v>15</v>
      </c>
      <c r="G40" s="38">
        <f t="shared" si="5"/>
        <v>1</v>
      </c>
      <c r="H40" s="76">
        <f t="shared" si="5"/>
        <v>0</v>
      </c>
      <c r="I40" s="53">
        <f t="shared" si="3"/>
        <v>96.850000000000009</v>
      </c>
      <c r="J40" s="31"/>
      <c r="K40" s="87">
        <v>100</v>
      </c>
      <c r="L40" s="40">
        <v>20</v>
      </c>
      <c r="M40" s="42">
        <v>3</v>
      </c>
      <c r="N40" s="41">
        <f>M40*0.1</f>
        <v>0.30000000000000004</v>
      </c>
      <c r="O40" s="85">
        <f t="shared" ref="O40" si="9">149*(L40/60+0.4*M40+0.7*N40)</f>
        <v>259.75666666666666</v>
      </c>
      <c r="P40" s="31"/>
    </row>
    <row r="41" spans="1:16" x14ac:dyDescent="0.3">
      <c r="A41" s="1">
        <f t="shared" si="0"/>
        <v>40</v>
      </c>
      <c r="B41" s="23" t="s">
        <v>578</v>
      </c>
      <c r="C41" s="16"/>
      <c r="D41" s="31"/>
      <c r="E41" s="27"/>
      <c r="F41" s="40">
        <v>60</v>
      </c>
      <c r="G41" s="38">
        <f t="shared" si="5"/>
        <v>1</v>
      </c>
      <c r="H41" s="76">
        <f t="shared" si="5"/>
        <v>0</v>
      </c>
      <c r="I41" s="53">
        <f t="shared" si="3"/>
        <v>208.6</v>
      </c>
      <c r="J41" s="45"/>
      <c r="K41" s="68" t="s">
        <v>536</v>
      </c>
      <c r="L41" s="62"/>
      <c r="M41" s="62"/>
      <c r="N41" s="62"/>
      <c r="O41" s="69"/>
      <c r="P41" s="46"/>
    </row>
    <row r="42" spans="1:16" x14ac:dyDescent="0.3">
      <c r="A42" s="1">
        <f t="shared" si="0"/>
        <v>41</v>
      </c>
      <c r="B42" s="23" t="s">
        <v>579</v>
      </c>
      <c r="C42" s="16"/>
      <c r="D42" s="31"/>
      <c r="E42" s="27"/>
      <c r="F42" s="38">
        <f t="shared" ref="F42:F50" si="10">F$2</f>
        <v>15</v>
      </c>
      <c r="G42" s="38">
        <f t="shared" si="5"/>
        <v>1</v>
      </c>
      <c r="H42" s="76">
        <f t="shared" si="5"/>
        <v>0</v>
      </c>
      <c r="I42" s="53">
        <f t="shared" si="3"/>
        <v>96.850000000000009</v>
      </c>
      <c r="J42" s="45"/>
      <c r="K42" s="68" t="s">
        <v>536</v>
      </c>
      <c r="L42" s="62"/>
      <c r="M42" s="62"/>
      <c r="N42" s="62"/>
      <c r="O42" s="69"/>
      <c r="P42" s="46"/>
    </row>
    <row r="43" spans="1:16" x14ac:dyDescent="0.3">
      <c r="A43" s="1">
        <f t="shared" si="0"/>
        <v>42</v>
      </c>
      <c r="B43" s="23" t="s">
        <v>580</v>
      </c>
      <c r="C43" s="16"/>
      <c r="D43" s="31"/>
      <c r="E43" s="27"/>
      <c r="F43" s="38">
        <f t="shared" si="10"/>
        <v>15</v>
      </c>
      <c r="G43" s="38">
        <f t="shared" si="5"/>
        <v>1</v>
      </c>
      <c r="H43" s="76">
        <f t="shared" si="5"/>
        <v>0</v>
      </c>
      <c r="I43" s="53">
        <f t="shared" si="3"/>
        <v>96.850000000000009</v>
      </c>
      <c r="J43" s="31"/>
      <c r="K43" s="86"/>
      <c r="L43" s="38">
        <f>F$2</f>
        <v>15</v>
      </c>
      <c r="M43" s="38">
        <f t="shared" ref="M43:M47" si="11">M$2</f>
        <v>1</v>
      </c>
      <c r="N43" s="41">
        <f>M43*0.1</f>
        <v>0.1</v>
      </c>
      <c r="O43" s="85">
        <f t="shared" si="7"/>
        <v>107.28</v>
      </c>
      <c r="P43" s="31"/>
    </row>
    <row r="44" spans="1:16" x14ac:dyDescent="0.3">
      <c r="A44" s="1">
        <f t="shared" si="0"/>
        <v>43</v>
      </c>
      <c r="B44" s="23" t="s">
        <v>581</v>
      </c>
      <c r="C44" s="16"/>
      <c r="D44" s="31"/>
      <c r="E44" s="27"/>
      <c r="F44" s="38">
        <f t="shared" si="10"/>
        <v>15</v>
      </c>
      <c r="G44" s="38">
        <f t="shared" si="5"/>
        <v>1</v>
      </c>
      <c r="H44" s="76">
        <f t="shared" si="5"/>
        <v>0</v>
      </c>
      <c r="I44" s="53">
        <f t="shared" si="3"/>
        <v>96.850000000000009</v>
      </c>
      <c r="J44" s="31"/>
      <c r="K44" s="86"/>
      <c r="L44" s="38">
        <f>F$2</f>
        <v>15</v>
      </c>
      <c r="M44" s="38">
        <f t="shared" si="11"/>
        <v>1</v>
      </c>
      <c r="N44" s="41">
        <f>M44*0.1</f>
        <v>0.1</v>
      </c>
      <c r="O44" s="85">
        <f t="shared" si="7"/>
        <v>107.28</v>
      </c>
      <c r="P44" s="31"/>
    </row>
    <row r="45" spans="1:16" x14ac:dyDescent="0.3">
      <c r="A45" s="1">
        <f t="shared" si="0"/>
        <v>44</v>
      </c>
      <c r="B45" s="20" t="s">
        <v>582</v>
      </c>
      <c r="C45" s="16"/>
      <c r="D45" s="31"/>
      <c r="E45" s="27"/>
      <c r="F45" s="38">
        <f t="shared" si="10"/>
        <v>15</v>
      </c>
      <c r="G45" s="38">
        <f t="shared" si="5"/>
        <v>1</v>
      </c>
      <c r="H45" s="76">
        <f t="shared" si="5"/>
        <v>0</v>
      </c>
      <c r="I45" s="53">
        <f t="shared" si="3"/>
        <v>96.850000000000009</v>
      </c>
      <c r="J45" s="45"/>
      <c r="K45" s="68" t="s">
        <v>536</v>
      </c>
      <c r="L45" s="62"/>
      <c r="M45" s="62"/>
      <c r="N45" s="62"/>
      <c r="O45" s="69"/>
      <c r="P45" s="46"/>
    </row>
    <row r="46" spans="1:16" x14ac:dyDescent="0.3">
      <c r="A46" s="1">
        <f t="shared" si="0"/>
        <v>45</v>
      </c>
      <c r="B46" s="20" t="s">
        <v>583</v>
      </c>
      <c r="C46" s="16"/>
      <c r="D46" s="31"/>
      <c r="E46" s="27"/>
      <c r="F46" s="38">
        <f t="shared" si="10"/>
        <v>15</v>
      </c>
      <c r="G46" s="38">
        <f t="shared" si="5"/>
        <v>1</v>
      </c>
      <c r="H46" s="76">
        <f t="shared" si="5"/>
        <v>0</v>
      </c>
      <c r="I46" s="53">
        <f t="shared" si="3"/>
        <v>96.850000000000009</v>
      </c>
      <c r="J46" s="45"/>
      <c r="K46" s="68" t="s">
        <v>536</v>
      </c>
      <c r="L46" s="62"/>
      <c r="M46" s="62"/>
      <c r="N46" s="62"/>
      <c r="O46" s="69"/>
      <c r="P46" s="46"/>
    </row>
    <row r="47" spans="1:16" x14ac:dyDescent="0.3">
      <c r="A47" s="1">
        <f t="shared" si="0"/>
        <v>46</v>
      </c>
      <c r="B47" s="20" t="s">
        <v>584</v>
      </c>
      <c r="C47" s="16"/>
      <c r="D47" s="31"/>
      <c r="E47" s="27"/>
      <c r="F47" s="38">
        <f t="shared" si="10"/>
        <v>15</v>
      </c>
      <c r="G47" s="38">
        <f t="shared" si="5"/>
        <v>1</v>
      </c>
      <c r="H47" s="76">
        <f t="shared" si="5"/>
        <v>0</v>
      </c>
      <c r="I47" s="53">
        <f t="shared" si="3"/>
        <v>96.850000000000009</v>
      </c>
      <c r="J47" s="31"/>
      <c r="K47" s="86"/>
      <c r="L47" s="38">
        <f>F$2</f>
        <v>15</v>
      </c>
      <c r="M47" s="38">
        <f t="shared" si="11"/>
        <v>1</v>
      </c>
      <c r="N47" s="41">
        <f t="shared" ref="N47" si="12">M47*0.1</f>
        <v>0.1</v>
      </c>
      <c r="O47" s="85">
        <f t="shared" si="7"/>
        <v>107.28</v>
      </c>
      <c r="P47" s="31"/>
    </row>
    <row r="48" spans="1:16" x14ac:dyDescent="0.3">
      <c r="A48" s="1">
        <f t="shared" si="0"/>
        <v>47</v>
      </c>
      <c r="B48" s="20" t="s">
        <v>585</v>
      </c>
      <c r="C48" s="16"/>
      <c r="D48" s="31"/>
      <c r="E48" s="27"/>
      <c r="F48" s="38">
        <f t="shared" si="10"/>
        <v>15</v>
      </c>
      <c r="G48" s="38">
        <f t="shared" si="5"/>
        <v>1</v>
      </c>
      <c r="H48" s="76">
        <f t="shared" si="5"/>
        <v>0</v>
      </c>
      <c r="I48" s="53">
        <f t="shared" si="3"/>
        <v>96.850000000000009</v>
      </c>
      <c r="J48" s="45"/>
      <c r="K48" s="68" t="s">
        <v>536</v>
      </c>
      <c r="L48" s="62"/>
      <c r="M48" s="62"/>
      <c r="N48" s="62"/>
      <c r="O48" s="69"/>
      <c r="P48" s="46"/>
    </row>
    <row r="49" spans="1:16" x14ac:dyDescent="0.3">
      <c r="A49" s="1">
        <f t="shared" si="0"/>
        <v>48</v>
      </c>
      <c r="B49" s="20" t="s">
        <v>586</v>
      </c>
      <c r="C49" s="16" t="s">
        <v>587</v>
      </c>
      <c r="D49" s="31"/>
      <c r="E49" s="27"/>
      <c r="F49" s="38">
        <f t="shared" si="10"/>
        <v>15</v>
      </c>
      <c r="G49" s="38">
        <f t="shared" si="5"/>
        <v>1</v>
      </c>
      <c r="H49" s="76">
        <f t="shared" si="5"/>
        <v>0</v>
      </c>
      <c r="I49" s="53">
        <f t="shared" si="3"/>
        <v>96.850000000000009</v>
      </c>
      <c r="J49" s="45"/>
      <c r="K49" s="68" t="s">
        <v>536</v>
      </c>
      <c r="L49" s="62"/>
      <c r="M49" s="62"/>
      <c r="N49" s="62"/>
      <c r="O49" s="69"/>
      <c r="P49" s="46"/>
    </row>
    <row r="50" spans="1:16" x14ac:dyDescent="0.3">
      <c r="A50" s="1">
        <f t="shared" si="0"/>
        <v>49</v>
      </c>
      <c r="B50" s="20" t="s">
        <v>588</v>
      </c>
      <c r="C50" s="16" t="s">
        <v>587</v>
      </c>
      <c r="D50" s="31"/>
      <c r="E50" s="27"/>
      <c r="F50" s="38">
        <f t="shared" si="10"/>
        <v>15</v>
      </c>
      <c r="G50" s="38">
        <f t="shared" si="5"/>
        <v>1</v>
      </c>
      <c r="H50" s="76">
        <f t="shared" si="5"/>
        <v>0</v>
      </c>
      <c r="I50" s="53">
        <f t="shared" si="3"/>
        <v>96.850000000000009</v>
      </c>
      <c r="J50" s="45"/>
      <c r="K50" s="68" t="s">
        <v>536</v>
      </c>
      <c r="L50" s="62"/>
      <c r="M50" s="62"/>
      <c r="N50" s="62"/>
      <c r="O50" s="69"/>
      <c r="P50" s="46"/>
    </row>
    <row r="51" spans="1:16" x14ac:dyDescent="0.3">
      <c r="A51" s="1">
        <f t="shared" si="0"/>
        <v>50</v>
      </c>
      <c r="B51" s="20" t="s">
        <v>589</v>
      </c>
      <c r="C51" s="16" t="s">
        <v>587</v>
      </c>
      <c r="D51" s="31"/>
      <c r="E51" s="27"/>
      <c r="F51" s="40">
        <v>30</v>
      </c>
      <c r="G51" s="38">
        <f t="shared" si="5"/>
        <v>1</v>
      </c>
      <c r="H51" s="76">
        <f t="shared" si="5"/>
        <v>0</v>
      </c>
      <c r="I51" s="53">
        <f t="shared" si="3"/>
        <v>134.1</v>
      </c>
      <c r="J51" s="45"/>
      <c r="K51" s="68" t="s">
        <v>536</v>
      </c>
      <c r="L51" s="62"/>
      <c r="M51" s="62"/>
      <c r="N51" s="62"/>
      <c r="O51" s="69"/>
      <c r="P51" s="46"/>
    </row>
    <row r="52" spans="1:16" x14ac:dyDescent="0.3">
      <c r="A52" s="1">
        <f t="shared" si="0"/>
        <v>51</v>
      </c>
      <c r="B52" s="24" t="s">
        <v>590</v>
      </c>
      <c r="C52" s="16" t="s">
        <v>587</v>
      </c>
      <c r="D52" s="31"/>
      <c r="E52" s="27"/>
      <c r="F52" s="38">
        <f t="shared" ref="F52:F65" si="13">F$2</f>
        <v>15</v>
      </c>
      <c r="G52" s="38">
        <f t="shared" si="5"/>
        <v>1</v>
      </c>
      <c r="H52" s="76">
        <f t="shared" si="5"/>
        <v>0</v>
      </c>
      <c r="I52" s="53">
        <f t="shared" si="3"/>
        <v>96.850000000000009</v>
      </c>
      <c r="J52" s="45"/>
      <c r="K52" s="68" t="s">
        <v>536</v>
      </c>
      <c r="L52" s="62"/>
      <c r="M52" s="62"/>
      <c r="N52" s="62"/>
      <c r="O52" s="69"/>
      <c r="P52" s="46"/>
    </row>
    <row r="53" spans="1:16" x14ac:dyDescent="0.3">
      <c r="A53" s="1">
        <f t="shared" si="0"/>
        <v>52</v>
      </c>
      <c r="B53" s="24" t="s">
        <v>591</v>
      </c>
      <c r="C53" s="16" t="s">
        <v>587</v>
      </c>
      <c r="D53" s="31"/>
      <c r="E53" s="27"/>
      <c r="F53" s="38">
        <f t="shared" si="13"/>
        <v>15</v>
      </c>
      <c r="G53" s="38">
        <f t="shared" si="5"/>
        <v>1</v>
      </c>
      <c r="H53" s="76">
        <f t="shared" si="5"/>
        <v>0</v>
      </c>
      <c r="I53" s="53">
        <f t="shared" si="3"/>
        <v>96.850000000000009</v>
      </c>
      <c r="J53" s="45"/>
      <c r="K53" s="68" t="s">
        <v>536</v>
      </c>
      <c r="L53" s="62"/>
      <c r="M53" s="62"/>
      <c r="N53" s="62"/>
      <c r="O53" s="69"/>
      <c r="P53" s="46"/>
    </row>
    <row r="54" spans="1:16" x14ac:dyDescent="0.3">
      <c r="A54" s="1">
        <f t="shared" si="0"/>
        <v>53</v>
      </c>
      <c r="B54" s="24" t="s">
        <v>592</v>
      </c>
      <c r="C54" s="16" t="s">
        <v>587</v>
      </c>
      <c r="D54" s="31"/>
      <c r="E54" s="27"/>
      <c r="F54" s="38">
        <f t="shared" si="13"/>
        <v>15</v>
      </c>
      <c r="G54" s="38">
        <f t="shared" si="5"/>
        <v>1</v>
      </c>
      <c r="H54" s="76">
        <f t="shared" si="5"/>
        <v>0</v>
      </c>
      <c r="I54" s="53">
        <f t="shared" si="3"/>
        <v>96.850000000000009</v>
      </c>
      <c r="J54" s="45"/>
      <c r="K54" s="68" t="s">
        <v>536</v>
      </c>
      <c r="L54" s="62"/>
      <c r="M54" s="62"/>
      <c r="N54" s="62"/>
      <c r="O54" s="69"/>
      <c r="P54" s="46"/>
    </row>
    <row r="55" spans="1:16" x14ac:dyDescent="0.3">
      <c r="A55" s="1">
        <f t="shared" si="0"/>
        <v>54</v>
      </c>
      <c r="B55" s="24" t="s">
        <v>593</v>
      </c>
      <c r="C55" s="16" t="s">
        <v>587</v>
      </c>
      <c r="D55" s="31"/>
      <c r="E55" s="27"/>
      <c r="F55" s="38">
        <f t="shared" si="13"/>
        <v>15</v>
      </c>
      <c r="G55" s="38">
        <f t="shared" si="5"/>
        <v>1</v>
      </c>
      <c r="H55" s="76">
        <f t="shared" si="5"/>
        <v>0</v>
      </c>
      <c r="I55" s="53">
        <f t="shared" si="3"/>
        <v>96.850000000000009</v>
      </c>
      <c r="J55" s="45"/>
      <c r="K55" s="68" t="s">
        <v>536</v>
      </c>
      <c r="L55" s="62"/>
      <c r="M55" s="62"/>
      <c r="N55" s="62"/>
      <c r="O55" s="69"/>
      <c r="P55" s="46"/>
    </row>
    <row r="56" spans="1:16" x14ac:dyDescent="0.3">
      <c r="A56" s="1">
        <f t="shared" si="0"/>
        <v>55</v>
      </c>
      <c r="B56" s="25" t="s">
        <v>594</v>
      </c>
      <c r="C56" s="16" t="s">
        <v>587</v>
      </c>
      <c r="D56" s="31"/>
      <c r="E56" s="27"/>
      <c r="F56" s="38">
        <f t="shared" si="13"/>
        <v>15</v>
      </c>
      <c r="G56" s="38">
        <f t="shared" si="5"/>
        <v>1</v>
      </c>
      <c r="H56" s="76">
        <f t="shared" si="5"/>
        <v>0</v>
      </c>
      <c r="I56" s="53">
        <f t="shared" si="3"/>
        <v>96.850000000000009</v>
      </c>
      <c r="J56" s="45"/>
      <c r="K56" s="68" t="s">
        <v>536</v>
      </c>
      <c r="L56" s="62"/>
      <c r="M56" s="62"/>
      <c r="N56" s="62"/>
      <c r="O56" s="69"/>
      <c r="P56" s="46"/>
    </row>
    <row r="57" spans="1:16" x14ac:dyDescent="0.3">
      <c r="A57" s="1">
        <f t="shared" si="0"/>
        <v>56</v>
      </c>
      <c r="B57" s="25" t="s">
        <v>595</v>
      </c>
      <c r="C57" s="16" t="s">
        <v>587</v>
      </c>
      <c r="D57" s="31"/>
      <c r="E57" s="27"/>
      <c r="F57" s="38">
        <f t="shared" si="13"/>
        <v>15</v>
      </c>
      <c r="G57" s="38">
        <f t="shared" si="5"/>
        <v>1</v>
      </c>
      <c r="H57" s="76">
        <f t="shared" si="5"/>
        <v>0</v>
      </c>
      <c r="I57" s="53">
        <f t="shared" si="3"/>
        <v>96.850000000000009</v>
      </c>
      <c r="J57" s="45"/>
      <c r="K57" s="68" t="s">
        <v>536</v>
      </c>
      <c r="L57" s="62"/>
      <c r="M57" s="62"/>
      <c r="N57" s="62"/>
      <c r="O57" s="69"/>
      <c r="P57" s="46"/>
    </row>
    <row r="58" spans="1:16" x14ac:dyDescent="0.3">
      <c r="A58" s="1">
        <f t="shared" si="0"/>
        <v>57</v>
      </c>
      <c r="B58" s="20" t="s">
        <v>596</v>
      </c>
      <c r="C58" s="16" t="s">
        <v>281</v>
      </c>
      <c r="D58" s="31"/>
      <c r="E58" s="26">
        <v>1000</v>
      </c>
      <c r="F58" s="38">
        <f t="shared" si="13"/>
        <v>15</v>
      </c>
      <c r="G58" s="38">
        <f t="shared" si="5"/>
        <v>1</v>
      </c>
      <c r="H58" s="76">
        <f t="shared" si="5"/>
        <v>0</v>
      </c>
      <c r="I58" s="53">
        <f t="shared" si="3"/>
        <v>96.850000000000009</v>
      </c>
      <c r="J58" s="31"/>
      <c r="K58" s="84">
        <v>1000000</v>
      </c>
      <c r="L58" s="42">
        <v>240</v>
      </c>
      <c r="M58" s="42">
        <v>5</v>
      </c>
      <c r="N58" s="41">
        <f>M58*0.1</f>
        <v>0.5</v>
      </c>
      <c r="O58" s="85">
        <f t="shared" si="7"/>
        <v>946.15</v>
      </c>
      <c r="P58" s="31"/>
    </row>
    <row r="59" spans="1:16" x14ac:dyDescent="0.3">
      <c r="A59" s="1">
        <f t="shared" si="0"/>
        <v>58</v>
      </c>
      <c r="B59" s="20" t="s">
        <v>597</v>
      </c>
      <c r="C59" s="16" t="s">
        <v>281</v>
      </c>
      <c r="D59" s="31"/>
      <c r="E59" s="26">
        <v>1000</v>
      </c>
      <c r="F59" s="38">
        <f t="shared" si="13"/>
        <v>15</v>
      </c>
      <c r="G59" s="38">
        <f t="shared" si="5"/>
        <v>1</v>
      </c>
      <c r="H59" s="76">
        <f t="shared" si="5"/>
        <v>0</v>
      </c>
      <c r="I59" s="53">
        <f t="shared" si="3"/>
        <v>96.850000000000009</v>
      </c>
      <c r="J59" s="31"/>
      <c r="K59" s="84">
        <v>1000000</v>
      </c>
      <c r="L59" s="42">
        <v>240</v>
      </c>
      <c r="M59" s="42">
        <v>5</v>
      </c>
      <c r="N59" s="41">
        <f>M59*0.1</f>
        <v>0.5</v>
      </c>
      <c r="O59" s="85">
        <f t="shared" si="7"/>
        <v>946.15</v>
      </c>
      <c r="P59" s="31"/>
    </row>
    <row r="60" spans="1:16" x14ac:dyDescent="0.3">
      <c r="A60" s="1">
        <f t="shared" si="0"/>
        <v>59</v>
      </c>
      <c r="B60" s="20" t="s">
        <v>598</v>
      </c>
      <c r="C60" s="16" t="s">
        <v>281</v>
      </c>
      <c r="D60" s="31"/>
      <c r="E60" s="26">
        <v>1000</v>
      </c>
      <c r="F60" s="38">
        <f t="shared" si="13"/>
        <v>15</v>
      </c>
      <c r="G60" s="38">
        <f t="shared" si="5"/>
        <v>1</v>
      </c>
      <c r="H60" s="76">
        <f t="shared" si="5"/>
        <v>0</v>
      </c>
      <c r="I60" s="53">
        <f t="shared" si="3"/>
        <v>96.850000000000009</v>
      </c>
      <c r="J60" s="31"/>
      <c r="K60" s="84">
        <v>1000000</v>
      </c>
      <c r="L60" s="42">
        <v>240</v>
      </c>
      <c r="M60" s="42">
        <v>5</v>
      </c>
      <c r="N60" s="41">
        <f>M60*0.1</f>
        <v>0.5</v>
      </c>
      <c r="O60" s="85">
        <f t="shared" si="7"/>
        <v>946.15</v>
      </c>
      <c r="P60" s="31"/>
    </row>
    <row r="61" spans="1:16" x14ac:dyDescent="0.3">
      <c r="A61" s="1">
        <f t="shared" si="0"/>
        <v>60</v>
      </c>
      <c r="B61" s="20" t="s">
        <v>599</v>
      </c>
      <c r="C61" s="16" t="s">
        <v>281</v>
      </c>
      <c r="D61" s="31"/>
      <c r="E61" s="26">
        <v>1000</v>
      </c>
      <c r="F61" s="38">
        <f t="shared" si="13"/>
        <v>15</v>
      </c>
      <c r="G61" s="38">
        <f t="shared" si="5"/>
        <v>1</v>
      </c>
      <c r="H61" s="76">
        <f t="shared" si="5"/>
        <v>0</v>
      </c>
      <c r="I61" s="53">
        <f t="shared" si="3"/>
        <v>96.850000000000009</v>
      </c>
      <c r="J61" s="45"/>
      <c r="K61" s="68" t="s">
        <v>536</v>
      </c>
      <c r="L61" s="62"/>
      <c r="M61" s="62"/>
      <c r="N61" s="62"/>
      <c r="O61" s="69"/>
      <c r="P61" s="46"/>
    </row>
    <row r="62" spans="1:16" x14ac:dyDescent="0.3">
      <c r="A62" s="1">
        <f t="shared" si="0"/>
        <v>61</v>
      </c>
      <c r="B62" s="20" t="s">
        <v>600</v>
      </c>
      <c r="C62" s="16" t="s">
        <v>281</v>
      </c>
      <c r="D62" s="31"/>
      <c r="E62" s="26">
        <v>1000</v>
      </c>
      <c r="F62" s="38">
        <f t="shared" si="13"/>
        <v>15</v>
      </c>
      <c r="G62" s="38">
        <f t="shared" si="5"/>
        <v>1</v>
      </c>
      <c r="H62" s="76">
        <f t="shared" si="5"/>
        <v>0</v>
      </c>
      <c r="I62" s="53">
        <f t="shared" si="3"/>
        <v>96.850000000000009</v>
      </c>
      <c r="J62" s="45"/>
      <c r="K62" s="68" t="s">
        <v>536</v>
      </c>
      <c r="L62" s="62"/>
      <c r="M62" s="62"/>
      <c r="N62" s="62"/>
      <c r="O62" s="69"/>
      <c r="P62" s="46"/>
    </row>
    <row r="63" spans="1:16" x14ac:dyDescent="0.3">
      <c r="A63" s="1">
        <f t="shared" si="0"/>
        <v>62</v>
      </c>
      <c r="B63" s="20" t="s">
        <v>601</v>
      </c>
      <c r="C63" s="16" t="s">
        <v>281</v>
      </c>
      <c r="D63" s="31"/>
      <c r="E63" s="26">
        <v>1000</v>
      </c>
      <c r="F63" s="38">
        <f t="shared" si="13"/>
        <v>15</v>
      </c>
      <c r="G63" s="38">
        <f t="shared" si="5"/>
        <v>1</v>
      </c>
      <c r="H63" s="76">
        <f t="shared" si="5"/>
        <v>0</v>
      </c>
      <c r="I63" s="53">
        <f t="shared" si="3"/>
        <v>96.850000000000009</v>
      </c>
      <c r="J63" s="45"/>
      <c r="K63" s="68" t="s">
        <v>536</v>
      </c>
      <c r="L63" s="62"/>
      <c r="M63" s="62"/>
      <c r="N63" s="62"/>
      <c r="O63" s="69"/>
      <c r="P63" s="46"/>
    </row>
    <row r="64" spans="1:16" x14ac:dyDescent="0.3">
      <c r="A64" s="1">
        <f t="shared" si="0"/>
        <v>63</v>
      </c>
      <c r="B64" s="20" t="s">
        <v>602</v>
      </c>
      <c r="C64" s="16" t="s">
        <v>281</v>
      </c>
      <c r="D64" s="31"/>
      <c r="E64" s="26">
        <v>1000</v>
      </c>
      <c r="F64" s="38">
        <f t="shared" si="13"/>
        <v>15</v>
      </c>
      <c r="G64" s="38">
        <f t="shared" si="5"/>
        <v>1</v>
      </c>
      <c r="H64" s="76">
        <f t="shared" si="5"/>
        <v>0</v>
      </c>
      <c r="I64" s="53">
        <f t="shared" si="3"/>
        <v>96.850000000000009</v>
      </c>
      <c r="J64" s="45"/>
      <c r="K64" s="68" t="s">
        <v>536</v>
      </c>
      <c r="L64" s="62"/>
      <c r="M64" s="62"/>
      <c r="N64" s="62"/>
      <c r="O64" s="69"/>
      <c r="P64" s="46"/>
    </row>
    <row r="65" spans="1:16" x14ac:dyDescent="0.3">
      <c r="A65" s="1">
        <f t="shared" si="0"/>
        <v>64</v>
      </c>
      <c r="B65" s="20" t="s">
        <v>603</v>
      </c>
      <c r="C65" s="16" t="s">
        <v>281</v>
      </c>
      <c r="D65" s="31"/>
      <c r="E65" s="26">
        <v>1000</v>
      </c>
      <c r="F65" s="38">
        <f t="shared" si="13"/>
        <v>15</v>
      </c>
      <c r="G65" s="38">
        <f t="shared" si="5"/>
        <v>1</v>
      </c>
      <c r="H65" s="76">
        <f t="shared" si="5"/>
        <v>0</v>
      </c>
      <c r="I65" s="53">
        <f t="shared" si="3"/>
        <v>96.850000000000009</v>
      </c>
      <c r="J65" s="31"/>
      <c r="K65" s="84">
        <v>1000000</v>
      </c>
      <c r="L65" s="42">
        <v>240</v>
      </c>
      <c r="M65" s="42">
        <v>5</v>
      </c>
      <c r="N65" s="41">
        <f>M65*0.1</f>
        <v>0.5</v>
      </c>
      <c r="O65" s="85">
        <f t="shared" si="7"/>
        <v>946.15</v>
      </c>
      <c r="P65" s="31"/>
    </row>
    <row r="66" spans="1:16" x14ac:dyDescent="0.3">
      <c r="A66" s="1">
        <f t="shared" si="0"/>
        <v>65</v>
      </c>
      <c r="B66" s="20" t="s">
        <v>604</v>
      </c>
      <c r="C66" s="16" t="s">
        <v>281</v>
      </c>
      <c r="D66" s="31"/>
      <c r="E66" s="26">
        <v>1000</v>
      </c>
      <c r="F66" s="40">
        <v>20</v>
      </c>
      <c r="G66" s="38">
        <f t="shared" si="5"/>
        <v>1</v>
      </c>
      <c r="H66" s="76">
        <f t="shared" si="5"/>
        <v>0</v>
      </c>
      <c r="I66" s="53">
        <f t="shared" si="3"/>
        <v>109.26666666666668</v>
      </c>
      <c r="J66" s="31"/>
      <c r="K66" s="84">
        <v>1000000</v>
      </c>
      <c r="L66" s="42">
        <v>1200</v>
      </c>
      <c r="M66" s="42">
        <v>10</v>
      </c>
      <c r="N66" s="41">
        <f>M66*0.1</f>
        <v>1</v>
      </c>
      <c r="O66" s="85">
        <f t="shared" si="7"/>
        <v>3680.2999999999997</v>
      </c>
      <c r="P66" s="31"/>
    </row>
    <row r="67" spans="1:16" x14ac:dyDescent="0.3">
      <c r="A67" s="1">
        <f t="shared" si="0"/>
        <v>66</v>
      </c>
      <c r="B67" s="20" t="s">
        <v>605</v>
      </c>
      <c r="C67" s="16" t="s">
        <v>281</v>
      </c>
      <c r="D67" s="31"/>
      <c r="E67" s="26">
        <v>1000</v>
      </c>
      <c r="F67" s="40">
        <v>30</v>
      </c>
      <c r="G67" s="38">
        <f t="shared" si="5"/>
        <v>1</v>
      </c>
      <c r="H67" s="76">
        <f t="shared" si="5"/>
        <v>0</v>
      </c>
      <c r="I67" s="53">
        <f t="shared" si="3"/>
        <v>134.1</v>
      </c>
      <c r="J67" s="31"/>
      <c r="K67" s="84">
        <v>1000000</v>
      </c>
      <c r="L67" s="40">
        <v>2400</v>
      </c>
      <c r="M67" s="40">
        <v>20</v>
      </c>
      <c r="N67" s="41">
        <f t="shared" ref="N67" si="14">M67*0.1</f>
        <v>2</v>
      </c>
      <c r="O67" s="85">
        <f t="shared" si="7"/>
        <v>7360.5999999999995</v>
      </c>
      <c r="P67" s="31"/>
    </row>
    <row r="68" spans="1:16" x14ac:dyDescent="0.3">
      <c r="A68" s="1">
        <f t="shared" ref="A68:A73" si="15">A67+1</f>
        <v>67</v>
      </c>
      <c r="B68" s="17" t="s">
        <v>606</v>
      </c>
      <c r="C68" s="16" t="s">
        <v>587</v>
      </c>
      <c r="D68" s="31"/>
      <c r="E68" s="27"/>
      <c r="F68" s="38">
        <f t="shared" ref="F68:F73" si="16">F$2</f>
        <v>15</v>
      </c>
      <c r="G68" s="38">
        <f t="shared" ref="G68:H73" si="17">G$2</f>
        <v>1</v>
      </c>
      <c r="H68" s="76">
        <f t="shared" si="17"/>
        <v>0</v>
      </c>
      <c r="I68" s="53">
        <f t="shared" si="3"/>
        <v>96.850000000000009</v>
      </c>
      <c r="J68" s="45"/>
      <c r="K68" s="68" t="s">
        <v>536</v>
      </c>
      <c r="L68" s="62"/>
      <c r="M68" s="62"/>
      <c r="N68" s="62"/>
      <c r="O68" s="69"/>
      <c r="P68" s="46"/>
    </row>
    <row r="69" spans="1:16" x14ac:dyDescent="0.3">
      <c r="A69" s="1">
        <f t="shared" si="15"/>
        <v>68</v>
      </c>
      <c r="B69" s="17" t="s">
        <v>607</v>
      </c>
      <c r="C69" s="16" t="s">
        <v>587</v>
      </c>
      <c r="D69" s="31"/>
      <c r="E69" s="27"/>
      <c r="F69" s="38">
        <f t="shared" si="16"/>
        <v>15</v>
      </c>
      <c r="G69" s="38">
        <f t="shared" si="17"/>
        <v>1</v>
      </c>
      <c r="H69" s="76">
        <f t="shared" si="17"/>
        <v>0</v>
      </c>
      <c r="I69" s="53">
        <f t="shared" si="3"/>
        <v>96.850000000000009</v>
      </c>
      <c r="J69" s="45"/>
      <c r="K69" s="68" t="s">
        <v>536</v>
      </c>
      <c r="L69" s="62"/>
      <c r="M69" s="62"/>
      <c r="N69" s="62"/>
      <c r="O69" s="69"/>
      <c r="P69" s="46"/>
    </row>
    <row r="70" spans="1:16" x14ac:dyDescent="0.3">
      <c r="A70" s="1">
        <f t="shared" si="15"/>
        <v>69</v>
      </c>
      <c r="B70" s="17" t="s">
        <v>608</v>
      </c>
      <c r="C70" s="16" t="s">
        <v>587</v>
      </c>
      <c r="D70" s="31"/>
      <c r="E70" s="27"/>
      <c r="F70" s="38">
        <f t="shared" si="16"/>
        <v>15</v>
      </c>
      <c r="G70" s="38">
        <f t="shared" si="17"/>
        <v>1</v>
      </c>
      <c r="H70" s="76">
        <f t="shared" si="17"/>
        <v>0</v>
      </c>
      <c r="I70" s="53">
        <f t="shared" si="3"/>
        <v>96.850000000000009</v>
      </c>
      <c r="J70" s="45"/>
      <c r="K70" s="68" t="s">
        <v>536</v>
      </c>
      <c r="L70" s="62"/>
      <c r="M70" s="62"/>
      <c r="N70" s="62"/>
      <c r="O70" s="69"/>
      <c r="P70" s="46"/>
    </row>
    <row r="71" spans="1:16" x14ac:dyDescent="0.3">
      <c r="A71" s="1">
        <f t="shared" si="15"/>
        <v>70</v>
      </c>
      <c r="B71" s="17" t="s">
        <v>609</v>
      </c>
      <c r="C71" s="16" t="s">
        <v>587</v>
      </c>
      <c r="D71" s="31"/>
      <c r="E71" s="27"/>
      <c r="F71" s="38">
        <f t="shared" si="16"/>
        <v>15</v>
      </c>
      <c r="G71" s="38">
        <f t="shared" si="17"/>
        <v>1</v>
      </c>
      <c r="H71" s="76">
        <f t="shared" si="17"/>
        <v>0</v>
      </c>
      <c r="I71" s="53">
        <f t="shared" si="3"/>
        <v>96.850000000000009</v>
      </c>
      <c r="J71" s="45"/>
      <c r="K71" s="68" t="s">
        <v>536</v>
      </c>
      <c r="L71" s="62"/>
      <c r="M71" s="62"/>
      <c r="N71" s="62"/>
      <c r="O71" s="69"/>
      <c r="P71" s="46"/>
    </row>
    <row r="72" spans="1:16" x14ac:dyDescent="0.3">
      <c r="A72" s="1">
        <f t="shared" si="15"/>
        <v>71</v>
      </c>
      <c r="B72" s="17" t="s">
        <v>610</v>
      </c>
      <c r="C72" s="16" t="s">
        <v>587</v>
      </c>
      <c r="D72" s="31"/>
      <c r="E72" s="27"/>
      <c r="F72" s="38">
        <f t="shared" si="16"/>
        <v>15</v>
      </c>
      <c r="G72" s="38">
        <f t="shared" si="17"/>
        <v>1</v>
      </c>
      <c r="H72" s="76">
        <f t="shared" si="17"/>
        <v>0</v>
      </c>
      <c r="I72" s="53">
        <f t="shared" si="3"/>
        <v>96.850000000000009</v>
      </c>
      <c r="J72" s="45"/>
      <c r="K72" s="68" t="s">
        <v>536</v>
      </c>
      <c r="L72" s="62"/>
      <c r="M72" s="62"/>
      <c r="N72" s="62"/>
      <c r="O72" s="69"/>
      <c r="P72" s="46"/>
    </row>
    <row r="73" spans="1:16" x14ac:dyDescent="0.3">
      <c r="A73" s="1">
        <f t="shared" si="15"/>
        <v>72</v>
      </c>
      <c r="B73" s="20" t="s">
        <v>494</v>
      </c>
      <c r="C73" s="16" t="s">
        <v>587</v>
      </c>
      <c r="D73" s="31"/>
      <c r="E73" s="27"/>
      <c r="F73" s="38">
        <f t="shared" si="16"/>
        <v>15</v>
      </c>
      <c r="G73" s="38">
        <f t="shared" si="17"/>
        <v>1</v>
      </c>
      <c r="H73" s="76">
        <f t="shared" si="17"/>
        <v>0</v>
      </c>
      <c r="I73" s="53">
        <f t="shared" ref="I73" si="18">149*(F73/60+0.4*G73+0.7*H73)</f>
        <v>96.850000000000009</v>
      </c>
      <c r="J73" s="45"/>
      <c r="K73" s="70" t="s">
        <v>536</v>
      </c>
      <c r="L73" s="71"/>
      <c r="M73" s="71"/>
      <c r="N73" s="71"/>
      <c r="O73" s="72"/>
      <c r="P73" s="46"/>
    </row>
    <row r="74" spans="1:16" x14ac:dyDescent="0.3">
      <c r="A74" s="50"/>
      <c r="B74" s="33"/>
      <c r="C74" s="33"/>
      <c r="D74" s="36"/>
      <c r="E74" s="34"/>
      <c r="F74" s="34"/>
      <c r="G74" s="34"/>
      <c r="H74" s="77"/>
      <c r="I74" s="51"/>
      <c r="J74" s="36"/>
      <c r="K74" s="73"/>
      <c r="L74" s="73"/>
      <c r="M74" s="73"/>
      <c r="N74" s="51"/>
      <c r="O74" s="51"/>
      <c r="P74" s="35"/>
    </row>
    <row r="75" spans="1:16" x14ac:dyDescent="0.3">
      <c r="G75" s="2"/>
      <c r="M75" s="2"/>
    </row>
    <row r="76" spans="1:16" x14ac:dyDescent="0.3">
      <c r="G76" s="2"/>
      <c r="M76" s="2"/>
    </row>
    <row r="77" spans="1:16" x14ac:dyDescent="0.3">
      <c r="G77" s="2"/>
      <c r="M77" s="2"/>
    </row>
    <row r="78" spans="1:16" x14ac:dyDescent="0.3">
      <c r="G78" s="2"/>
      <c r="M78" s="2"/>
    </row>
    <row r="79" spans="1:16" x14ac:dyDescent="0.3">
      <c r="G79" s="3"/>
      <c r="M79" s="3"/>
    </row>
  </sheetData>
  <sortState xmlns:xlrd2="http://schemas.microsoft.com/office/spreadsheetml/2017/richdata2" ref="B3:H79">
    <sortCondition ref="B3:B79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737-DD80-4E66-8539-0FDB5F5DBC08}">
  <sheetPr codeName="Sheet4"/>
  <dimension ref="A1:AI60"/>
  <sheetViews>
    <sheetView showGridLines="0" zoomScale="110" zoomScaleNormal="110" workbookViewId="0">
      <pane ySplit="2" topLeftCell="A3" activePane="bottomLeft" state="frozen"/>
      <selection activeCell="E1" sqref="E1"/>
      <selection pane="bottomLeft" activeCell="Y11" sqref="Y11"/>
    </sheetView>
  </sheetViews>
  <sheetFormatPr defaultColWidth="9.109375" defaultRowHeight="14.4" x14ac:dyDescent="0.3"/>
  <cols>
    <col min="1" max="1" width="9.109375" style="163"/>
    <col min="2" max="2" width="21.109375" style="5" customWidth="1"/>
    <col min="3" max="3" width="11.109375" style="5" customWidth="1"/>
    <col min="4" max="4" width="10.33203125" style="5" customWidth="1"/>
    <col min="5" max="5" width="6.88671875" style="5" customWidth="1"/>
    <col min="6" max="6" width="9.33203125" style="136" customWidth="1"/>
    <col min="7" max="7" width="9.6640625" style="137" customWidth="1"/>
    <col min="8" max="8" width="18.5546875" style="137" customWidth="1"/>
    <col min="9" max="9" width="25.6640625" style="5" customWidth="1"/>
    <col min="10" max="10" width="7.6640625" style="5" customWidth="1"/>
    <col min="11" max="11" width="7.5546875" style="5" customWidth="1"/>
    <col min="12" max="12" width="7.6640625" style="5" customWidth="1"/>
    <col min="13" max="13" width="39.109375" style="5" hidden="1" customWidth="1"/>
    <col min="14" max="14" width="31.6640625" style="5" customWidth="1"/>
    <col min="15" max="15" width="7.44140625" style="5" customWidth="1"/>
    <col min="16" max="16" width="8.33203125" style="5" customWidth="1"/>
    <col min="17" max="18" width="10.6640625" style="5" customWidth="1"/>
    <col min="19" max="19" width="9.5546875" style="5" customWidth="1"/>
    <col min="20" max="20" width="7.6640625" style="5" customWidth="1"/>
    <col min="21" max="21" width="10.109375" style="5" customWidth="1"/>
    <col min="22" max="23" width="10" style="5" customWidth="1"/>
    <col min="24" max="24" width="13" style="5" customWidth="1"/>
    <col min="25" max="25" width="13.33203125" style="5" customWidth="1"/>
    <col min="26" max="26" width="11.33203125" style="5" customWidth="1"/>
    <col min="27" max="27" width="8.109375" style="5" customWidth="1"/>
    <col min="28" max="28" width="14.33203125" style="5" customWidth="1"/>
    <col min="29" max="29" width="10.6640625" style="5" customWidth="1"/>
    <col min="30" max="30" width="11.6640625" style="5" customWidth="1"/>
    <col min="31" max="31" width="7.33203125" style="5" customWidth="1"/>
    <col min="32" max="32" width="11.6640625" style="5" customWidth="1"/>
    <col min="33" max="33" width="10.88671875" style="5" customWidth="1"/>
    <col min="34" max="34" width="10.109375" style="5" customWidth="1"/>
    <col min="35" max="35" width="16.109375" style="5" customWidth="1"/>
    <col min="36" max="36" width="17" style="5" customWidth="1"/>
    <col min="37" max="46" width="13.88671875" style="5" customWidth="1"/>
    <col min="47" max="16384" width="9.109375" style="5"/>
  </cols>
  <sheetData>
    <row r="1" spans="1:35" s="7" customFormat="1" x14ac:dyDescent="0.3">
      <c r="A1" s="161"/>
      <c r="B1" s="148" t="s">
        <v>479</v>
      </c>
      <c r="C1" s="148" t="s">
        <v>498</v>
      </c>
      <c r="D1" s="148" t="s">
        <v>498</v>
      </c>
      <c r="E1" s="148" t="s">
        <v>479</v>
      </c>
      <c r="F1" s="148" t="s">
        <v>479</v>
      </c>
      <c r="G1" s="148" t="s">
        <v>479</v>
      </c>
      <c r="H1" s="148" t="s">
        <v>479</v>
      </c>
      <c r="I1" s="148" t="s">
        <v>498</v>
      </c>
      <c r="J1" s="148" t="s">
        <v>498</v>
      </c>
      <c r="K1" s="148" t="s">
        <v>498</v>
      </c>
      <c r="L1" s="148" t="s">
        <v>479</v>
      </c>
      <c r="M1" s="148" t="s">
        <v>498</v>
      </c>
      <c r="N1" s="148" t="s">
        <v>479</v>
      </c>
      <c r="O1" s="148" t="s">
        <v>479</v>
      </c>
      <c r="P1" s="148" t="s">
        <v>479</v>
      </c>
      <c r="Q1" s="148" t="s">
        <v>498</v>
      </c>
      <c r="R1" s="148" t="s">
        <v>498</v>
      </c>
      <c r="S1" s="148" t="s">
        <v>498</v>
      </c>
      <c r="T1" s="148" t="s">
        <v>479</v>
      </c>
      <c r="U1" s="148" t="s">
        <v>479</v>
      </c>
      <c r="V1" s="148" t="s">
        <v>479</v>
      </c>
      <c r="W1" s="148" t="s">
        <v>479</v>
      </c>
      <c r="X1" s="148" t="s">
        <v>498</v>
      </c>
      <c r="Y1" s="148" t="s">
        <v>498</v>
      </c>
      <c r="Z1" s="148" t="s">
        <v>498</v>
      </c>
      <c r="AA1" s="148" t="s">
        <v>498</v>
      </c>
      <c r="AB1" s="148" t="s">
        <v>498</v>
      </c>
      <c r="AC1" s="148" t="s">
        <v>498</v>
      </c>
      <c r="AD1" s="148" t="s">
        <v>498</v>
      </c>
      <c r="AE1" s="148" t="s">
        <v>498</v>
      </c>
      <c r="AF1" s="148" t="s">
        <v>498</v>
      </c>
      <c r="AG1" s="148" t="s">
        <v>498</v>
      </c>
      <c r="AH1" s="148" t="s">
        <v>498</v>
      </c>
    </row>
    <row r="2" spans="1:35" s="8" customFormat="1" ht="43.2" x14ac:dyDescent="0.3">
      <c r="A2" s="162"/>
      <c r="B2" s="139" t="s">
        <v>637</v>
      </c>
      <c r="C2" s="139" t="s">
        <v>275</v>
      </c>
      <c r="D2" s="139" t="s">
        <v>638</v>
      </c>
      <c r="E2" s="139" t="s">
        <v>639</v>
      </c>
      <c r="F2" s="139" t="s">
        <v>205</v>
      </c>
      <c r="G2" s="139" t="s">
        <v>640</v>
      </c>
      <c r="H2" s="139" t="s">
        <v>641</v>
      </c>
      <c r="I2" s="139" t="s">
        <v>497</v>
      </c>
      <c r="J2" s="139" t="s">
        <v>642</v>
      </c>
      <c r="K2" s="139" t="s">
        <v>643</v>
      </c>
      <c r="L2" s="139" t="s">
        <v>644</v>
      </c>
      <c r="M2" s="139" t="s">
        <v>645</v>
      </c>
      <c r="N2" s="139" t="s">
        <v>646</v>
      </c>
      <c r="O2" s="139" t="s">
        <v>647</v>
      </c>
      <c r="P2" s="139" t="s">
        <v>648</v>
      </c>
      <c r="Q2" s="139" t="s">
        <v>100</v>
      </c>
      <c r="R2" s="139" t="s">
        <v>649</v>
      </c>
      <c r="S2" s="139" t="s">
        <v>650</v>
      </c>
      <c r="T2" s="139" t="s">
        <v>651</v>
      </c>
      <c r="U2" s="139" t="s">
        <v>652</v>
      </c>
      <c r="V2" s="139" t="s">
        <v>653</v>
      </c>
      <c r="W2" s="139" t="s">
        <v>654</v>
      </c>
      <c r="X2" s="139" t="s">
        <v>655</v>
      </c>
      <c r="Y2" s="139" t="s">
        <v>656</v>
      </c>
      <c r="Z2" s="139" t="s">
        <v>657</v>
      </c>
      <c r="AA2" s="139" t="s">
        <v>658</v>
      </c>
      <c r="AB2" s="139" t="s">
        <v>659</v>
      </c>
      <c r="AC2" s="139" t="s">
        <v>660</v>
      </c>
      <c r="AD2" s="139" t="s">
        <v>661</v>
      </c>
      <c r="AE2" s="139" t="s">
        <v>662</v>
      </c>
      <c r="AF2" s="139" t="s">
        <v>663</v>
      </c>
      <c r="AG2" s="139" t="s">
        <v>664</v>
      </c>
      <c r="AH2" s="139" t="s">
        <v>665</v>
      </c>
      <c r="AI2" s="149"/>
    </row>
    <row r="3" spans="1:35" x14ac:dyDescent="0.3">
      <c r="B3" s="124" t="e">
        <f ca="1">_xlfn.CONCAT(C3,"-","RVW.",D3,".",E3)</f>
        <v>#NAME?</v>
      </c>
      <c r="C3" s="124" t="s">
        <v>666</v>
      </c>
      <c r="D3" s="124">
        <v>1</v>
      </c>
      <c r="E3" s="124">
        <v>1</v>
      </c>
      <c r="F3" s="140" t="s">
        <v>667</v>
      </c>
      <c r="G3" s="141" t="s">
        <v>33</v>
      </c>
      <c r="H3" s="141"/>
      <c r="I3" s="142" t="e">
        <f ca="1">_xlfn.CONCAT(F3:H3)</f>
        <v>#NAME?</v>
      </c>
      <c r="J3" s="7" t="str">
        <f>Details!A204</f>
        <v>No</v>
      </c>
      <c r="K3" s="123" t="s">
        <v>498</v>
      </c>
      <c r="L3" s="123" t="str">
        <f>IF(OR(K3="Yes",K3="No"),K3,#REF!)</f>
        <v>Yes</v>
      </c>
      <c r="M3" s="132"/>
      <c r="N3" s="5" t="s">
        <v>668</v>
      </c>
      <c r="P3" s="143"/>
      <c r="Q3" s="124" t="s">
        <v>669</v>
      </c>
      <c r="R3" s="144"/>
      <c r="S3" s="144"/>
      <c r="T3" s="144"/>
      <c r="U3" s="144"/>
      <c r="V3" s="144"/>
      <c r="W3" s="144"/>
      <c r="X3" s="133" t="s">
        <v>670</v>
      </c>
      <c r="Y3" s="125">
        <v>45167.333333333336</v>
      </c>
      <c r="Z3" s="134"/>
      <c r="AA3" s="134"/>
      <c r="AB3" s="125"/>
      <c r="AC3" s="134"/>
      <c r="AD3" s="125"/>
      <c r="AE3" s="134"/>
      <c r="AF3" s="133" t="s">
        <v>670</v>
      </c>
      <c r="AG3" s="125">
        <v>45167.333333333336</v>
      </c>
      <c r="AH3" s="135">
        <v>45167.333333333336</v>
      </c>
    </row>
    <row r="4" spans="1:35" x14ac:dyDescent="0.3">
      <c r="B4" s="124" t="e">
        <f t="shared" ref="B4:B34" ca="1" si="0">_xlfn.CONCAT(C4,"-","RVW.",D4,".",E4)</f>
        <v>#NAME?</v>
      </c>
      <c r="C4" s="124" t="str">
        <f t="shared" ref="C4:C33" si="1">$C$3</f>
        <v>TEST.001</v>
      </c>
      <c r="D4" s="124">
        <v>1</v>
      </c>
      <c r="E4" s="124">
        <f>COUNT($E$3:E3)+1</f>
        <v>2</v>
      </c>
      <c r="F4" s="140" t="s">
        <v>667</v>
      </c>
      <c r="G4" s="141" t="s">
        <v>671</v>
      </c>
      <c r="H4" s="141"/>
      <c r="I4" s="142" t="e">
        <f t="shared" ref="I4:I34" ca="1" si="2">_xlfn.CONCAT(F4:H4)</f>
        <v>#NAME?</v>
      </c>
      <c r="J4" s="7" t="str">
        <f>Details!A205</f>
        <v>No</v>
      </c>
      <c r="K4" s="123" t="s">
        <v>498</v>
      </c>
      <c r="L4" s="123" t="str">
        <f t="shared" ref="L4:L30" si="3">IF(OR(K4="Yes",K4="No"),K4,J3)</f>
        <v>Yes</v>
      </c>
      <c r="M4" s="132"/>
      <c r="N4" s="5" t="s">
        <v>668</v>
      </c>
      <c r="P4" s="143"/>
      <c r="Q4" s="124" t="s">
        <v>669</v>
      </c>
      <c r="R4" s="144"/>
      <c r="S4" s="144"/>
      <c r="T4" s="144"/>
      <c r="U4" s="144"/>
      <c r="V4" s="144"/>
      <c r="W4" s="144"/>
      <c r="X4" s="133" t="s">
        <v>670</v>
      </c>
      <c r="Y4" s="125">
        <v>45167.333333333336</v>
      </c>
      <c r="Z4" s="134"/>
      <c r="AA4" s="134"/>
      <c r="AB4" s="125"/>
      <c r="AC4" s="134"/>
      <c r="AD4" s="125"/>
      <c r="AE4" s="134"/>
      <c r="AF4" s="133" t="s">
        <v>670</v>
      </c>
      <c r="AG4" s="125">
        <v>45167.333333333336</v>
      </c>
      <c r="AH4" s="135">
        <v>45167.333333333336</v>
      </c>
    </row>
    <row r="5" spans="1:35" x14ac:dyDescent="0.3">
      <c r="B5" s="124" t="e">
        <f t="shared" ca="1" si="0"/>
        <v>#NAME?</v>
      </c>
      <c r="C5" s="124" t="str">
        <f t="shared" si="1"/>
        <v>TEST.001</v>
      </c>
      <c r="D5" s="124">
        <v>1</v>
      </c>
      <c r="E5" s="124">
        <f>COUNT($E$3:E4)+1</f>
        <v>3</v>
      </c>
      <c r="F5" s="140" t="s">
        <v>667</v>
      </c>
      <c r="G5" s="141" t="s">
        <v>672</v>
      </c>
      <c r="H5" s="141"/>
      <c r="I5" s="142" t="e">
        <f t="shared" ca="1" si="2"/>
        <v>#NAME?</v>
      </c>
      <c r="J5" s="7" t="str">
        <f>Details!A206</f>
        <v>No</v>
      </c>
      <c r="K5" s="123" t="s">
        <v>498</v>
      </c>
      <c r="L5" s="123" t="str">
        <f t="shared" si="3"/>
        <v>Yes</v>
      </c>
      <c r="M5" s="132"/>
      <c r="N5" s="5" t="s">
        <v>668</v>
      </c>
      <c r="P5" s="143"/>
      <c r="Q5" s="124" t="s">
        <v>669</v>
      </c>
      <c r="R5" s="144"/>
      <c r="S5" s="144"/>
      <c r="T5" s="144"/>
      <c r="U5" s="144"/>
      <c r="V5" s="144"/>
      <c r="W5" s="144"/>
      <c r="X5" s="133" t="s">
        <v>670</v>
      </c>
      <c r="Y5" s="125">
        <v>45167.333333333336</v>
      </c>
      <c r="Z5" s="134"/>
      <c r="AA5" s="134"/>
      <c r="AB5" s="125"/>
      <c r="AC5" s="134"/>
      <c r="AD5" s="125"/>
      <c r="AE5" s="134"/>
      <c r="AF5" s="133" t="s">
        <v>670</v>
      </c>
      <c r="AG5" s="125">
        <v>45167.333333333336</v>
      </c>
      <c r="AH5" s="135">
        <v>45167.333333333336</v>
      </c>
    </row>
    <row r="6" spans="1:35" x14ac:dyDescent="0.3">
      <c r="B6" s="124" t="e">
        <f t="shared" ca="1" si="0"/>
        <v>#NAME?</v>
      </c>
      <c r="C6" s="124" t="str">
        <f t="shared" si="1"/>
        <v>TEST.001</v>
      </c>
      <c r="D6" s="126">
        <v>1</v>
      </c>
      <c r="E6" s="124">
        <f>COUNT($E$3:E5)+1</f>
        <v>4</v>
      </c>
      <c r="F6" s="140" t="s">
        <v>673</v>
      </c>
      <c r="G6" s="141" t="s">
        <v>181</v>
      </c>
      <c r="H6" s="141"/>
      <c r="I6" s="142" t="e">
        <f t="shared" ca="1" si="2"/>
        <v>#NAME?</v>
      </c>
      <c r="J6" s="7" t="str">
        <f>Details!A207</f>
        <v>No</v>
      </c>
      <c r="K6" s="123" t="s">
        <v>498</v>
      </c>
      <c r="L6" s="123" t="str">
        <f t="shared" si="3"/>
        <v>Yes</v>
      </c>
      <c r="M6" s="127"/>
      <c r="N6" s="145" t="s">
        <v>184</v>
      </c>
      <c r="O6" s="7">
        <v>10</v>
      </c>
      <c r="P6" s="7">
        <v>3</v>
      </c>
      <c r="Q6" s="124" t="s">
        <v>669</v>
      </c>
      <c r="R6" s="146">
        <v>0.5</v>
      </c>
      <c r="S6" s="146"/>
      <c r="T6" s="146">
        <f t="shared" ref="T6:T26" si="4">IF(S6&lt;&gt;0,S6-R6,0)</f>
        <v>0</v>
      </c>
      <c r="U6" s="144">
        <v>150</v>
      </c>
      <c r="V6" s="144">
        <f t="shared" ref="V6:V26" si="5">U6*R6</f>
        <v>75</v>
      </c>
      <c r="W6" s="144">
        <f>V6+U6*T6</f>
        <v>75</v>
      </c>
      <c r="X6" s="128" t="s">
        <v>670</v>
      </c>
      <c r="Y6" s="125">
        <v>45167.333333333336</v>
      </c>
      <c r="Z6" s="128" t="s">
        <v>670</v>
      </c>
      <c r="AA6" s="130">
        <f ca="1">NETWORKDAYS(TODAY(),AB6)</f>
        <v>-19</v>
      </c>
      <c r="AB6" s="129">
        <f t="shared" ref="AB6:AB34" si="6">IF(D6=1,WORKDAY(AD6,O6),WORKDAY(AD6,P6))</f>
        <v>45181</v>
      </c>
      <c r="AC6" s="128" t="s">
        <v>670</v>
      </c>
      <c r="AD6" s="129">
        <v>45167.333333333336</v>
      </c>
      <c r="AE6" s="130">
        <f t="shared" ref="AE6:AE34" ca="1" si="7">TODAY()-AD6</f>
        <v>37.666666666664241</v>
      </c>
      <c r="AF6" s="128" t="s">
        <v>670</v>
      </c>
      <c r="AG6" s="125">
        <v>45167.333333333336</v>
      </c>
      <c r="AH6" s="131">
        <v>45167.333333333336</v>
      </c>
    </row>
    <row r="7" spans="1:35" x14ac:dyDescent="0.3">
      <c r="B7" s="124" t="e">
        <f t="shared" ca="1" si="0"/>
        <v>#NAME?</v>
      </c>
      <c r="C7" s="124" t="str">
        <f t="shared" si="1"/>
        <v>TEST.001</v>
      </c>
      <c r="D7" s="124">
        <v>1</v>
      </c>
      <c r="E7" s="124">
        <f>COUNT($E$3:E6)+1</f>
        <v>5</v>
      </c>
      <c r="F7" s="140" t="s">
        <v>673</v>
      </c>
      <c r="G7" s="141" t="s">
        <v>33</v>
      </c>
      <c r="H7" s="141"/>
      <c r="I7" s="142" t="e">
        <f t="shared" ca="1" si="2"/>
        <v>#NAME?</v>
      </c>
      <c r="J7" s="7" t="str">
        <f>Details!A208</f>
        <v>No</v>
      </c>
      <c r="K7" s="123" t="s">
        <v>498</v>
      </c>
      <c r="L7" s="123" t="str">
        <f t="shared" si="3"/>
        <v>Yes</v>
      </c>
      <c r="M7" s="132"/>
      <c r="N7" s="145" t="s">
        <v>200</v>
      </c>
      <c r="O7" s="7">
        <v>10</v>
      </c>
      <c r="P7" s="7">
        <v>3</v>
      </c>
      <c r="Q7" s="124" t="s">
        <v>669</v>
      </c>
      <c r="R7" s="146">
        <v>0.5</v>
      </c>
      <c r="S7" s="146"/>
      <c r="T7" s="146">
        <f t="shared" si="4"/>
        <v>0</v>
      </c>
      <c r="U7" s="144">
        <v>150</v>
      </c>
      <c r="V7" s="144">
        <f t="shared" si="5"/>
        <v>75</v>
      </c>
      <c r="W7" s="144">
        <f t="shared" ref="W7:W26" si="8">V7+U7*T7</f>
        <v>75</v>
      </c>
      <c r="X7" s="133" t="s">
        <v>670</v>
      </c>
      <c r="Y7" s="125">
        <v>45167.333333333336</v>
      </c>
      <c r="Z7" s="133" t="s">
        <v>670</v>
      </c>
      <c r="AA7" s="134">
        <f t="shared" ref="AA7:AA34" ca="1" si="9">NETWORKDAYS(TODAY(),AB7)</f>
        <v>-19</v>
      </c>
      <c r="AB7" s="125">
        <f t="shared" si="6"/>
        <v>45181</v>
      </c>
      <c r="AC7" s="133" t="s">
        <v>670</v>
      </c>
      <c r="AD7" s="125">
        <v>45167.333333333336</v>
      </c>
      <c r="AE7" s="134">
        <f t="shared" ca="1" si="7"/>
        <v>37.666666666664241</v>
      </c>
      <c r="AF7" s="133" t="s">
        <v>670</v>
      </c>
      <c r="AG7" s="125">
        <v>45167.333333333336</v>
      </c>
      <c r="AH7" s="135">
        <v>45167.333333333336</v>
      </c>
    </row>
    <row r="8" spans="1:35" x14ac:dyDescent="0.3">
      <c r="B8" s="124" t="e">
        <f t="shared" ca="1" si="0"/>
        <v>#NAME?</v>
      </c>
      <c r="C8" s="124" t="str">
        <f t="shared" si="1"/>
        <v>TEST.001</v>
      </c>
      <c r="D8" s="124">
        <v>1</v>
      </c>
      <c r="E8" s="124">
        <f>COUNT($E$3:E7)+1</f>
        <v>6</v>
      </c>
      <c r="F8" s="140" t="s">
        <v>673</v>
      </c>
      <c r="G8" s="141" t="s">
        <v>265</v>
      </c>
      <c r="H8" s="141"/>
      <c r="I8" s="142" t="e">
        <f t="shared" ca="1" si="2"/>
        <v>#NAME?</v>
      </c>
      <c r="J8" s="7" t="str">
        <f>Details!A209</f>
        <v>No</v>
      </c>
      <c r="K8" s="123" t="s">
        <v>498</v>
      </c>
      <c r="L8" s="123" t="str">
        <f t="shared" si="3"/>
        <v>Yes</v>
      </c>
      <c r="M8" s="132"/>
      <c r="N8" s="145" t="s">
        <v>195</v>
      </c>
      <c r="O8" s="7">
        <v>10</v>
      </c>
      <c r="P8" s="7">
        <v>3</v>
      </c>
      <c r="Q8" s="124" t="s">
        <v>669</v>
      </c>
      <c r="R8" s="147">
        <v>0.5</v>
      </c>
      <c r="S8" s="147"/>
      <c r="T8" s="147">
        <f t="shared" si="4"/>
        <v>0</v>
      </c>
      <c r="U8" s="144">
        <v>150</v>
      </c>
      <c r="V8" s="144">
        <f t="shared" si="5"/>
        <v>75</v>
      </c>
      <c r="W8" s="144">
        <f t="shared" si="8"/>
        <v>75</v>
      </c>
      <c r="X8" s="133" t="s">
        <v>670</v>
      </c>
      <c r="Y8" s="125">
        <v>45167.333333333336</v>
      </c>
      <c r="Z8" s="133" t="s">
        <v>670</v>
      </c>
      <c r="AA8" s="134">
        <f t="shared" ca="1" si="9"/>
        <v>-19</v>
      </c>
      <c r="AB8" s="125">
        <f t="shared" si="6"/>
        <v>45181</v>
      </c>
      <c r="AC8" s="133" t="s">
        <v>670</v>
      </c>
      <c r="AD8" s="125">
        <v>45167.333333333336</v>
      </c>
      <c r="AE8" s="134">
        <f t="shared" ca="1" si="7"/>
        <v>37.666666666664241</v>
      </c>
      <c r="AF8" s="133" t="s">
        <v>670</v>
      </c>
      <c r="AG8" s="125">
        <v>45167.333333333336</v>
      </c>
      <c r="AH8" s="135">
        <v>45167.333333333336</v>
      </c>
    </row>
    <row r="9" spans="1:35" x14ac:dyDescent="0.3">
      <c r="B9" s="124" t="e">
        <f t="shared" ca="1" si="0"/>
        <v>#NAME?</v>
      </c>
      <c r="C9" s="124" t="str">
        <f t="shared" si="1"/>
        <v>TEST.001</v>
      </c>
      <c r="D9" s="126">
        <v>1</v>
      </c>
      <c r="E9" s="124">
        <f>COUNT($E$3:E8)+1</f>
        <v>7</v>
      </c>
      <c r="F9" s="140" t="s">
        <v>674</v>
      </c>
      <c r="G9" s="141" t="s">
        <v>675</v>
      </c>
      <c r="H9" s="141" t="s">
        <v>676</v>
      </c>
      <c r="I9" s="142" t="e">
        <f t="shared" ca="1" si="2"/>
        <v>#NAME?</v>
      </c>
      <c r="J9" s="7" t="str">
        <f>Details!A210</f>
        <v>No</v>
      </c>
      <c r="K9" s="123" t="s">
        <v>498</v>
      </c>
      <c r="L9" s="123" t="str">
        <f t="shared" si="3"/>
        <v>Yes</v>
      </c>
      <c r="M9" s="127"/>
      <c r="N9" s="145" t="s">
        <v>200</v>
      </c>
      <c r="O9" s="7">
        <v>10</v>
      </c>
      <c r="P9" s="7">
        <v>3</v>
      </c>
      <c r="Q9" s="124" t="s">
        <v>669</v>
      </c>
      <c r="R9" s="146">
        <v>0.5</v>
      </c>
      <c r="S9" s="146"/>
      <c r="T9" s="146">
        <f t="shared" si="4"/>
        <v>0</v>
      </c>
      <c r="U9" s="144">
        <v>150</v>
      </c>
      <c r="V9" s="144">
        <f t="shared" si="5"/>
        <v>75</v>
      </c>
      <c r="W9" s="144">
        <f t="shared" si="8"/>
        <v>75</v>
      </c>
      <c r="X9" s="128" t="s">
        <v>670</v>
      </c>
      <c r="Y9" s="125">
        <v>45167.333333333336</v>
      </c>
      <c r="Z9" s="128" t="s">
        <v>670</v>
      </c>
      <c r="AA9" s="130">
        <f t="shared" ca="1" si="9"/>
        <v>-19</v>
      </c>
      <c r="AB9" s="129">
        <f t="shared" si="6"/>
        <v>45181</v>
      </c>
      <c r="AC9" s="128" t="s">
        <v>670</v>
      </c>
      <c r="AD9" s="129">
        <v>45167.333333333336</v>
      </c>
      <c r="AE9" s="130">
        <f t="shared" ca="1" si="7"/>
        <v>37.666666666664241</v>
      </c>
      <c r="AF9" s="128" t="s">
        <v>670</v>
      </c>
      <c r="AG9" s="125">
        <v>45167.333333333336</v>
      </c>
      <c r="AH9" s="131">
        <v>45167.333333333336</v>
      </c>
    </row>
    <row r="10" spans="1:35" x14ac:dyDescent="0.3">
      <c r="B10" s="124" t="e">
        <f t="shared" ca="1" si="0"/>
        <v>#NAME?</v>
      </c>
      <c r="C10" s="124" t="str">
        <f t="shared" si="1"/>
        <v>TEST.001</v>
      </c>
      <c r="D10" s="126">
        <v>1</v>
      </c>
      <c r="E10" s="124">
        <f>COUNT($E$3:E9)+1</f>
        <v>8</v>
      </c>
      <c r="F10" s="140" t="s">
        <v>674</v>
      </c>
      <c r="G10" s="141" t="s">
        <v>675</v>
      </c>
      <c r="H10" s="141" t="s">
        <v>677</v>
      </c>
      <c r="I10" s="142" t="e">
        <f t="shared" ca="1" si="2"/>
        <v>#NAME?</v>
      </c>
      <c r="J10" s="7" t="str">
        <f>Details!A211</f>
        <v>Yes</v>
      </c>
      <c r="K10" s="123" t="s">
        <v>498</v>
      </c>
      <c r="L10" s="123" t="str">
        <f t="shared" si="3"/>
        <v>Yes</v>
      </c>
      <c r="M10" s="127"/>
      <c r="N10" s="145" t="s">
        <v>200</v>
      </c>
      <c r="O10" s="7">
        <v>10</v>
      </c>
      <c r="P10" s="7">
        <v>3</v>
      </c>
      <c r="Q10" s="124" t="s">
        <v>669</v>
      </c>
      <c r="R10" s="146">
        <v>0.5</v>
      </c>
      <c r="S10" s="146"/>
      <c r="T10" s="146">
        <f t="shared" si="4"/>
        <v>0</v>
      </c>
      <c r="U10" s="144">
        <v>150</v>
      </c>
      <c r="V10" s="144">
        <f t="shared" si="5"/>
        <v>75</v>
      </c>
      <c r="W10" s="144">
        <f t="shared" si="8"/>
        <v>75</v>
      </c>
      <c r="X10" s="128" t="s">
        <v>670</v>
      </c>
      <c r="Y10" s="125">
        <v>45167.333333333336</v>
      </c>
      <c r="Z10" s="128" t="s">
        <v>670</v>
      </c>
      <c r="AA10" s="130">
        <f t="shared" ca="1" si="9"/>
        <v>-19</v>
      </c>
      <c r="AB10" s="129">
        <f t="shared" si="6"/>
        <v>45181</v>
      </c>
      <c r="AC10" s="128" t="s">
        <v>670</v>
      </c>
      <c r="AD10" s="129">
        <v>45167.333333333336</v>
      </c>
      <c r="AE10" s="130">
        <f t="shared" ca="1" si="7"/>
        <v>37.666666666664241</v>
      </c>
      <c r="AF10" s="128" t="s">
        <v>670</v>
      </c>
      <c r="AG10" s="125">
        <v>45167.333333333336</v>
      </c>
      <c r="AH10" s="131">
        <v>45167.333333333336</v>
      </c>
    </row>
    <row r="11" spans="1:35" x14ac:dyDescent="0.3">
      <c r="B11" s="124" t="e">
        <f t="shared" ca="1" si="0"/>
        <v>#NAME?</v>
      </c>
      <c r="C11" s="124" t="str">
        <f t="shared" si="1"/>
        <v>TEST.001</v>
      </c>
      <c r="D11" s="124">
        <v>1</v>
      </c>
      <c r="E11" s="124">
        <f>COUNT($E$3:E10)+1</f>
        <v>9</v>
      </c>
      <c r="F11" s="140" t="s">
        <v>674</v>
      </c>
      <c r="G11" s="141" t="s">
        <v>675</v>
      </c>
      <c r="H11" s="141" t="s">
        <v>678</v>
      </c>
      <c r="I11" s="142" t="e">
        <f t="shared" ca="1" si="2"/>
        <v>#NAME?</v>
      </c>
      <c r="J11" s="7" t="str">
        <f>Details!A212</f>
        <v>No</v>
      </c>
      <c r="K11" s="123" t="s">
        <v>498</v>
      </c>
      <c r="L11" s="123" t="str">
        <f t="shared" si="3"/>
        <v>Yes</v>
      </c>
      <c r="M11" s="132"/>
      <c r="N11" s="145" t="s">
        <v>195</v>
      </c>
      <c r="O11" s="7">
        <v>3</v>
      </c>
      <c r="P11" s="7">
        <v>3</v>
      </c>
      <c r="Q11" s="124" t="s">
        <v>669</v>
      </c>
      <c r="R11" s="146">
        <v>0.5</v>
      </c>
      <c r="S11" s="146"/>
      <c r="T11" s="146">
        <f t="shared" si="4"/>
        <v>0</v>
      </c>
      <c r="U11" s="144">
        <v>150</v>
      </c>
      <c r="V11" s="144">
        <f t="shared" si="5"/>
        <v>75</v>
      </c>
      <c r="W11" s="144">
        <f t="shared" si="8"/>
        <v>75</v>
      </c>
      <c r="X11" s="133" t="s">
        <v>670</v>
      </c>
      <c r="Y11" s="125">
        <v>45167.333333333336</v>
      </c>
      <c r="Z11" s="133" t="s">
        <v>670</v>
      </c>
      <c r="AA11" s="134">
        <f t="shared" ca="1" si="9"/>
        <v>-26</v>
      </c>
      <c r="AB11" s="125">
        <f t="shared" si="6"/>
        <v>45170</v>
      </c>
      <c r="AC11" s="133" t="s">
        <v>670</v>
      </c>
      <c r="AD11" s="125">
        <v>45167.333333333336</v>
      </c>
      <c r="AE11" s="134">
        <f t="shared" ca="1" si="7"/>
        <v>37.666666666664241</v>
      </c>
      <c r="AF11" s="133" t="s">
        <v>670</v>
      </c>
      <c r="AG11" s="125">
        <v>45167.333333333336</v>
      </c>
      <c r="AH11" s="135">
        <v>45167.333333333336</v>
      </c>
    </row>
    <row r="12" spans="1:35" x14ac:dyDescent="0.3">
      <c r="B12" s="124" t="e">
        <f t="shared" ca="1" si="0"/>
        <v>#NAME?</v>
      </c>
      <c r="C12" s="124" t="str">
        <f t="shared" si="1"/>
        <v>TEST.001</v>
      </c>
      <c r="D12" s="124">
        <v>1</v>
      </c>
      <c r="E12" s="124">
        <f>COUNT($E$3:E11)+1</f>
        <v>10</v>
      </c>
      <c r="F12" s="140" t="s">
        <v>674</v>
      </c>
      <c r="G12" s="141" t="s">
        <v>675</v>
      </c>
      <c r="H12" s="141" t="s">
        <v>679</v>
      </c>
      <c r="I12" s="142" t="e">
        <f t="shared" ca="1" si="2"/>
        <v>#NAME?</v>
      </c>
      <c r="J12" s="7" t="str">
        <f>Details!A213</f>
        <v>No</v>
      </c>
      <c r="K12" s="123" t="s">
        <v>498</v>
      </c>
      <c r="L12" s="123" t="str">
        <f t="shared" si="3"/>
        <v>Yes</v>
      </c>
      <c r="M12" s="132"/>
      <c r="N12" s="145" t="s">
        <v>195</v>
      </c>
      <c r="O12" s="7">
        <v>10</v>
      </c>
      <c r="P12" s="7">
        <v>3</v>
      </c>
      <c r="Q12" s="124" t="s">
        <v>669</v>
      </c>
      <c r="R12" s="146">
        <v>0.5</v>
      </c>
      <c r="S12" s="146">
        <v>1.5</v>
      </c>
      <c r="T12" s="146">
        <f t="shared" si="4"/>
        <v>1</v>
      </c>
      <c r="U12" s="144">
        <v>150</v>
      </c>
      <c r="V12" s="144">
        <f t="shared" si="5"/>
        <v>75</v>
      </c>
      <c r="W12" s="144">
        <f t="shared" si="8"/>
        <v>225</v>
      </c>
      <c r="X12" s="133" t="s">
        <v>670</v>
      </c>
      <c r="Y12" s="125">
        <v>45167.333333333336</v>
      </c>
      <c r="Z12" s="133" t="s">
        <v>670</v>
      </c>
      <c r="AA12" s="134">
        <f t="shared" ca="1" si="9"/>
        <v>-29</v>
      </c>
      <c r="AB12" s="125">
        <f t="shared" si="6"/>
        <v>45167</v>
      </c>
      <c r="AC12" s="133" t="s">
        <v>670</v>
      </c>
      <c r="AD12" s="125">
        <v>45153.333333333336</v>
      </c>
      <c r="AE12" s="134">
        <f t="shared" ca="1" si="7"/>
        <v>51.666666666664241</v>
      </c>
      <c r="AF12" s="133" t="s">
        <v>670</v>
      </c>
      <c r="AG12" s="125">
        <v>45167.333333333336</v>
      </c>
      <c r="AH12" s="135">
        <v>45167.333333333336</v>
      </c>
    </row>
    <row r="13" spans="1:35" x14ac:dyDescent="0.3">
      <c r="B13" s="124" t="e">
        <f t="shared" ca="1" si="0"/>
        <v>#NAME?</v>
      </c>
      <c r="C13" s="124" t="str">
        <f t="shared" si="1"/>
        <v>TEST.001</v>
      </c>
      <c r="D13" s="124">
        <v>1</v>
      </c>
      <c r="E13" s="124">
        <f>COUNT($E$3:E12)+1</f>
        <v>11</v>
      </c>
      <c r="F13" s="140" t="s">
        <v>674</v>
      </c>
      <c r="G13" s="141" t="s">
        <v>675</v>
      </c>
      <c r="H13" s="141" t="s">
        <v>680</v>
      </c>
      <c r="I13" s="142" t="e">
        <f t="shared" ca="1" si="2"/>
        <v>#NAME?</v>
      </c>
      <c r="J13" s="7" t="str">
        <f>Details!A214</f>
        <v>Yes</v>
      </c>
      <c r="K13" s="123" t="s">
        <v>498</v>
      </c>
      <c r="L13" s="123" t="str">
        <f t="shared" si="3"/>
        <v>Yes</v>
      </c>
      <c r="M13" s="132"/>
      <c r="N13" s="145" t="s">
        <v>200</v>
      </c>
      <c r="O13" s="7">
        <v>10</v>
      </c>
      <c r="P13" s="7">
        <v>3</v>
      </c>
      <c r="Q13" s="124" t="s">
        <v>669</v>
      </c>
      <c r="R13" s="146">
        <v>0.5</v>
      </c>
      <c r="S13" s="146"/>
      <c r="T13" s="146">
        <f t="shared" si="4"/>
        <v>0</v>
      </c>
      <c r="U13" s="144">
        <v>150</v>
      </c>
      <c r="V13" s="144">
        <f t="shared" si="5"/>
        <v>75</v>
      </c>
      <c r="W13" s="144">
        <f t="shared" si="8"/>
        <v>75</v>
      </c>
      <c r="X13" s="133" t="s">
        <v>670</v>
      </c>
      <c r="Y13" s="125">
        <v>45167.333333333336</v>
      </c>
      <c r="Z13" s="133" t="s">
        <v>670</v>
      </c>
      <c r="AA13" s="134">
        <f t="shared" ca="1" si="9"/>
        <v>-19</v>
      </c>
      <c r="AB13" s="125">
        <f t="shared" si="6"/>
        <v>45181</v>
      </c>
      <c r="AC13" s="133" t="s">
        <v>670</v>
      </c>
      <c r="AD13" s="125">
        <v>45167.333333333336</v>
      </c>
      <c r="AE13" s="134">
        <f t="shared" ca="1" si="7"/>
        <v>37.666666666664241</v>
      </c>
      <c r="AF13" s="133" t="s">
        <v>670</v>
      </c>
      <c r="AG13" s="125">
        <v>45167.333333333336</v>
      </c>
      <c r="AH13" s="135">
        <v>45167.333333333336</v>
      </c>
    </row>
    <row r="14" spans="1:35" x14ac:dyDescent="0.3">
      <c r="B14" s="124" t="e">
        <f t="shared" ca="1" si="0"/>
        <v>#NAME?</v>
      </c>
      <c r="C14" s="124" t="str">
        <f t="shared" si="1"/>
        <v>TEST.001</v>
      </c>
      <c r="D14" s="124">
        <v>1</v>
      </c>
      <c r="E14" s="124">
        <f>COUNT($E$3:E13)+1</f>
        <v>12</v>
      </c>
      <c r="F14" s="140" t="s">
        <v>674</v>
      </c>
      <c r="G14" s="141" t="s">
        <v>675</v>
      </c>
      <c r="H14" s="141" t="s">
        <v>681</v>
      </c>
      <c r="I14" s="142" t="e">
        <f t="shared" ca="1" si="2"/>
        <v>#NAME?</v>
      </c>
      <c r="J14" s="7" t="str">
        <f>Details!A215</f>
        <v>Yes</v>
      </c>
      <c r="K14" s="123" t="s">
        <v>498</v>
      </c>
      <c r="L14" s="123" t="str">
        <f t="shared" si="3"/>
        <v>Yes</v>
      </c>
      <c r="M14" s="132"/>
      <c r="N14" s="145" t="s">
        <v>195</v>
      </c>
      <c r="O14" s="7">
        <v>10</v>
      </c>
      <c r="P14" s="7">
        <v>3</v>
      </c>
      <c r="Q14" s="124" t="s">
        <v>669</v>
      </c>
      <c r="R14" s="146">
        <v>0.5</v>
      </c>
      <c r="S14" s="146"/>
      <c r="T14" s="146">
        <f t="shared" si="4"/>
        <v>0</v>
      </c>
      <c r="U14" s="144">
        <v>150</v>
      </c>
      <c r="V14" s="144">
        <f t="shared" si="5"/>
        <v>75</v>
      </c>
      <c r="W14" s="144">
        <f t="shared" si="8"/>
        <v>75</v>
      </c>
      <c r="X14" s="133" t="s">
        <v>670</v>
      </c>
      <c r="Y14" s="125">
        <v>45167.333333333336</v>
      </c>
      <c r="Z14" s="133" t="s">
        <v>670</v>
      </c>
      <c r="AA14" s="134">
        <f t="shared" ca="1" si="9"/>
        <v>-19</v>
      </c>
      <c r="AB14" s="125">
        <f t="shared" si="6"/>
        <v>45181</v>
      </c>
      <c r="AC14" s="133" t="s">
        <v>670</v>
      </c>
      <c r="AD14" s="125">
        <v>45167.333333333336</v>
      </c>
      <c r="AE14" s="134">
        <f t="shared" ca="1" si="7"/>
        <v>37.666666666664241</v>
      </c>
      <c r="AF14" s="133" t="s">
        <v>670</v>
      </c>
      <c r="AG14" s="125">
        <v>45167.333333333336</v>
      </c>
      <c r="AH14" s="135">
        <v>45167.333333333336</v>
      </c>
    </row>
    <row r="15" spans="1:35" x14ac:dyDescent="0.3">
      <c r="B15" s="124" t="e">
        <f t="shared" ca="1" si="0"/>
        <v>#NAME?</v>
      </c>
      <c r="C15" s="124" t="str">
        <f t="shared" si="1"/>
        <v>TEST.001</v>
      </c>
      <c r="D15" s="124">
        <v>1</v>
      </c>
      <c r="E15" s="124">
        <f>COUNT($E$3:E14)+1</f>
        <v>13</v>
      </c>
      <c r="F15" s="140" t="s">
        <v>674</v>
      </c>
      <c r="G15" s="141" t="s">
        <v>675</v>
      </c>
      <c r="H15" s="141" t="s">
        <v>27</v>
      </c>
      <c r="I15" s="142" t="e">
        <f t="shared" ca="1" si="2"/>
        <v>#NAME?</v>
      </c>
      <c r="J15" s="7" t="str">
        <f>Details!A216</f>
        <v>No</v>
      </c>
      <c r="K15" s="123" t="s">
        <v>498</v>
      </c>
      <c r="L15" s="123" t="str">
        <f t="shared" si="3"/>
        <v>Yes</v>
      </c>
      <c r="M15" s="132"/>
      <c r="N15" s="145" t="s">
        <v>195</v>
      </c>
      <c r="O15" s="7">
        <v>10</v>
      </c>
      <c r="P15" s="7">
        <v>3</v>
      </c>
      <c r="Q15" s="124" t="s">
        <v>669</v>
      </c>
      <c r="R15" s="146">
        <v>0.5</v>
      </c>
      <c r="S15" s="146"/>
      <c r="T15" s="146">
        <f t="shared" si="4"/>
        <v>0</v>
      </c>
      <c r="U15" s="144">
        <v>150</v>
      </c>
      <c r="V15" s="144">
        <f t="shared" si="5"/>
        <v>75</v>
      </c>
      <c r="W15" s="144">
        <f t="shared" si="8"/>
        <v>75</v>
      </c>
      <c r="X15" s="133" t="s">
        <v>670</v>
      </c>
      <c r="Y15" s="125">
        <v>45167.333333333336</v>
      </c>
      <c r="Z15" s="133" t="s">
        <v>670</v>
      </c>
      <c r="AA15" s="134">
        <f t="shared" ca="1" si="9"/>
        <v>-19</v>
      </c>
      <c r="AB15" s="125">
        <f t="shared" si="6"/>
        <v>45181</v>
      </c>
      <c r="AC15" s="133" t="s">
        <v>670</v>
      </c>
      <c r="AD15" s="125">
        <v>45167.333333333336</v>
      </c>
      <c r="AE15" s="134">
        <f t="shared" ca="1" si="7"/>
        <v>37.666666666664241</v>
      </c>
      <c r="AF15" s="133" t="s">
        <v>670</v>
      </c>
      <c r="AG15" s="125">
        <v>45167.333333333336</v>
      </c>
      <c r="AH15" s="135">
        <v>45167.333333333336</v>
      </c>
    </row>
    <row r="16" spans="1:35" x14ac:dyDescent="0.3">
      <c r="B16" s="124" t="e">
        <f t="shared" ca="1" si="0"/>
        <v>#NAME?</v>
      </c>
      <c r="C16" s="124" t="str">
        <f t="shared" si="1"/>
        <v>TEST.001</v>
      </c>
      <c r="D16" s="124">
        <v>1</v>
      </c>
      <c r="E16" s="124">
        <f>COUNT($E$3:E15)+1</f>
        <v>14</v>
      </c>
      <c r="F16" s="140" t="s">
        <v>674</v>
      </c>
      <c r="G16" s="141" t="s">
        <v>675</v>
      </c>
      <c r="H16" s="141" t="s">
        <v>37</v>
      </c>
      <c r="I16" s="142" t="e">
        <f t="shared" ca="1" si="2"/>
        <v>#NAME?</v>
      </c>
      <c r="J16" s="7" t="str">
        <f>Details!A217</f>
        <v>Yes</v>
      </c>
      <c r="K16" s="123" t="s">
        <v>498</v>
      </c>
      <c r="L16" s="123" t="str">
        <f t="shared" si="3"/>
        <v>Yes</v>
      </c>
      <c r="M16" s="132"/>
      <c r="N16" s="145" t="s">
        <v>200</v>
      </c>
      <c r="O16" s="7">
        <v>10</v>
      </c>
      <c r="P16" s="7">
        <v>3</v>
      </c>
      <c r="Q16" s="124" t="s">
        <v>669</v>
      </c>
      <c r="R16" s="147">
        <v>0.5</v>
      </c>
      <c r="S16" s="147"/>
      <c r="T16" s="147">
        <f t="shared" si="4"/>
        <v>0</v>
      </c>
      <c r="U16" s="144">
        <v>150</v>
      </c>
      <c r="V16" s="144">
        <f t="shared" si="5"/>
        <v>75</v>
      </c>
      <c r="W16" s="144">
        <f t="shared" si="8"/>
        <v>75</v>
      </c>
      <c r="X16" s="133" t="s">
        <v>670</v>
      </c>
      <c r="Y16" s="125">
        <v>45167.333333333336</v>
      </c>
      <c r="Z16" s="133" t="s">
        <v>670</v>
      </c>
      <c r="AA16" s="134">
        <f t="shared" ca="1" si="9"/>
        <v>-19</v>
      </c>
      <c r="AB16" s="125">
        <f t="shared" si="6"/>
        <v>45181</v>
      </c>
      <c r="AC16" s="133" t="s">
        <v>670</v>
      </c>
      <c r="AD16" s="125">
        <v>45167.333333333336</v>
      </c>
      <c r="AE16" s="134">
        <f t="shared" ca="1" si="7"/>
        <v>37.666666666664241</v>
      </c>
      <c r="AF16" s="133" t="s">
        <v>670</v>
      </c>
      <c r="AG16" s="125">
        <v>45167.333333333336</v>
      </c>
      <c r="AH16" s="135">
        <v>45167.333333333336</v>
      </c>
    </row>
    <row r="17" spans="2:34" x14ac:dyDescent="0.3">
      <c r="B17" s="124" t="e">
        <f t="shared" ca="1" si="0"/>
        <v>#NAME?</v>
      </c>
      <c r="C17" s="124" t="str">
        <f t="shared" si="1"/>
        <v>TEST.001</v>
      </c>
      <c r="D17" s="126">
        <v>1</v>
      </c>
      <c r="E17" s="124">
        <f>COUNT($E$3:E16)+1</f>
        <v>15</v>
      </c>
      <c r="F17" s="140" t="s">
        <v>674</v>
      </c>
      <c r="G17" s="141" t="s">
        <v>675</v>
      </c>
      <c r="H17" s="141" t="s">
        <v>682</v>
      </c>
      <c r="I17" s="142" t="e">
        <f t="shared" ca="1" si="2"/>
        <v>#NAME?</v>
      </c>
      <c r="J17" s="7" t="str">
        <f>Details!A218</f>
        <v>No</v>
      </c>
      <c r="K17" s="123" t="s">
        <v>498</v>
      </c>
      <c r="L17" s="123" t="str">
        <f t="shared" si="3"/>
        <v>Yes</v>
      </c>
      <c r="M17" s="127"/>
      <c r="N17" s="145" t="s">
        <v>195</v>
      </c>
      <c r="O17" s="7">
        <v>10</v>
      </c>
      <c r="P17" s="7">
        <v>3</v>
      </c>
      <c r="Q17" s="124" t="s">
        <v>669</v>
      </c>
      <c r="R17" s="146">
        <v>0.5</v>
      </c>
      <c r="S17" s="146"/>
      <c r="T17" s="146">
        <f t="shared" si="4"/>
        <v>0</v>
      </c>
      <c r="U17" s="144">
        <v>150</v>
      </c>
      <c r="V17" s="144">
        <f t="shared" si="5"/>
        <v>75</v>
      </c>
      <c r="W17" s="144">
        <f t="shared" si="8"/>
        <v>75</v>
      </c>
      <c r="X17" s="128" t="s">
        <v>670</v>
      </c>
      <c r="Y17" s="125">
        <v>45167.333333333336</v>
      </c>
      <c r="Z17" s="128" t="s">
        <v>670</v>
      </c>
      <c r="AA17" s="130">
        <f t="shared" ca="1" si="9"/>
        <v>-19</v>
      </c>
      <c r="AB17" s="129">
        <f t="shared" si="6"/>
        <v>45181</v>
      </c>
      <c r="AC17" s="128" t="s">
        <v>670</v>
      </c>
      <c r="AD17" s="129">
        <v>45167.333333333336</v>
      </c>
      <c r="AE17" s="130">
        <f t="shared" ca="1" si="7"/>
        <v>37.666666666664241</v>
      </c>
      <c r="AF17" s="128" t="s">
        <v>670</v>
      </c>
      <c r="AG17" s="125">
        <v>45167.333333333336</v>
      </c>
      <c r="AH17" s="131">
        <v>45167.333333333336</v>
      </c>
    </row>
    <row r="18" spans="2:34" x14ac:dyDescent="0.3">
      <c r="B18" s="124" t="e">
        <f t="shared" ca="1" si="0"/>
        <v>#NAME?</v>
      </c>
      <c r="C18" s="124" t="str">
        <f t="shared" si="1"/>
        <v>TEST.001</v>
      </c>
      <c r="D18" s="124">
        <v>1</v>
      </c>
      <c r="E18" s="124">
        <f>COUNT($E$3:E17)+1</f>
        <v>16</v>
      </c>
      <c r="F18" s="140" t="s">
        <v>674</v>
      </c>
      <c r="G18" s="141" t="s">
        <v>675</v>
      </c>
      <c r="H18" s="141" t="s">
        <v>31</v>
      </c>
      <c r="I18" s="142" t="e">
        <f t="shared" ca="1" si="2"/>
        <v>#NAME?</v>
      </c>
      <c r="J18" s="7" t="str">
        <f>Details!A219</f>
        <v>No</v>
      </c>
      <c r="K18" s="123" t="s">
        <v>498</v>
      </c>
      <c r="L18" s="123" t="str">
        <f t="shared" si="3"/>
        <v>Yes</v>
      </c>
      <c r="M18" s="132"/>
      <c r="N18" s="145" t="s">
        <v>192</v>
      </c>
      <c r="O18" s="7">
        <v>10</v>
      </c>
      <c r="P18" s="7">
        <v>3</v>
      </c>
      <c r="Q18" s="124" t="s">
        <v>669</v>
      </c>
      <c r="R18" s="147">
        <v>0.5</v>
      </c>
      <c r="S18" s="147"/>
      <c r="T18" s="147">
        <f t="shared" si="4"/>
        <v>0</v>
      </c>
      <c r="U18" s="144">
        <v>150</v>
      </c>
      <c r="V18" s="144">
        <f t="shared" si="5"/>
        <v>75</v>
      </c>
      <c r="W18" s="144">
        <f t="shared" si="8"/>
        <v>75</v>
      </c>
      <c r="X18" s="133" t="s">
        <v>670</v>
      </c>
      <c r="Y18" s="125">
        <v>45167.333333333336</v>
      </c>
      <c r="Z18" s="133" t="s">
        <v>670</v>
      </c>
      <c r="AA18" s="134">
        <f t="shared" ca="1" si="9"/>
        <v>-19</v>
      </c>
      <c r="AB18" s="125">
        <f t="shared" si="6"/>
        <v>45181</v>
      </c>
      <c r="AC18" s="133" t="s">
        <v>670</v>
      </c>
      <c r="AD18" s="125">
        <v>45167.333333333336</v>
      </c>
      <c r="AE18" s="134">
        <f t="shared" ca="1" si="7"/>
        <v>37.666666666664241</v>
      </c>
      <c r="AF18" s="133" t="s">
        <v>670</v>
      </c>
      <c r="AG18" s="125">
        <v>45167.333333333336</v>
      </c>
      <c r="AH18" s="135">
        <v>45167.333333333336</v>
      </c>
    </row>
    <row r="19" spans="2:34" x14ac:dyDescent="0.3">
      <c r="B19" s="124" t="e">
        <f t="shared" ca="1" si="0"/>
        <v>#NAME?</v>
      </c>
      <c r="C19" s="124" t="str">
        <f t="shared" si="1"/>
        <v>TEST.001</v>
      </c>
      <c r="D19" s="124">
        <v>1</v>
      </c>
      <c r="E19" s="124">
        <f>COUNT($E$3:E18)+1</f>
        <v>17</v>
      </c>
      <c r="F19" s="140" t="s">
        <v>674</v>
      </c>
      <c r="G19" s="141" t="s">
        <v>675</v>
      </c>
      <c r="H19" s="141" t="s">
        <v>683</v>
      </c>
      <c r="I19" s="142" t="e">
        <f t="shared" ca="1" si="2"/>
        <v>#NAME?</v>
      </c>
      <c r="J19" s="7" t="str">
        <f>Details!A220</f>
        <v>Yes</v>
      </c>
      <c r="K19" s="123" t="s">
        <v>498</v>
      </c>
      <c r="L19" s="123" t="str">
        <f t="shared" si="3"/>
        <v>Yes</v>
      </c>
      <c r="M19" s="132"/>
      <c r="N19" s="145" t="s">
        <v>200</v>
      </c>
      <c r="O19" s="7">
        <v>10</v>
      </c>
      <c r="P19" s="7">
        <v>3</v>
      </c>
      <c r="Q19" s="124" t="s">
        <v>669</v>
      </c>
      <c r="R19" s="147">
        <v>0.5</v>
      </c>
      <c r="S19" s="147"/>
      <c r="T19" s="147">
        <f t="shared" si="4"/>
        <v>0</v>
      </c>
      <c r="U19" s="144">
        <v>150</v>
      </c>
      <c r="V19" s="144">
        <f t="shared" si="5"/>
        <v>75</v>
      </c>
      <c r="W19" s="144">
        <f t="shared" si="8"/>
        <v>75</v>
      </c>
      <c r="X19" s="133" t="s">
        <v>670</v>
      </c>
      <c r="Y19" s="125">
        <v>45167.333333333336</v>
      </c>
      <c r="Z19" s="133" t="s">
        <v>670</v>
      </c>
      <c r="AA19" s="134">
        <f t="shared" ca="1" si="9"/>
        <v>-19</v>
      </c>
      <c r="AB19" s="125">
        <f t="shared" si="6"/>
        <v>45181</v>
      </c>
      <c r="AC19" s="133" t="s">
        <v>670</v>
      </c>
      <c r="AD19" s="125">
        <v>45167.333333333336</v>
      </c>
      <c r="AE19" s="134">
        <f t="shared" ca="1" si="7"/>
        <v>37.666666666664241</v>
      </c>
      <c r="AF19" s="133" t="s">
        <v>670</v>
      </c>
      <c r="AG19" s="125">
        <v>45167.333333333336</v>
      </c>
      <c r="AH19" s="135">
        <v>45167.333333333336</v>
      </c>
    </row>
    <row r="20" spans="2:34" x14ac:dyDescent="0.3">
      <c r="B20" s="124" t="e">
        <f t="shared" ca="1" si="0"/>
        <v>#NAME?</v>
      </c>
      <c r="C20" s="124" t="str">
        <f t="shared" si="1"/>
        <v>TEST.001</v>
      </c>
      <c r="D20" s="124">
        <v>1</v>
      </c>
      <c r="E20" s="124">
        <f>COUNT($E$3:E19)+1</f>
        <v>18</v>
      </c>
      <c r="F20" s="140" t="s">
        <v>674</v>
      </c>
      <c r="G20" s="141" t="s">
        <v>675</v>
      </c>
      <c r="H20" s="141" t="s">
        <v>684</v>
      </c>
      <c r="I20" s="142" t="e">
        <f t="shared" ca="1" si="2"/>
        <v>#NAME?</v>
      </c>
      <c r="J20" s="7" t="str">
        <f>Details!A221</f>
        <v>Yes</v>
      </c>
      <c r="K20" s="123" t="s">
        <v>498</v>
      </c>
      <c r="L20" s="123" t="str">
        <f t="shared" si="3"/>
        <v>Yes</v>
      </c>
      <c r="M20" s="132"/>
      <c r="N20" s="145" t="s">
        <v>200</v>
      </c>
      <c r="O20" s="7">
        <v>10</v>
      </c>
      <c r="P20" s="7">
        <v>3</v>
      </c>
      <c r="Q20" s="124" t="s">
        <v>669</v>
      </c>
      <c r="R20" s="147">
        <v>0.5</v>
      </c>
      <c r="S20" s="147"/>
      <c r="T20" s="147">
        <f t="shared" si="4"/>
        <v>0</v>
      </c>
      <c r="U20" s="144">
        <v>150</v>
      </c>
      <c r="V20" s="144">
        <f t="shared" si="5"/>
        <v>75</v>
      </c>
      <c r="W20" s="144">
        <f t="shared" si="8"/>
        <v>75</v>
      </c>
      <c r="X20" s="133" t="s">
        <v>670</v>
      </c>
      <c r="Y20" s="125">
        <v>45167.333333333336</v>
      </c>
      <c r="Z20" s="133" t="s">
        <v>670</v>
      </c>
      <c r="AA20" s="134">
        <f t="shared" ca="1" si="9"/>
        <v>-19</v>
      </c>
      <c r="AB20" s="125">
        <f t="shared" si="6"/>
        <v>45181</v>
      </c>
      <c r="AC20" s="133" t="s">
        <v>670</v>
      </c>
      <c r="AD20" s="125">
        <v>45167.333333333336</v>
      </c>
      <c r="AE20" s="134">
        <f t="shared" ca="1" si="7"/>
        <v>37.666666666664241</v>
      </c>
      <c r="AF20" s="133" t="s">
        <v>670</v>
      </c>
      <c r="AG20" s="125">
        <v>45167.333333333336</v>
      </c>
      <c r="AH20" s="135">
        <v>45167.333333333336</v>
      </c>
    </row>
    <row r="21" spans="2:34" x14ac:dyDescent="0.3">
      <c r="B21" s="124" t="e">
        <f t="shared" ca="1" si="0"/>
        <v>#NAME?</v>
      </c>
      <c r="C21" s="124" t="str">
        <f t="shared" si="1"/>
        <v>TEST.001</v>
      </c>
      <c r="D21" s="124">
        <v>1</v>
      </c>
      <c r="E21" s="124">
        <f>COUNT($E$3:E20)+1</f>
        <v>19</v>
      </c>
      <c r="F21" s="140" t="s">
        <v>674</v>
      </c>
      <c r="G21" s="141" t="s">
        <v>675</v>
      </c>
      <c r="H21" s="141" t="s">
        <v>35</v>
      </c>
      <c r="I21" s="142" t="e">
        <f t="shared" ca="1" si="2"/>
        <v>#NAME?</v>
      </c>
      <c r="J21" s="7" t="str">
        <f>Details!A222</f>
        <v>Yes</v>
      </c>
      <c r="K21" s="123" t="s">
        <v>498</v>
      </c>
      <c r="L21" s="123" t="str">
        <f t="shared" si="3"/>
        <v>Yes</v>
      </c>
      <c r="M21" s="132"/>
      <c r="N21" s="145" t="s">
        <v>211</v>
      </c>
      <c r="O21" s="7">
        <v>10</v>
      </c>
      <c r="P21" s="7">
        <v>3</v>
      </c>
      <c r="Q21" s="124" t="s">
        <v>669</v>
      </c>
      <c r="R21" s="147">
        <v>0.5</v>
      </c>
      <c r="S21" s="147"/>
      <c r="T21" s="147">
        <f t="shared" si="4"/>
        <v>0</v>
      </c>
      <c r="U21" s="144">
        <v>150</v>
      </c>
      <c r="V21" s="144">
        <f t="shared" si="5"/>
        <v>75</v>
      </c>
      <c r="W21" s="144">
        <f t="shared" si="8"/>
        <v>75</v>
      </c>
      <c r="X21" s="133" t="s">
        <v>670</v>
      </c>
      <c r="Y21" s="125">
        <v>45167.333333333336</v>
      </c>
      <c r="Z21" s="133" t="s">
        <v>670</v>
      </c>
      <c r="AA21" s="134">
        <f t="shared" ca="1" si="9"/>
        <v>-19</v>
      </c>
      <c r="AB21" s="125">
        <f t="shared" si="6"/>
        <v>45181</v>
      </c>
      <c r="AC21" s="133" t="s">
        <v>670</v>
      </c>
      <c r="AD21" s="125">
        <v>45167.333333333336</v>
      </c>
      <c r="AE21" s="134">
        <f t="shared" ca="1" si="7"/>
        <v>37.666666666664241</v>
      </c>
      <c r="AF21" s="133" t="s">
        <v>670</v>
      </c>
      <c r="AG21" s="125">
        <v>45167.333333333336</v>
      </c>
      <c r="AH21" s="135">
        <v>45167.333333333336</v>
      </c>
    </row>
    <row r="22" spans="2:34" x14ac:dyDescent="0.3">
      <c r="B22" s="124" t="e">
        <f t="shared" ca="1" si="0"/>
        <v>#NAME?</v>
      </c>
      <c r="C22" s="124" t="str">
        <f t="shared" si="1"/>
        <v>TEST.001</v>
      </c>
      <c r="D22" s="124">
        <v>1</v>
      </c>
      <c r="E22" s="124">
        <f>COUNT($E$3:E21)+1</f>
        <v>20</v>
      </c>
      <c r="F22" s="140" t="s">
        <v>674</v>
      </c>
      <c r="G22" s="141" t="s">
        <v>675</v>
      </c>
      <c r="H22" s="141" t="s">
        <v>39</v>
      </c>
      <c r="I22" s="142" t="e">
        <f t="shared" ca="1" si="2"/>
        <v>#NAME?</v>
      </c>
      <c r="J22" s="7" t="str">
        <f>Details!A223</f>
        <v>No</v>
      </c>
      <c r="K22" s="123" t="s">
        <v>498</v>
      </c>
      <c r="L22" s="123" t="str">
        <f t="shared" si="3"/>
        <v>Yes</v>
      </c>
      <c r="M22" s="132"/>
      <c r="N22" s="145" t="s">
        <v>192</v>
      </c>
      <c r="O22" s="7">
        <v>10</v>
      </c>
      <c r="P22" s="7">
        <v>3</v>
      </c>
      <c r="Q22" s="124" t="s">
        <v>669</v>
      </c>
      <c r="R22" s="147">
        <v>0.5</v>
      </c>
      <c r="S22" s="147"/>
      <c r="T22" s="147">
        <f t="shared" si="4"/>
        <v>0</v>
      </c>
      <c r="U22" s="144">
        <v>150</v>
      </c>
      <c r="V22" s="144">
        <f t="shared" si="5"/>
        <v>75</v>
      </c>
      <c r="W22" s="144">
        <f t="shared" si="8"/>
        <v>75</v>
      </c>
      <c r="X22" s="133" t="s">
        <v>670</v>
      </c>
      <c r="Y22" s="125">
        <v>45167.333333333336</v>
      </c>
      <c r="Z22" s="133" t="s">
        <v>670</v>
      </c>
      <c r="AA22" s="134">
        <f t="shared" ca="1" si="9"/>
        <v>-19</v>
      </c>
      <c r="AB22" s="125">
        <f t="shared" si="6"/>
        <v>45181</v>
      </c>
      <c r="AC22" s="133" t="s">
        <v>670</v>
      </c>
      <c r="AD22" s="125">
        <v>45167.333333333336</v>
      </c>
      <c r="AE22" s="134">
        <f t="shared" ca="1" si="7"/>
        <v>37.666666666664241</v>
      </c>
      <c r="AF22" s="133" t="s">
        <v>670</v>
      </c>
      <c r="AG22" s="125">
        <v>45167.333333333336</v>
      </c>
      <c r="AH22" s="135">
        <v>45167.333333333336</v>
      </c>
    </row>
    <row r="23" spans="2:34" x14ac:dyDescent="0.3">
      <c r="B23" s="124" t="e">
        <f t="shared" ca="1" si="0"/>
        <v>#NAME?</v>
      </c>
      <c r="C23" s="124" t="str">
        <f t="shared" si="1"/>
        <v>TEST.001</v>
      </c>
      <c r="D23" s="124">
        <v>1</v>
      </c>
      <c r="E23" s="124">
        <f>COUNT($E$3:E22)+1</f>
        <v>21</v>
      </c>
      <c r="F23" s="140" t="s">
        <v>674</v>
      </c>
      <c r="G23" s="141" t="s">
        <v>675</v>
      </c>
      <c r="H23" s="141" t="s">
        <v>41</v>
      </c>
      <c r="I23" s="142" t="e">
        <f t="shared" ca="1" si="2"/>
        <v>#NAME?</v>
      </c>
      <c r="J23" s="7" t="str">
        <f>Details!A224</f>
        <v>No</v>
      </c>
      <c r="K23" s="123" t="s">
        <v>498</v>
      </c>
      <c r="L23" s="123" t="str">
        <f t="shared" si="3"/>
        <v>Yes</v>
      </c>
      <c r="M23" s="132"/>
      <c r="N23" s="145" t="s">
        <v>192</v>
      </c>
      <c r="O23" s="7">
        <v>10</v>
      </c>
      <c r="P23" s="7">
        <v>3</v>
      </c>
      <c r="Q23" s="124" t="s">
        <v>669</v>
      </c>
      <c r="R23" s="147">
        <v>0.5</v>
      </c>
      <c r="S23" s="147"/>
      <c r="T23" s="147">
        <f t="shared" si="4"/>
        <v>0</v>
      </c>
      <c r="U23" s="144">
        <v>150</v>
      </c>
      <c r="V23" s="144">
        <f t="shared" si="5"/>
        <v>75</v>
      </c>
      <c r="W23" s="144">
        <f t="shared" si="8"/>
        <v>75</v>
      </c>
      <c r="X23" s="133" t="s">
        <v>670</v>
      </c>
      <c r="Y23" s="125">
        <v>45167.333333333336</v>
      </c>
      <c r="Z23" s="133" t="s">
        <v>670</v>
      </c>
      <c r="AA23" s="134">
        <f t="shared" ca="1" si="9"/>
        <v>-19</v>
      </c>
      <c r="AB23" s="125">
        <f t="shared" si="6"/>
        <v>45181</v>
      </c>
      <c r="AC23" s="133" t="s">
        <v>670</v>
      </c>
      <c r="AD23" s="125">
        <v>45167.333333333336</v>
      </c>
      <c r="AE23" s="134">
        <f t="shared" ca="1" si="7"/>
        <v>37.666666666664241</v>
      </c>
      <c r="AF23" s="133" t="s">
        <v>670</v>
      </c>
      <c r="AG23" s="125">
        <v>45167.333333333336</v>
      </c>
      <c r="AH23" s="135">
        <v>45167.333333333336</v>
      </c>
    </row>
    <row r="24" spans="2:34" x14ac:dyDescent="0.3">
      <c r="B24" s="124" t="e">
        <f t="shared" ca="1" si="0"/>
        <v>#NAME?</v>
      </c>
      <c r="C24" s="124" t="str">
        <f t="shared" si="1"/>
        <v>TEST.001</v>
      </c>
      <c r="D24" s="124">
        <v>1</v>
      </c>
      <c r="E24" s="124">
        <f>COUNT($E$3:E23)+1</f>
        <v>22</v>
      </c>
      <c r="F24" s="140" t="s">
        <v>674</v>
      </c>
      <c r="G24" s="141" t="s">
        <v>675</v>
      </c>
      <c r="H24" s="141" t="s">
        <v>685</v>
      </c>
      <c r="I24" s="142" t="e">
        <f t="shared" ca="1" si="2"/>
        <v>#NAME?</v>
      </c>
      <c r="J24" s="7" t="str">
        <f>Details!A225</f>
        <v>No</v>
      </c>
      <c r="K24" s="123" t="s">
        <v>498</v>
      </c>
      <c r="L24" s="123" t="str">
        <f t="shared" si="3"/>
        <v>Yes</v>
      </c>
      <c r="M24" s="132"/>
      <c r="N24" s="145" t="s">
        <v>192</v>
      </c>
      <c r="O24" s="7">
        <v>10</v>
      </c>
      <c r="P24" s="7">
        <v>3</v>
      </c>
      <c r="Q24" s="124" t="s">
        <v>669</v>
      </c>
      <c r="R24" s="147">
        <v>0.5</v>
      </c>
      <c r="S24" s="147"/>
      <c r="T24" s="147">
        <f t="shared" si="4"/>
        <v>0</v>
      </c>
      <c r="U24" s="144">
        <v>150</v>
      </c>
      <c r="V24" s="144">
        <f t="shared" si="5"/>
        <v>75</v>
      </c>
      <c r="W24" s="144">
        <f t="shared" si="8"/>
        <v>75</v>
      </c>
      <c r="X24" s="133" t="s">
        <v>670</v>
      </c>
      <c r="Y24" s="125">
        <v>45167.333333333336</v>
      </c>
      <c r="Z24" s="133" t="s">
        <v>670</v>
      </c>
      <c r="AA24" s="134">
        <f t="shared" ca="1" si="9"/>
        <v>-19</v>
      </c>
      <c r="AB24" s="125">
        <f t="shared" si="6"/>
        <v>45181</v>
      </c>
      <c r="AC24" s="133" t="s">
        <v>670</v>
      </c>
      <c r="AD24" s="125">
        <v>45167.333333333336</v>
      </c>
      <c r="AE24" s="134">
        <f t="shared" ca="1" si="7"/>
        <v>37.666666666664241</v>
      </c>
      <c r="AF24" s="133" t="s">
        <v>670</v>
      </c>
      <c r="AG24" s="125">
        <v>45167.333333333336</v>
      </c>
      <c r="AH24" s="135">
        <v>45167.333333333336</v>
      </c>
    </row>
    <row r="25" spans="2:34" x14ac:dyDescent="0.3">
      <c r="B25" s="124" t="e">
        <f t="shared" ca="1" si="0"/>
        <v>#NAME?</v>
      </c>
      <c r="C25" s="124" t="str">
        <f t="shared" si="1"/>
        <v>TEST.001</v>
      </c>
      <c r="D25" s="124">
        <v>1</v>
      </c>
      <c r="E25" s="124">
        <f>COUNT($E$3:E24)+1</f>
        <v>23</v>
      </c>
      <c r="F25" s="140" t="s">
        <v>674</v>
      </c>
      <c r="G25" s="141" t="s">
        <v>675</v>
      </c>
      <c r="H25" s="141" t="s">
        <v>686</v>
      </c>
      <c r="I25" s="142" t="e">
        <f t="shared" ca="1" si="2"/>
        <v>#NAME?</v>
      </c>
      <c r="J25" s="7" t="str">
        <f>Details!A226</f>
        <v>No</v>
      </c>
      <c r="K25" s="123" t="s">
        <v>498</v>
      </c>
      <c r="L25" s="123" t="str">
        <f t="shared" si="3"/>
        <v>Yes</v>
      </c>
      <c r="M25" s="132"/>
      <c r="N25" s="145" t="s">
        <v>192</v>
      </c>
      <c r="O25" s="7">
        <v>3</v>
      </c>
      <c r="P25" s="7">
        <v>3</v>
      </c>
      <c r="Q25" s="124" t="s">
        <v>669</v>
      </c>
      <c r="R25" s="147">
        <v>0.5</v>
      </c>
      <c r="S25" s="147"/>
      <c r="T25" s="147">
        <f t="shared" si="4"/>
        <v>0</v>
      </c>
      <c r="U25" s="144">
        <v>150</v>
      </c>
      <c r="V25" s="144">
        <f t="shared" si="5"/>
        <v>75</v>
      </c>
      <c r="W25" s="144">
        <f t="shared" si="8"/>
        <v>75</v>
      </c>
      <c r="X25" s="133" t="s">
        <v>670</v>
      </c>
      <c r="Y25" s="125">
        <v>45167.333333333336</v>
      </c>
      <c r="Z25" s="133" t="s">
        <v>670</v>
      </c>
      <c r="AA25" s="134">
        <f t="shared" ca="1" si="9"/>
        <v>-26</v>
      </c>
      <c r="AB25" s="125">
        <f t="shared" si="6"/>
        <v>45170</v>
      </c>
      <c r="AC25" s="133" t="s">
        <v>670</v>
      </c>
      <c r="AD25" s="125">
        <v>45167.333333333336</v>
      </c>
      <c r="AE25" s="134">
        <f t="shared" ca="1" si="7"/>
        <v>37.666666666664241</v>
      </c>
      <c r="AF25" s="133" t="s">
        <v>670</v>
      </c>
      <c r="AG25" s="125">
        <v>45167.333333333336</v>
      </c>
      <c r="AH25" s="135">
        <v>45167.333333333336</v>
      </c>
    </row>
    <row r="26" spans="2:34" x14ac:dyDescent="0.3">
      <c r="B26" s="124" t="e">
        <f t="shared" ca="1" si="0"/>
        <v>#NAME?</v>
      </c>
      <c r="C26" s="124" t="str">
        <f t="shared" si="1"/>
        <v>TEST.001</v>
      </c>
      <c r="D26" s="124">
        <v>1</v>
      </c>
      <c r="E26" s="124">
        <f>COUNT($E$3:E25)+1</f>
        <v>24</v>
      </c>
      <c r="F26" s="140" t="s">
        <v>674</v>
      </c>
      <c r="G26" s="141" t="s">
        <v>675</v>
      </c>
      <c r="H26" s="141" t="s">
        <v>687</v>
      </c>
      <c r="I26" s="142" t="e">
        <f t="shared" ca="1" si="2"/>
        <v>#NAME?</v>
      </c>
      <c r="J26" s="7" t="str">
        <f>Details!A227</f>
        <v>No</v>
      </c>
      <c r="K26" s="123" t="s">
        <v>498</v>
      </c>
      <c r="L26" s="123" t="str">
        <f t="shared" si="3"/>
        <v>Yes</v>
      </c>
      <c r="M26" s="132"/>
      <c r="N26" s="145" t="s">
        <v>200</v>
      </c>
      <c r="O26" s="7">
        <v>10</v>
      </c>
      <c r="P26" s="7">
        <v>3</v>
      </c>
      <c r="Q26" s="124" t="s">
        <v>669</v>
      </c>
      <c r="R26" s="147">
        <v>0.5</v>
      </c>
      <c r="S26" s="147"/>
      <c r="T26" s="147">
        <f t="shared" si="4"/>
        <v>0</v>
      </c>
      <c r="U26" s="144">
        <v>150</v>
      </c>
      <c r="V26" s="144">
        <f t="shared" si="5"/>
        <v>75</v>
      </c>
      <c r="W26" s="144">
        <f t="shared" si="8"/>
        <v>75</v>
      </c>
      <c r="X26" s="133" t="s">
        <v>670</v>
      </c>
      <c r="Y26" s="125">
        <v>45167.333333333336</v>
      </c>
      <c r="Z26" s="133" t="s">
        <v>670</v>
      </c>
      <c r="AA26" s="134">
        <f ca="1">NETWORKDAYS(TODAY(),AB26)</f>
        <v>-19</v>
      </c>
      <c r="AB26" s="125">
        <f t="shared" si="6"/>
        <v>45181</v>
      </c>
      <c r="AC26" s="133" t="s">
        <v>670</v>
      </c>
      <c r="AD26" s="125">
        <v>45167.333333333336</v>
      </c>
      <c r="AE26" s="134">
        <f t="shared" ca="1" si="7"/>
        <v>37.666666666664241</v>
      </c>
      <c r="AF26" s="133" t="s">
        <v>670</v>
      </c>
      <c r="AG26" s="125">
        <v>45167.333333333336</v>
      </c>
      <c r="AH26" s="135">
        <v>45167.333333333336</v>
      </c>
    </row>
    <row r="27" spans="2:34" x14ac:dyDescent="0.3">
      <c r="B27" s="124" t="e">
        <f t="shared" ca="1" si="0"/>
        <v>#NAME?</v>
      </c>
      <c r="C27" s="124" t="str">
        <f t="shared" si="1"/>
        <v>TEST.001</v>
      </c>
      <c r="D27" s="124">
        <v>1</v>
      </c>
      <c r="E27" s="124">
        <f>COUNT($E$3:E26)+1</f>
        <v>25</v>
      </c>
      <c r="F27" s="140" t="s">
        <v>674</v>
      </c>
      <c r="G27" s="141" t="s">
        <v>688</v>
      </c>
      <c r="H27" s="141" t="s">
        <v>689</v>
      </c>
      <c r="I27" s="142" t="e">
        <f t="shared" ca="1" si="2"/>
        <v>#NAME?</v>
      </c>
      <c r="J27" s="7" t="str">
        <f>Details!A228</f>
        <v>No</v>
      </c>
      <c r="K27" s="123" t="s">
        <v>498</v>
      </c>
      <c r="L27" s="123" t="str">
        <f t="shared" si="3"/>
        <v>Yes</v>
      </c>
      <c r="M27" s="132"/>
      <c r="N27" s="145" t="s">
        <v>203</v>
      </c>
      <c r="O27" s="7">
        <v>10</v>
      </c>
      <c r="P27" s="7">
        <v>3</v>
      </c>
      <c r="Q27" s="124" t="s">
        <v>669</v>
      </c>
      <c r="R27" s="144"/>
      <c r="S27" s="144"/>
      <c r="T27" s="144"/>
      <c r="U27" s="144"/>
      <c r="V27" s="144"/>
      <c r="W27" s="144"/>
      <c r="X27" s="133" t="s">
        <v>670</v>
      </c>
      <c r="Y27" s="125">
        <v>45167.333333333336</v>
      </c>
      <c r="Z27" s="133" t="s">
        <v>670</v>
      </c>
      <c r="AA27" s="134">
        <f t="shared" ca="1" si="9"/>
        <v>-19</v>
      </c>
      <c r="AB27" s="125">
        <f t="shared" si="6"/>
        <v>45181</v>
      </c>
      <c r="AC27" s="133" t="s">
        <v>670</v>
      </c>
      <c r="AD27" s="125">
        <v>45167.333333333336</v>
      </c>
      <c r="AE27" s="134">
        <f t="shared" ca="1" si="7"/>
        <v>37.666666666664241</v>
      </c>
      <c r="AF27" s="133" t="s">
        <v>670</v>
      </c>
      <c r="AG27" s="125">
        <v>45167.333333333336</v>
      </c>
      <c r="AH27" s="135">
        <v>45167.333333333336</v>
      </c>
    </row>
    <row r="28" spans="2:34" x14ac:dyDescent="0.3">
      <c r="B28" s="124" t="e">
        <f t="shared" ca="1" si="0"/>
        <v>#NAME?</v>
      </c>
      <c r="C28" s="124" t="str">
        <f t="shared" si="1"/>
        <v>TEST.001</v>
      </c>
      <c r="D28" s="124">
        <v>1</v>
      </c>
      <c r="E28" s="124">
        <f>COUNT($E$3:E27)+1</f>
        <v>26</v>
      </c>
      <c r="F28" s="140" t="s">
        <v>674</v>
      </c>
      <c r="G28" s="141" t="s">
        <v>690</v>
      </c>
      <c r="H28" s="141" t="s">
        <v>691</v>
      </c>
      <c r="I28" s="142" t="e">
        <f t="shared" ca="1" si="2"/>
        <v>#NAME?</v>
      </c>
      <c r="J28" s="7" t="str">
        <f>Details!A229</f>
        <v>No</v>
      </c>
      <c r="K28" s="123" t="s">
        <v>498</v>
      </c>
      <c r="L28" s="123" t="str">
        <f t="shared" si="3"/>
        <v>Yes</v>
      </c>
      <c r="M28" s="132"/>
      <c r="N28" s="145" t="s">
        <v>215</v>
      </c>
      <c r="O28" s="7">
        <v>10</v>
      </c>
      <c r="P28" s="7">
        <v>3</v>
      </c>
      <c r="Q28" s="124" t="s">
        <v>669</v>
      </c>
      <c r="R28" s="144"/>
      <c r="S28" s="144"/>
      <c r="T28" s="144"/>
      <c r="U28" s="144"/>
      <c r="V28" s="144"/>
      <c r="W28" s="144"/>
      <c r="X28" s="133" t="s">
        <v>670</v>
      </c>
      <c r="Y28" s="125">
        <v>45167.333333333336</v>
      </c>
      <c r="Z28" s="133" t="s">
        <v>670</v>
      </c>
      <c r="AA28" s="134">
        <f t="shared" ca="1" si="9"/>
        <v>-19</v>
      </c>
      <c r="AB28" s="125">
        <f t="shared" si="6"/>
        <v>45181</v>
      </c>
      <c r="AC28" s="133" t="s">
        <v>670</v>
      </c>
      <c r="AD28" s="125">
        <v>45167.333333333336</v>
      </c>
      <c r="AE28" s="134">
        <f t="shared" ca="1" si="7"/>
        <v>37.666666666664241</v>
      </c>
      <c r="AF28" s="133" t="s">
        <v>670</v>
      </c>
      <c r="AG28" s="125">
        <v>45167.333333333336</v>
      </c>
      <c r="AH28" s="135">
        <v>45167.333333333336</v>
      </c>
    </row>
    <row r="29" spans="2:34" x14ac:dyDescent="0.3">
      <c r="B29" s="124" t="e">
        <f t="shared" ca="1" si="0"/>
        <v>#NAME?</v>
      </c>
      <c r="C29" s="124" t="str">
        <f t="shared" si="1"/>
        <v>TEST.001</v>
      </c>
      <c r="D29" s="124">
        <v>1</v>
      </c>
      <c r="E29" s="124">
        <f>COUNT($E$3:E28)+1</f>
        <v>27</v>
      </c>
      <c r="F29" s="140" t="s">
        <v>674</v>
      </c>
      <c r="G29" s="141" t="s">
        <v>690</v>
      </c>
      <c r="H29" s="141" t="s">
        <v>692</v>
      </c>
      <c r="I29" s="142" t="e">
        <f t="shared" ca="1" si="2"/>
        <v>#NAME?</v>
      </c>
      <c r="J29" s="7" t="str">
        <f>Details!A230</f>
        <v>No</v>
      </c>
      <c r="K29" s="123" t="s">
        <v>498</v>
      </c>
      <c r="L29" s="123" t="str">
        <f t="shared" si="3"/>
        <v>Yes</v>
      </c>
      <c r="M29" s="132"/>
      <c r="N29" s="145" t="s">
        <v>215</v>
      </c>
      <c r="O29" s="7">
        <v>10</v>
      </c>
      <c r="P29" s="7">
        <v>3</v>
      </c>
      <c r="Q29" s="124" t="s">
        <v>669</v>
      </c>
      <c r="R29" s="144"/>
      <c r="S29" s="144"/>
      <c r="T29" s="144"/>
      <c r="U29" s="144"/>
      <c r="V29" s="144"/>
      <c r="W29" s="144"/>
      <c r="X29" s="133" t="s">
        <v>670</v>
      </c>
      <c r="Y29" s="125">
        <v>45167.333333333336</v>
      </c>
      <c r="Z29" s="133" t="s">
        <v>670</v>
      </c>
      <c r="AA29" s="134">
        <f t="shared" ca="1" si="9"/>
        <v>-19</v>
      </c>
      <c r="AB29" s="125">
        <f t="shared" si="6"/>
        <v>45181</v>
      </c>
      <c r="AC29" s="133" t="s">
        <v>670</v>
      </c>
      <c r="AD29" s="125">
        <v>45167.333333333336</v>
      </c>
      <c r="AE29" s="134">
        <f t="shared" ca="1" si="7"/>
        <v>37.666666666664241</v>
      </c>
      <c r="AF29" s="133" t="s">
        <v>670</v>
      </c>
      <c r="AG29" s="125">
        <v>45167.333333333336</v>
      </c>
      <c r="AH29" s="135">
        <v>45167.333333333336</v>
      </c>
    </row>
    <row r="30" spans="2:34" x14ac:dyDescent="0.3">
      <c r="B30" s="124" t="e">
        <f t="shared" ca="1" si="0"/>
        <v>#NAME?</v>
      </c>
      <c r="C30" s="124" t="str">
        <f t="shared" si="1"/>
        <v>TEST.001</v>
      </c>
      <c r="D30" s="124">
        <v>1</v>
      </c>
      <c r="E30" s="124">
        <f>COUNT($E$3:E29)+1</f>
        <v>28</v>
      </c>
      <c r="F30" s="140" t="s">
        <v>674</v>
      </c>
      <c r="G30" s="141" t="s">
        <v>690</v>
      </c>
      <c r="H30" s="141" t="s">
        <v>693</v>
      </c>
      <c r="I30" s="142" t="e">
        <f t="shared" ca="1" si="2"/>
        <v>#NAME?</v>
      </c>
      <c r="J30" s="7" t="str">
        <f>Details!A231</f>
        <v>No</v>
      </c>
      <c r="K30" s="123" t="s">
        <v>498</v>
      </c>
      <c r="L30" s="123" t="str">
        <f t="shared" si="3"/>
        <v>Yes</v>
      </c>
      <c r="M30" s="132"/>
      <c r="N30" s="145" t="s">
        <v>215</v>
      </c>
      <c r="O30" s="7">
        <v>10</v>
      </c>
      <c r="P30" s="7">
        <v>3</v>
      </c>
      <c r="Q30" s="124" t="s">
        <v>659</v>
      </c>
      <c r="R30" s="144"/>
      <c r="S30" s="144"/>
      <c r="T30" s="144"/>
      <c r="U30" s="144"/>
      <c r="V30" s="144"/>
      <c r="W30" s="144"/>
      <c r="X30" s="133" t="s">
        <v>670</v>
      </c>
      <c r="Y30" s="125">
        <v>45167.333333333336</v>
      </c>
      <c r="Z30" s="133" t="s">
        <v>670</v>
      </c>
      <c r="AA30" s="134">
        <f t="shared" ca="1" si="9"/>
        <v>-19</v>
      </c>
      <c r="AB30" s="125">
        <f t="shared" si="6"/>
        <v>45181</v>
      </c>
      <c r="AC30" s="133" t="s">
        <v>670</v>
      </c>
      <c r="AD30" s="125">
        <v>45167.333333333336</v>
      </c>
      <c r="AE30" s="134">
        <f t="shared" ca="1" si="7"/>
        <v>37.666666666664241</v>
      </c>
      <c r="AF30" s="133" t="s">
        <v>670</v>
      </c>
      <c r="AG30" s="125">
        <v>45167.333333333336</v>
      </c>
      <c r="AH30" s="135">
        <v>45167.333333333336</v>
      </c>
    </row>
    <row r="31" spans="2:34" x14ac:dyDescent="0.3">
      <c r="B31" s="124" t="e">
        <f t="shared" ca="1" si="0"/>
        <v>#NAME?</v>
      </c>
      <c r="C31" s="124" t="str">
        <f t="shared" si="1"/>
        <v>TEST.001</v>
      </c>
      <c r="D31" s="124">
        <v>1</v>
      </c>
      <c r="E31" s="124">
        <f>COUNT($E$3:E30)+1</f>
        <v>29</v>
      </c>
      <c r="F31" s="140" t="s">
        <v>674</v>
      </c>
      <c r="G31" s="141" t="s">
        <v>690</v>
      </c>
      <c r="H31" s="141" t="s">
        <v>694</v>
      </c>
      <c r="I31" s="142" t="e">
        <f t="shared" ca="1" si="2"/>
        <v>#NAME?</v>
      </c>
      <c r="J31" s="7"/>
      <c r="K31" s="123" t="s">
        <v>498</v>
      </c>
      <c r="L31" s="123" t="str">
        <f>IF(OR(K31="Yes",K31="No"),K31,#REF!)</f>
        <v>Yes</v>
      </c>
      <c r="M31" s="132"/>
      <c r="N31" s="145" t="s">
        <v>215</v>
      </c>
      <c r="O31" s="7">
        <v>10</v>
      </c>
      <c r="P31" s="7">
        <v>3</v>
      </c>
      <c r="Q31" s="124" t="s">
        <v>695</v>
      </c>
      <c r="R31" s="144"/>
      <c r="S31" s="144"/>
      <c r="T31" s="144"/>
      <c r="U31" s="144"/>
      <c r="V31" s="144"/>
      <c r="W31" s="144"/>
      <c r="X31" s="133" t="s">
        <v>670</v>
      </c>
      <c r="Y31" s="125">
        <v>45167.333333333336</v>
      </c>
      <c r="Z31" s="133" t="s">
        <v>670</v>
      </c>
      <c r="AA31" s="134">
        <f t="shared" ca="1" si="9"/>
        <v>-19</v>
      </c>
      <c r="AB31" s="125">
        <f t="shared" si="6"/>
        <v>45181</v>
      </c>
      <c r="AC31" s="133" t="s">
        <v>670</v>
      </c>
      <c r="AD31" s="125">
        <v>45167.333333333336</v>
      </c>
      <c r="AE31" s="134">
        <f t="shared" ca="1" si="7"/>
        <v>37.666666666664241</v>
      </c>
      <c r="AF31" s="133" t="s">
        <v>670</v>
      </c>
      <c r="AG31" s="125">
        <v>45167.333333333336</v>
      </c>
      <c r="AH31" s="135">
        <v>45167.333333333336</v>
      </c>
    </row>
    <row r="32" spans="2:34" x14ac:dyDescent="0.3">
      <c r="B32" s="124" t="e">
        <f t="shared" ca="1" si="0"/>
        <v>#NAME?</v>
      </c>
      <c r="C32" s="124" t="str">
        <f t="shared" si="1"/>
        <v>TEST.001</v>
      </c>
      <c r="D32" s="124">
        <v>1</v>
      </c>
      <c r="E32" s="124">
        <f>COUNT($E$3:E31)+1</f>
        <v>30</v>
      </c>
      <c r="F32" s="140" t="s">
        <v>674</v>
      </c>
      <c r="G32" s="141" t="s">
        <v>696</v>
      </c>
      <c r="H32" s="141" t="s">
        <v>697</v>
      </c>
      <c r="I32" s="142" t="e">
        <f t="shared" ca="1" si="2"/>
        <v>#NAME?</v>
      </c>
      <c r="J32" s="7"/>
      <c r="K32" s="123" t="s">
        <v>498</v>
      </c>
      <c r="L32" s="123" t="str">
        <f>IF(OR(K32="Yes",K32="No"),K32,#REF!)</f>
        <v>Yes</v>
      </c>
      <c r="M32" s="132"/>
      <c r="N32" s="145" t="s">
        <v>240</v>
      </c>
      <c r="O32" s="7">
        <v>10</v>
      </c>
      <c r="P32" s="7">
        <v>3</v>
      </c>
      <c r="Q32" s="124" t="s">
        <v>131</v>
      </c>
      <c r="R32" s="144"/>
      <c r="S32" s="144"/>
      <c r="T32" s="144"/>
      <c r="U32" s="144"/>
      <c r="V32" s="144"/>
      <c r="W32" s="144"/>
      <c r="X32" s="133" t="s">
        <v>670</v>
      </c>
      <c r="Y32" s="125">
        <v>45167.333333333336</v>
      </c>
      <c r="Z32" s="133" t="s">
        <v>670</v>
      </c>
      <c r="AA32" s="134">
        <f t="shared" ca="1" si="9"/>
        <v>-19</v>
      </c>
      <c r="AB32" s="125">
        <f t="shared" si="6"/>
        <v>45181</v>
      </c>
      <c r="AC32" s="133" t="s">
        <v>670</v>
      </c>
      <c r="AD32" s="125">
        <v>45167.333333333336</v>
      </c>
      <c r="AE32" s="134">
        <f t="shared" ca="1" si="7"/>
        <v>37.666666666664241</v>
      </c>
      <c r="AF32" s="133" t="s">
        <v>670</v>
      </c>
      <c r="AG32" s="125">
        <v>45167.333333333336</v>
      </c>
      <c r="AH32" s="135">
        <v>45167.333333333336</v>
      </c>
    </row>
    <row r="33" spans="2:34" x14ac:dyDescent="0.3">
      <c r="B33" s="124" t="e">
        <f t="shared" ca="1" si="0"/>
        <v>#NAME?</v>
      </c>
      <c r="C33" s="124" t="str">
        <f t="shared" si="1"/>
        <v>TEST.001</v>
      </c>
      <c r="D33" s="124">
        <v>1</v>
      </c>
      <c r="E33" s="124">
        <f>COUNT($E$3:E32)+1</f>
        <v>31</v>
      </c>
      <c r="F33" s="140" t="s">
        <v>674</v>
      </c>
      <c r="G33" s="141" t="s">
        <v>698</v>
      </c>
      <c r="H33" s="141"/>
      <c r="I33" s="142" t="e">
        <f t="shared" ca="1" si="2"/>
        <v>#NAME?</v>
      </c>
      <c r="J33" s="7"/>
      <c r="K33" s="123" t="s">
        <v>498</v>
      </c>
      <c r="L33" s="123" t="str">
        <f>IF(OR(K33="Yes",K33="No"),K33,#REF!)</f>
        <v>Yes</v>
      </c>
      <c r="M33" s="132"/>
      <c r="N33" s="145" t="s">
        <v>255</v>
      </c>
      <c r="O33" s="7">
        <v>10</v>
      </c>
      <c r="P33" s="7">
        <v>3</v>
      </c>
      <c r="Q33" s="124" t="s">
        <v>699</v>
      </c>
      <c r="R33" s="144"/>
      <c r="S33" s="144"/>
      <c r="T33" s="144"/>
      <c r="U33" s="144"/>
      <c r="V33" s="144"/>
      <c r="W33" s="144"/>
      <c r="X33" s="133" t="s">
        <v>670</v>
      </c>
      <c r="Y33" s="125">
        <v>45167.333333333336</v>
      </c>
      <c r="Z33" s="133" t="s">
        <v>670</v>
      </c>
      <c r="AA33" s="134">
        <f t="shared" ca="1" si="9"/>
        <v>-19</v>
      </c>
      <c r="AB33" s="125">
        <f t="shared" si="6"/>
        <v>45181</v>
      </c>
      <c r="AC33" s="133" t="s">
        <v>670</v>
      </c>
      <c r="AD33" s="125">
        <v>45167.333333333336</v>
      </c>
      <c r="AE33" s="134">
        <f t="shared" ca="1" si="7"/>
        <v>37.666666666664241</v>
      </c>
      <c r="AF33" s="133" t="s">
        <v>670</v>
      </c>
      <c r="AG33" s="125">
        <v>45167.333333333336</v>
      </c>
      <c r="AH33" s="135">
        <v>45167.333333333336</v>
      </c>
    </row>
    <row r="34" spans="2:34" x14ac:dyDescent="0.3">
      <c r="B34" s="124" t="e">
        <f t="shared" ca="1" si="0"/>
        <v>#NAME?</v>
      </c>
      <c r="C34" s="124" t="str">
        <f>$C$3</f>
        <v>TEST.001</v>
      </c>
      <c r="D34" s="124">
        <v>1</v>
      </c>
      <c r="E34" s="124">
        <f>COUNT($E$3:E33)+1</f>
        <v>32</v>
      </c>
      <c r="F34" s="140" t="s">
        <v>674</v>
      </c>
      <c r="G34" s="141" t="s">
        <v>700</v>
      </c>
      <c r="H34" s="141"/>
      <c r="I34" s="142" t="e">
        <f t="shared" ca="1" si="2"/>
        <v>#NAME?</v>
      </c>
      <c r="J34" s="7"/>
      <c r="K34" s="123" t="s">
        <v>498</v>
      </c>
      <c r="L34" s="123" t="str">
        <f>IF(OR(K34="Yes",K34="No"),K34,#REF!)</f>
        <v>Yes</v>
      </c>
      <c r="M34" s="132"/>
      <c r="N34" s="145" t="s">
        <v>259</v>
      </c>
      <c r="O34" s="7">
        <v>10</v>
      </c>
      <c r="P34" s="7">
        <v>3</v>
      </c>
      <c r="Q34" s="124" t="s">
        <v>701</v>
      </c>
      <c r="R34" s="144"/>
      <c r="S34" s="144"/>
      <c r="T34" s="144"/>
      <c r="U34" s="144"/>
      <c r="V34" s="144"/>
      <c r="W34" s="144"/>
      <c r="X34" s="133" t="s">
        <v>670</v>
      </c>
      <c r="Y34" s="125">
        <v>45167.333333333336</v>
      </c>
      <c r="Z34" s="133" t="s">
        <v>670</v>
      </c>
      <c r="AA34" s="134">
        <f t="shared" ca="1" si="9"/>
        <v>-19</v>
      </c>
      <c r="AB34" s="125">
        <f t="shared" si="6"/>
        <v>45181</v>
      </c>
      <c r="AC34" s="133" t="s">
        <v>670</v>
      </c>
      <c r="AD34" s="125">
        <v>45167.333333333336</v>
      </c>
      <c r="AE34" s="134">
        <f t="shared" ca="1" si="7"/>
        <v>37.666666666664241</v>
      </c>
      <c r="AF34" s="133" t="s">
        <v>670</v>
      </c>
      <c r="AG34" s="125">
        <v>45167.333333333336</v>
      </c>
      <c r="AH34" s="135">
        <v>45167.333333333336</v>
      </c>
    </row>
    <row r="35" spans="2:34" x14ac:dyDescent="0.3">
      <c r="R35" s="122">
        <f>SUM(R3:R34)</f>
        <v>10.5</v>
      </c>
      <c r="S35" s="122">
        <f>SUM(S3:S34)</f>
        <v>1.5</v>
      </c>
      <c r="T35" s="122">
        <f>SUM(T3:T34)</f>
        <v>1</v>
      </c>
    </row>
    <row r="36" spans="2:34" x14ac:dyDescent="0.3">
      <c r="R36" s="122"/>
      <c r="S36" s="122"/>
      <c r="T36" s="122"/>
      <c r="AE36" s="122"/>
    </row>
    <row r="37" spans="2:34" x14ac:dyDescent="0.3">
      <c r="R37" s="122"/>
      <c r="S37" s="122"/>
      <c r="T37" s="122"/>
      <c r="AE37" s="122"/>
    </row>
    <row r="38" spans="2:34" x14ac:dyDescent="0.3">
      <c r="N38"/>
    </row>
    <row r="39" spans="2:34" x14ac:dyDescent="0.3">
      <c r="N39"/>
      <c r="T39" s="322"/>
      <c r="U39" s="322"/>
      <c r="V39" s="322"/>
      <c r="W39" s="322"/>
    </row>
    <row r="45" spans="2:34" x14ac:dyDescent="0.3">
      <c r="N45"/>
      <c r="X45" s="138"/>
      <c r="Z45" s="138"/>
      <c r="AA45" s="138"/>
      <c r="AB45" s="138"/>
      <c r="AC45" s="138"/>
      <c r="AD45" s="138"/>
      <c r="AE45" s="138"/>
      <c r="AF45" s="138"/>
      <c r="AG45" s="138"/>
      <c r="AH45" s="138"/>
    </row>
    <row r="46" spans="2:34" x14ac:dyDescent="0.3">
      <c r="N46"/>
    </row>
    <row r="47" spans="2:34" x14ac:dyDescent="0.3">
      <c r="N47"/>
    </row>
    <row r="48" spans="2:34" x14ac:dyDescent="0.3">
      <c r="N48"/>
    </row>
    <row r="49" spans="14:14" x14ac:dyDescent="0.3">
      <c r="N49"/>
    </row>
    <row r="50" spans="14:14" x14ac:dyDescent="0.3">
      <c r="N50"/>
    </row>
    <row r="51" spans="14:14" x14ac:dyDescent="0.3">
      <c r="N51"/>
    </row>
    <row r="52" spans="14:14" x14ac:dyDescent="0.3">
      <c r="N52"/>
    </row>
    <row r="53" spans="14:14" x14ac:dyDescent="0.3">
      <c r="N53"/>
    </row>
    <row r="54" spans="14:14" x14ac:dyDescent="0.3">
      <c r="N54"/>
    </row>
    <row r="55" spans="14:14" x14ac:dyDescent="0.3">
      <c r="N55"/>
    </row>
    <row r="56" spans="14:14" x14ac:dyDescent="0.3">
      <c r="N56"/>
    </row>
    <row r="57" spans="14:14" x14ac:dyDescent="0.3">
      <c r="N57"/>
    </row>
    <row r="58" spans="14:14" x14ac:dyDescent="0.3">
      <c r="N58"/>
    </row>
    <row r="59" spans="14:14" x14ac:dyDescent="0.3">
      <c r="N59"/>
    </row>
    <row r="60" spans="14:14" x14ac:dyDescent="0.3">
      <c r="N60"/>
    </row>
  </sheetData>
  <sortState xmlns:xlrd2="http://schemas.microsoft.com/office/spreadsheetml/2017/richdata2" ref="I40:I63">
    <sortCondition ref="I40:I63"/>
  </sortState>
  <mergeCells count="1">
    <mergeCell ref="T39:W39"/>
  </mergeCells>
  <conditionalFormatting sqref="B1:AH1">
    <cfRule type="cellIs" dxfId="20" priority="26" operator="equal">
      <formula>"No"</formula>
    </cfRule>
  </conditionalFormatting>
  <conditionalFormatting sqref="C1:D1">
    <cfRule type="cellIs" dxfId="19" priority="13" operator="notEqual">
      <formula>0</formula>
    </cfRule>
    <cfRule type="cellIs" dxfId="18" priority="14" operator="equal">
      <formula>"See Next Cycle"</formula>
    </cfRule>
    <cfRule type="cellIs" dxfId="17" priority="15" operator="equal">
      <formula>"Corrections Sent"</formula>
    </cfRule>
    <cfRule type="cellIs" dxfId="16" priority="16" operator="equal">
      <formula>"Approved"</formula>
    </cfRule>
    <cfRule type="cellIs" dxfId="15" priority="17" operator="equal">
      <formula>"N/A"</formula>
    </cfRule>
    <cfRule type="cellIs" dxfId="14" priority="18" operator="equal">
      <formula>"Due"</formula>
    </cfRule>
  </conditionalFormatting>
  <conditionalFormatting sqref="I1:K1">
    <cfRule type="cellIs" dxfId="13" priority="19" operator="notEqual">
      <formula>0</formula>
    </cfRule>
    <cfRule type="cellIs" dxfId="12" priority="20" operator="equal">
      <formula>"See Next Cycle"</formula>
    </cfRule>
    <cfRule type="cellIs" dxfId="11" priority="21" operator="equal">
      <formula>"Corrections Sent"</formula>
    </cfRule>
    <cfRule type="cellIs" dxfId="10" priority="22" operator="equal">
      <formula>"Approved"</formula>
    </cfRule>
    <cfRule type="cellIs" dxfId="9" priority="23" operator="equal">
      <formula>"N/A"</formula>
    </cfRule>
    <cfRule type="cellIs" dxfId="8" priority="24" operator="equal">
      <formula>"Due"</formula>
    </cfRule>
  </conditionalFormatting>
  <conditionalFormatting sqref="Q1:AH1 Q3:Q5 Q6:R26 T6:T26 Q27:Q34 R35:W37 AE36:AE37">
    <cfRule type="cellIs" dxfId="7" priority="52" operator="equal">
      <formula>"See Next Cycle"</formula>
    </cfRule>
    <cfRule type="cellIs" dxfId="6" priority="53" operator="equal">
      <formula>"Corrections Sent"</formula>
    </cfRule>
    <cfRule type="cellIs" dxfId="5" priority="54" operator="equal">
      <formula>"Approved"</formula>
    </cfRule>
    <cfRule type="cellIs" dxfId="4" priority="55" operator="equal">
      <formula>"N/A"</formula>
    </cfRule>
  </conditionalFormatting>
  <conditionalFormatting sqref="Q1:AH1 T6:T26 R35:W37 AE36:AE37">
    <cfRule type="cellIs" dxfId="3" priority="48" operator="notEqual">
      <formula>0</formula>
    </cfRule>
  </conditionalFormatting>
  <conditionalFormatting sqref="T6:T26 Q1:AH1 Q3:Q5 Q6:R26 Q27:Q34 R35:W37 AE36:AE37">
    <cfRule type="cellIs" dxfId="2" priority="56" operator="equal">
      <formula>"Due"</formula>
    </cfRule>
  </conditionalFormatting>
  <conditionalFormatting sqref="T6:T26">
    <cfRule type="cellIs" dxfId="1" priority="27" operator="equal">
      <formula>0</formula>
    </cfRule>
  </conditionalFormatting>
  <conditionalFormatting sqref="AA6:AA34">
    <cfRule type="cellIs" dxfId="0" priority="49" operator="lessThan">
      <formula>1</formula>
    </cfRule>
  </conditionalFormatting>
  <dataValidations count="7">
    <dataValidation type="list" allowBlank="1" showInputMessage="1" showErrorMessage="1" sqref="K3:L34 B1:AH1" xr:uid="{EB1C924F-1EB4-4997-8433-C3AEDA96FB27}">
      <formula1>"Yes,No"</formula1>
    </dataValidation>
    <dataValidation type="decimal" operator="greaterThanOrEqual" allowBlank="1" showInputMessage="1" showErrorMessage="1" sqref="R6:R26" xr:uid="{7252404E-24A7-48A4-83CF-8889F7B2AB48}">
      <formula1>0.1</formula1>
    </dataValidation>
    <dataValidation operator="greaterThanOrEqual" allowBlank="1" showInputMessage="1" showErrorMessage="1" sqref="R3:U5 R27:S34 T6:U34 V3:W34 F3:H34" xr:uid="{7041C46E-70A7-4EB6-85D5-CD3D8D27A41A}"/>
    <dataValidation type="decimal" operator="greaterThanOrEqual" allowBlank="1" showInputMessage="1" showErrorMessage="1" sqref="S6:S26" xr:uid="{309B806E-6BDF-49BD-A2A9-DB6F4F3BC67C}">
      <formula1>0</formula1>
    </dataValidation>
    <dataValidation type="list" allowBlank="1" showInputMessage="1" showErrorMessage="1" sqref="N3:P5" xr:uid="{E65DCCC7-05B6-4F11-9103-A6A691243E9A}">
      <formula1>$N$39:$N$60</formula1>
    </dataValidation>
    <dataValidation type="list" allowBlank="1" showInputMessage="1" showErrorMessage="1" sqref="Q3:Q34" xr:uid="{E6665EAA-DDAE-4694-82A5-01A2CEC15A9F}">
      <formula1>"Created,Sent,Due,N/A,Approved,Corrections Sent,See Next Cycle"</formula1>
    </dataValidation>
    <dataValidation type="whole" operator="greaterThanOrEqual" allowBlank="1" showInputMessage="1" showErrorMessage="1" sqref="D3:E34" xr:uid="{9E6AAAB2-5408-4810-A105-969D1ACE6272}">
      <formula1>0</formula1>
    </dataValidation>
  </dataValidations>
  <hyperlinks>
    <hyperlink ref="N27" r:id="rId1" xr:uid="{21F3F5DE-EAB1-4BD0-A302-6B1D84100F17}"/>
    <hyperlink ref="N30" r:id="rId2" xr:uid="{8C6F218A-A47A-49C2-B5BE-FA5A8A8D7CA8}"/>
    <hyperlink ref="N32" r:id="rId3" xr:uid="{621EB2F8-AB4B-4D7F-8777-22DC09E7F3D4}"/>
    <hyperlink ref="N33" r:id="rId4" xr:uid="{1FDFAC8D-A67B-45A7-80F1-B415D7A65AA6}"/>
    <hyperlink ref="N34" r:id="rId5" xr:uid="{A4F435B2-94AD-4BFD-BB9E-F68D13EEC516}"/>
    <hyperlink ref="N6" r:id="rId6" xr:uid="{F9FC6795-64C3-47DD-A986-BF0B56B43894}"/>
    <hyperlink ref="N25" r:id="rId7" xr:uid="{10A6ED3A-96DD-4C43-99BC-C25BC3FC04DB}"/>
    <hyperlink ref="N26" r:id="rId8" xr:uid="{C78F05B2-844B-4C89-8EDE-BF5F72A34FFC}"/>
    <hyperlink ref="N10" r:id="rId9" xr:uid="{07AFBCA1-6D25-4492-A1A9-73C32705CEE7}"/>
    <hyperlink ref="N13" r:id="rId10" xr:uid="{369CE4B9-360A-4B0F-A6D1-F3AF2C9A365C}"/>
    <hyperlink ref="N16" r:id="rId11" xr:uid="{DB61F06E-D42C-4097-B283-95802EFFE026}"/>
    <hyperlink ref="N19" r:id="rId12" xr:uid="{978ABCED-9503-429C-9579-86263AD6303B}"/>
    <hyperlink ref="N20" r:id="rId13" xr:uid="{F68D35B6-363D-407B-BAAD-C27A93FFBDAA}"/>
    <hyperlink ref="N21" r:id="rId14" xr:uid="{EC4D43DC-4FAF-4AC0-9096-FFEC50D6B2A6}"/>
    <hyperlink ref="N18" r:id="rId15" xr:uid="{8E1F8767-D014-4006-83CD-B2FE389E3866}"/>
    <hyperlink ref="N22" r:id="rId16" xr:uid="{D36272FA-CE8A-48F6-8677-C2EBFEF78254}"/>
    <hyperlink ref="N23" r:id="rId17" xr:uid="{81E31FFC-8BF3-40B6-9A4C-5CDBCAAD51E3}"/>
    <hyperlink ref="N11" r:id="rId18" xr:uid="{2AB11E19-3859-44CF-8859-869196C1B7F8}"/>
    <hyperlink ref="N12" r:id="rId19" xr:uid="{42C15C5D-DDAB-44AD-8E71-4FEAAED8A861}"/>
    <hyperlink ref="N14" r:id="rId20" xr:uid="{8AD35E5B-4D85-4455-B5E9-A47C290DA271}"/>
    <hyperlink ref="N15" r:id="rId21" xr:uid="{F5D436FD-3FF0-4C7C-BB5C-927407C1875D}"/>
    <hyperlink ref="N17" r:id="rId22" xr:uid="{99CBE5F7-E869-4073-A70B-40F288056AA5}"/>
    <hyperlink ref="N9" r:id="rId23" xr:uid="{9AEC2D86-F7F1-49AE-B9E5-30CD892B8BE1}"/>
    <hyperlink ref="N8" r:id="rId24" xr:uid="{64FC08C0-65DD-4079-93BA-12C50BC8F7A7}"/>
    <hyperlink ref="N7" r:id="rId25" xr:uid="{68A81277-97CF-42F8-B0BE-615F7372EA14}"/>
    <hyperlink ref="N24" r:id="rId26" xr:uid="{B251AC06-C365-41DF-972B-F9AB2688AAC4}"/>
    <hyperlink ref="N29" r:id="rId27" xr:uid="{DD786211-8FE4-4CA5-873D-2B2088FD7D99}"/>
    <hyperlink ref="N31" r:id="rId28" xr:uid="{345A48C6-41C1-49F5-84DE-456CDFF390E5}"/>
    <hyperlink ref="N28" r:id="rId29" xr:uid="{851DDED0-4E22-479E-920C-E89AB8B94841}"/>
  </hyperlinks>
  <pageMargins left="0.7" right="0.7" top="0.75" bottom="0.75" header="0.3" footer="0.3"/>
  <pageSetup orientation="portrait" r:id="rId30"/>
  <drawing r:id="rId31"/>
  <legacyDrawing r:id="rId32"/>
  <controls>
    <mc:AlternateContent xmlns:mc="http://schemas.openxmlformats.org/markup-compatibility/2006">
      <mc:Choice Requires="x14">
        <control shapeId="1033" r:id="rId33" name="UnhideColumns">
          <controlPr defaultSize="0" autoFill="0" autoLine="0" r:id="rId34">
            <anchor moveWithCells="1">
              <from>
                <xdr:col>1</xdr:col>
                <xdr:colOff>0</xdr:colOff>
                <xdr:row>37</xdr:row>
                <xdr:rowOff>30480</xdr:rowOff>
              </from>
              <to>
                <xdr:col>2</xdr:col>
                <xdr:colOff>579120</xdr:colOff>
                <xdr:row>39</xdr:row>
                <xdr:rowOff>152400</xdr:rowOff>
              </to>
            </anchor>
          </controlPr>
        </control>
      </mc:Choice>
      <mc:Fallback>
        <control shapeId="1033" r:id="rId33" name="UnhideColumns"/>
      </mc:Fallback>
    </mc:AlternateContent>
    <mc:AlternateContent xmlns:mc="http://schemas.openxmlformats.org/markup-compatibility/2006">
      <mc:Choice Requires="x14">
        <control shapeId="1035" r:id="rId35" name="CommandButton1">
          <controlPr defaultSize="0" autoFill="0" autoLine="0" r:id="rId36">
            <anchor moveWithCells="1">
              <from>
                <xdr:col>1</xdr:col>
                <xdr:colOff>0</xdr:colOff>
                <xdr:row>40</xdr:row>
                <xdr:rowOff>30480</xdr:rowOff>
              </from>
              <to>
                <xdr:col>2</xdr:col>
                <xdr:colOff>579120</xdr:colOff>
                <xdr:row>42</xdr:row>
                <xdr:rowOff>152400</xdr:rowOff>
              </to>
            </anchor>
          </controlPr>
        </control>
      </mc:Choice>
      <mc:Fallback>
        <control shapeId="1035" r:id="rId35" name="CommandButton1"/>
      </mc:Fallback>
    </mc:AlternateContent>
  </controls>
  <tableParts count="1">
    <tablePart r:id="rId37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13C5AE-3224-4BA4-814C-17C10FB3C2E2}">
          <x14:formula1>
            <xm:f>Users!$F$2:$F$26</xm:f>
          </x14:formula1>
          <xm:sqref>N6:N34</xm:sqref>
        </x14:dataValidation>
        <x14:dataValidation type="list" allowBlank="1" showInputMessage="1" showErrorMessage="1" xr:uid="{FA106415-9574-41F8-9AC2-6F924AB231A9}">
          <x14:formula1>
            <xm:f>Users!$E$2:$E$26</xm:f>
          </x14:formula1>
          <xm:sqref>Z6:Z34 X3:X34 AC6:AC34 AE3:AH34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D433-DFCD-4A90-BBF9-F771B454AD6E}">
  <sheetPr codeName="Sheet11">
    <pageSetUpPr fitToPage="1"/>
  </sheetPr>
  <dimension ref="A1:K58"/>
  <sheetViews>
    <sheetView showGridLines="0" zoomScale="145" zoomScaleNormal="145" zoomScaleSheetLayoutView="100" workbookViewId="0">
      <selection activeCell="B2" sqref="B2"/>
    </sheetView>
  </sheetViews>
  <sheetFormatPr defaultColWidth="8.5546875" defaultRowHeight="30" customHeight="1" x14ac:dyDescent="0.3"/>
  <cols>
    <col min="1" max="1" width="12.33203125" style="241" customWidth="1"/>
    <col min="2" max="2" width="17" style="241" customWidth="1"/>
    <col min="3" max="3" width="9.33203125" style="241" customWidth="1"/>
    <col min="4" max="4" width="10.88671875" style="241" customWidth="1"/>
    <col min="5" max="5" width="10.44140625" style="241" customWidth="1"/>
    <col min="6" max="6" width="12.109375" style="241" customWidth="1"/>
    <col min="7" max="7" width="12.88671875" style="241" customWidth="1"/>
    <col min="8" max="8" width="14.44140625" style="241" customWidth="1"/>
    <col min="9" max="9" width="11" style="241" customWidth="1"/>
    <col min="10" max="10" width="14.88671875" style="241" customWidth="1"/>
    <col min="11" max="11" width="32.88671875" style="241" customWidth="1"/>
    <col min="12" max="12" width="8.5546875" style="241"/>
    <col min="13" max="13" width="13" style="241" customWidth="1"/>
    <col min="14" max="14" width="12" style="241" customWidth="1"/>
    <col min="15" max="15" width="19" style="241" customWidth="1"/>
    <col min="16" max="23" width="13.33203125" style="241" customWidth="1"/>
    <col min="24" max="25" width="24.109375" style="241" customWidth="1"/>
    <col min="26" max="26" width="4.33203125" style="241" customWidth="1"/>
    <col min="27" max="16384" width="8.5546875" style="241"/>
  </cols>
  <sheetData>
    <row r="1" spans="1:11" s="243" customFormat="1" ht="45" customHeight="1" x14ac:dyDescent="0.3">
      <c r="A1" s="238" t="s">
        <v>1134</v>
      </c>
      <c r="B1" s="238" t="s">
        <v>712</v>
      </c>
      <c r="C1" s="238" t="s">
        <v>713</v>
      </c>
      <c r="D1" s="238" t="s">
        <v>714</v>
      </c>
      <c r="E1" s="238" t="s">
        <v>715</v>
      </c>
      <c r="F1" s="238" t="s">
        <v>716</v>
      </c>
      <c r="G1" s="238" t="s">
        <v>717</v>
      </c>
      <c r="H1" s="238" t="s">
        <v>718</v>
      </c>
      <c r="I1" s="238" t="s">
        <v>719</v>
      </c>
      <c r="J1" s="238" t="s">
        <v>720</v>
      </c>
      <c r="K1" s="238" t="s">
        <v>1248</v>
      </c>
    </row>
    <row r="2" spans="1:11" ht="30" customHeight="1" x14ac:dyDescent="0.3">
      <c r="A2" s="240" t="s">
        <v>189</v>
      </c>
      <c r="B2" s="240" t="s">
        <v>1139</v>
      </c>
      <c r="C2" s="239" t="s">
        <v>727</v>
      </c>
      <c r="D2" s="239" t="s">
        <v>728</v>
      </c>
      <c r="E2" s="239" t="s">
        <v>729</v>
      </c>
      <c r="F2" s="239" t="s">
        <v>730</v>
      </c>
      <c r="G2" s="239" t="s">
        <v>731</v>
      </c>
      <c r="H2" s="239"/>
      <c r="I2" s="239"/>
      <c r="J2" s="239"/>
      <c r="K2" s="198" t="str">
        <f>CONCATENATE(Accounts[[#This Row],[Fund]],"-",Accounts[[#This Row],[Budget Unit]],"-",Accounts[[#This Row],[Cost Center]],"-",Accounts[[#This Row],[GL Account]],"-",Accounts[[#This Row],[GL Transfer Fund]])</f>
        <v>01002-2029-716350-400310-0000</v>
      </c>
    </row>
    <row r="3" spans="1:11" ht="30" customHeight="1" x14ac:dyDescent="0.3">
      <c r="A3" s="240" t="s">
        <v>189</v>
      </c>
      <c r="B3" s="240" t="s">
        <v>640</v>
      </c>
      <c r="C3" s="239"/>
      <c r="D3" s="239"/>
      <c r="E3" s="239"/>
      <c r="F3" s="239"/>
      <c r="G3" s="239"/>
      <c r="H3" s="239"/>
      <c r="I3" s="239"/>
      <c r="J3" s="239"/>
      <c r="K3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  <row r="4" spans="1:11" ht="30" customHeight="1" x14ac:dyDescent="0.3">
      <c r="A4" s="240" t="s">
        <v>189</v>
      </c>
      <c r="B4" s="240" t="s">
        <v>1135</v>
      </c>
      <c r="C4" s="239" t="s">
        <v>732</v>
      </c>
      <c r="D4" s="239" t="s">
        <v>728</v>
      </c>
      <c r="E4" s="239" t="s">
        <v>733</v>
      </c>
      <c r="F4" s="239" t="s">
        <v>730</v>
      </c>
      <c r="G4" s="239" t="s">
        <v>731</v>
      </c>
      <c r="H4" s="239"/>
      <c r="I4" s="239"/>
      <c r="J4" s="239"/>
      <c r="K4" s="198" t="str">
        <f>CONCATENATE(Accounts[[#This Row],[Fund]],"-",Accounts[[#This Row],[Budget Unit]],"-",Accounts[[#This Row],[Cost Center]],"-",Accounts[[#This Row],[GL Account]],"-",Accounts[[#This Row],[GL Transfer Fund]])</f>
        <v>5031-2029-756350-400310-0000</v>
      </c>
    </row>
    <row r="5" spans="1:11" ht="30" customHeight="1" x14ac:dyDescent="0.3">
      <c r="A5" s="240" t="s">
        <v>189</v>
      </c>
      <c r="B5" s="240" t="s">
        <v>817</v>
      </c>
      <c r="C5" s="239" t="s">
        <v>732</v>
      </c>
      <c r="D5" s="239" t="s">
        <v>728</v>
      </c>
      <c r="E5" s="239" t="s">
        <v>733</v>
      </c>
      <c r="F5" s="239" t="s">
        <v>734</v>
      </c>
      <c r="G5" s="239" t="s">
        <v>731</v>
      </c>
      <c r="H5" s="239"/>
      <c r="I5" s="239"/>
      <c r="J5" s="239"/>
      <c r="K5" s="198" t="str">
        <f>CONCATENATE(Accounts[[#This Row],[Fund]],"-",Accounts[[#This Row],[Budget Unit]],"-",Accounts[[#This Row],[Cost Center]],"-",Accounts[[#This Row],[GL Account]],"-",Accounts[[#This Row],[GL Transfer Fund]])</f>
        <v>5031-2029-756350-40400-0000</v>
      </c>
    </row>
    <row r="6" spans="1:11" ht="30" customHeight="1" x14ac:dyDescent="0.3">
      <c r="A6" s="240" t="s">
        <v>189</v>
      </c>
      <c r="B6" s="240" t="s">
        <v>1136</v>
      </c>
      <c r="C6" s="239" t="s">
        <v>732</v>
      </c>
      <c r="D6" s="239" t="s">
        <v>735</v>
      </c>
      <c r="E6" s="239" t="s">
        <v>736</v>
      </c>
      <c r="F6" s="239" t="s">
        <v>737</v>
      </c>
      <c r="G6" s="239" t="s">
        <v>738</v>
      </c>
      <c r="H6" s="239"/>
      <c r="I6" s="239"/>
      <c r="J6" s="239"/>
      <c r="K6" s="198" t="str">
        <f>CONCATENATE(Accounts[[#This Row],[Fund]],"-",Accounts[[#This Row],[Budget Unit]],"-",Accounts[[#This Row],[Cost Center]],"-",Accounts[[#This Row],[GL Account]],"-",Accounts[[#This Row],[GL Transfer Fund]])</f>
        <v>5031-9900-0100012-10700-0022</v>
      </c>
    </row>
    <row r="7" spans="1:11" ht="30" customHeight="1" x14ac:dyDescent="0.3">
      <c r="A7" s="240" t="s">
        <v>189</v>
      </c>
      <c r="B7" s="240" t="s">
        <v>1137</v>
      </c>
      <c r="C7" s="239" t="s">
        <v>732</v>
      </c>
      <c r="D7" s="239" t="s">
        <v>735</v>
      </c>
      <c r="E7" s="239" t="s">
        <v>736</v>
      </c>
      <c r="F7" s="239" t="s">
        <v>737</v>
      </c>
      <c r="G7" s="239" t="s">
        <v>739</v>
      </c>
      <c r="H7" s="239"/>
      <c r="I7" s="239"/>
      <c r="J7" s="239"/>
      <c r="K7" s="198" t="str">
        <f>CONCATENATE(Accounts[[#This Row],[Fund]],"-",Accounts[[#This Row],[Budget Unit]],"-",Accounts[[#This Row],[Cost Center]],"-",Accounts[[#This Row],[GL Account]],"-",Accounts[[#This Row],[GL Transfer Fund]])</f>
        <v>5031-9900-0100012-10700-0033</v>
      </c>
    </row>
    <row r="8" spans="1:11" ht="30" customHeight="1" x14ac:dyDescent="0.3">
      <c r="A8" s="240" t="s">
        <v>189</v>
      </c>
      <c r="B8" s="240" t="s">
        <v>1136</v>
      </c>
      <c r="C8" s="239" t="s">
        <v>732</v>
      </c>
      <c r="D8" s="239" t="s">
        <v>728</v>
      </c>
      <c r="E8" s="239" t="s">
        <v>740</v>
      </c>
      <c r="F8" s="239"/>
      <c r="G8" s="239"/>
      <c r="H8" s="239"/>
      <c r="I8" s="239"/>
      <c r="J8" s="239"/>
      <c r="K8" s="198" t="str">
        <f>CONCATENATE(Accounts[[#This Row],[Fund]],"-",Accounts[[#This Row],[Budget Unit]],"-",Accounts[[#This Row],[Cost Center]],"-",Accounts[[#This Row],[GL Account]],"-",Accounts[[#This Row],[GL Transfer Fund]])</f>
        <v>5031-2029-756315--</v>
      </c>
    </row>
    <row r="9" spans="1:11" ht="30" customHeight="1" x14ac:dyDescent="0.3">
      <c r="A9" s="240" t="s">
        <v>189</v>
      </c>
      <c r="B9" s="240" t="s">
        <v>1138</v>
      </c>
      <c r="C9" s="239" t="s">
        <v>732</v>
      </c>
      <c r="D9" s="239" t="s">
        <v>728</v>
      </c>
      <c r="E9" s="239" t="s">
        <v>741</v>
      </c>
      <c r="F9" s="239"/>
      <c r="G9" s="239"/>
      <c r="H9" s="239"/>
      <c r="I9" s="239"/>
      <c r="J9" s="239"/>
      <c r="K9" s="198" t="str">
        <f>CONCATENATE(Accounts[[#This Row],[Fund]],"-",Accounts[[#This Row],[Budget Unit]],"-",Accounts[[#This Row],[Cost Center]],"-",Accounts[[#This Row],[GL Account]],"-",Accounts[[#This Row],[GL Transfer Fund]])</f>
        <v>5031-2029-756325--</v>
      </c>
    </row>
    <row r="10" spans="1:11" ht="30" customHeight="1" x14ac:dyDescent="0.3">
      <c r="A10" s="242" t="s">
        <v>176</v>
      </c>
      <c r="B10" s="240" t="s">
        <v>1140</v>
      </c>
      <c r="C10" s="239"/>
      <c r="D10" s="239"/>
      <c r="E10" s="239"/>
      <c r="F10" s="239"/>
      <c r="G10" s="239"/>
      <c r="H10" s="239"/>
      <c r="I10" s="239"/>
      <c r="J10" s="239"/>
      <c r="K10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  <row r="11" spans="1:11" ht="30" customHeight="1" x14ac:dyDescent="0.3">
      <c r="A11" s="242" t="s">
        <v>671</v>
      </c>
      <c r="B11" s="240" t="s">
        <v>1197</v>
      </c>
      <c r="C11" s="239" t="s">
        <v>1198</v>
      </c>
      <c r="D11" s="239" t="s">
        <v>1200</v>
      </c>
      <c r="E11" s="239" t="s">
        <v>1199</v>
      </c>
      <c r="F11" s="239" t="s">
        <v>1201</v>
      </c>
      <c r="G11" s="239"/>
      <c r="H11" s="239"/>
      <c r="I11" s="239"/>
      <c r="J11" s="239"/>
      <c r="K11" s="198" t="str">
        <f>CONCATENATE(Accounts[[#This Row],[Fund]],"-",Accounts[[#This Row],[Budget Unit]],"-",Accounts[[#This Row],[Cost Center]],"-",Accounts[[#This Row],[GL Account]],"-",Accounts[[#This Row],[GL Transfer Fund]])</f>
        <v>1101-1000-110015-401327-</v>
      </c>
    </row>
    <row r="12" spans="1:11" ht="30" customHeight="1" x14ac:dyDescent="0.3">
      <c r="A12" s="242" t="s">
        <v>671</v>
      </c>
      <c r="B12" s="240" t="s">
        <v>1197</v>
      </c>
      <c r="C12" s="239" t="s">
        <v>1202</v>
      </c>
      <c r="D12" s="239" t="s">
        <v>1203</v>
      </c>
      <c r="E12" s="239" t="s">
        <v>1204</v>
      </c>
      <c r="F12" s="239" t="s">
        <v>1205</v>
      </c>
      <c r="G12" s="239" t="s">
        <v>731</v>
      </c>
      <c r="H12" s="239"/>
      <c r="I12" s="239"/>
      <c r="J12" s="239"/>
      <c r="K12" s="198" t="str">
        <f>CONCATENATE(Accounts[[#This Row],[Fund]],"-",Accounts[[#This Row],[Budget Unit]],"-",Accounts[[#This Row],[Cost Center]],"-",Accounts[[#This Row],[GL Account]],"-",Accounts[[#This Row],[GL Transfer Fund]])</f>
        <v>110210-1003-3905-400327-0000</v>
      </c>
    </row>
    <row r="13" spans="1:11" ht="30" customHeight="1" x14ac:dyDescent="0.3">
      <c r="A13" s="242" t="s">
        <v>241</v>
      </c>
      <c r="B13" s="240" t="s">
        <v>1140</v>
      </c>
      <c r="C13" s="239"/>
      <c r="D13" s="239"/>
      <c r="E13" s="239"/>
      <c r="F13" s="239"/>
      <c r="G13" s="239"/>
      <c r="H13" s="239"/>
      <c r="I13" s="239"/>
      <c r="J13" s="239"/>
      <c r="K13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  <row r="14" spans="1:11" ht="30" customHeight="1" x14ac:dyDescent="0.3">
      <c r="A14" s="242" t="s">
        <v>241</v>
      </c>
      <c r="B14" s="240" t="s">
        <v>264</v>
      </c>
      <c r="C14" s="239" t="s">
        <v>1206</v>
      </c>
      <c r="D14" s="239" t="s">
        <v>1215</v>
      </c>
      <c r="E14" s="239" t="s">
        <v>1234</v>
      </c>
      <c r="F14" s="239" t="s">
        <v>1235</v>
      </c>
      <c r="G14" s="239" t="s">
        <v>731</v>
      </c>
      <c r="H14" s="239"/>
      <c r="I14" s="239"/>
      <c r="J14" s="239"/>
      <c r="K14" s="198" t="str">
        <f>CONCATENATE(Accounts[[#This Row],[Fund]],"-",Accounts[[#This Row],[Budget Unit]],"-",Accounts[[#This Row],[Cost Center]],"-",Accounts[[#This Row],[GL Account]],"-",Accounts[[#This Row],[GL Transfer Fund]])</f>
        <v>010020-2971-6330-400328-0000</v>
      </c>
    </row>
    <row r="15" spans="1:11" ht="30" customHeight="1" x14ac:dyDescent="0.3">
      <c r="A15" s="242" t="s">
        <v>241</v>
      </c>
      <c r="B15" s="240" t="s">
        <v>264</v>
      </c>
      <c r="C15" s="239" t="s">
        <v>1214</v>
      </c>
      <c r="D15" s="239" t="s">
        <v>1215</v>
      </c>
      <c r="E15" s="239" t="s">
        <v>1236</v>
      </c>
      <c r="F15" s="239" t="s">
        <v>1237</v>
      </c>
      <c r="G15" s="239"/>
      <c r="H15" s="239"/>
      <c r="I15" s="239"/>
      <c r="J15" s="239"/>
      <c r="K15" s="198" t="str">
        <f>CONCATENATE(Accounts[[#This Row],[Fund]],"-",Accounts[[#This Row],[Budget Unit]],"-",Accounts[[#This Row],[Cost Center]],"-",Accounts[[#This Row],[GL Account]],"-",Accounts[[#This Row],[GL Transfer Fund]])</f>
        <v>1001-2971-120013-401329-</v>
      </c>
    </row>
    <row r="16" spans="1:11" ht="30" customHeight="1" x14ac:dyDescent="0.3">
      <c r="A16" s="242" t="s">
        <v>241</v>
      </c>
      <c r="B16" s="240" t="s">
        <v>79</v>
      </c>
      <c r="C16" s="239" t="s">
        <v>1214</v>
      </c>
      <c r="D16" s="239" t="s">
        <v>1207</v>
      </c>
      <c r="E16" s="239" t="s">
        <v>1230</v>
      </c>
      <c r="F16" s="239" t="s">
        <v>1241</v>
      </c>
      <c r="G16" s="239"/>
      <c r="H16" s="239"/>
      <c r="I16" s="239"/>
      <c r="J16" s="239"/>
      <c r="K16" s="198" t="str">
        <f>CONCATENATE(Accounts[[#This Row],[Fund]],"-",Accounts[[#This Row],[Budget Unit]],"-",Accounts[[#This Row],[Cost Center]],"-",Accounts[[#This Row],[GL Account]],"-",Accounts[[#This Row],[GL Transfer Fund]])</f>
        <v>1001-1501-12001-44080-</v>
      </c>
    </row>
    <row r="17" spans="1:11" ht="30" customHeight="1" x14ac:dyDescent="0.3">
      <c r="A17" s="242" t="s">
        <v>241</v>
      </c>
      <c r="B17" s="240" t="s">
        <v>79</v>
      </c>
      <c r="C17" s="239" t="s">
        <v>1214</v>
      </c>
      <c r="D17" s="239" t="s">
        <v>1215</v>
      </c>
      <c r="E17" s="239" t="s">
        <v>1238</v>
      </c>
      <c r="F17" s="239" t="s">
        <v>1233</v>
      </c>
      <c r="G17" s="239"/>
      <c r="H17" s="239"/>
      <c r="I17" s="239"/>
      <c r="J17" s="239"/>
      <c r="K17" s="198" t="str">
        <f>CONCATENATE(Accounts[[#This Row],[Fund]],"-",Accounts[[#This Row],[Budget Unit]],"-",Accounts[[#This Row],[Cost Center]],"-",Accounts[[#This Row],[GL Account]],"-",Accounts[[#This Row],[GL Transfer Fund]])</f>
        <v>1001-2971-120003-440690-</v>
      </c>
    </row>
    <row r="18" spans="1:11" ht="30" customHeight="1" x14ac:dyDescent="0.3">
      <c r="A18" s="242" t="s">
        <v>241</v>
      </c>
      <c r="B18" s="240" t="s">
        <v>79</v>
      </c>
      <c r="C18" s="239" t="s">
        <v>1214</v>
      </c>
      <c r="D18" s="239" t="s">
        <v>1215</v>
      </c>
      <c r="E18" s="239" t="s">
        <v>1238</v>
      </c>
      <c r="F18" s="239" t="s">
        <v>1239</v>
      </c>
      <c r="G18" s="239"/>
      <c r="H18" s="239"/>
      <c r="I18" s="239"/>
      <c r="J18" s="239"/>
      <c r="K18" s="198" t="str">
        <f>CONCATENATE(Accounts[[#This Row],[Fund]],"-",Accounts[[#This Row],[Budget Unit]],"-",Accounts[[#This Row],[Cost Center]],"-",Accounts[[#This Row],[GL Account]],"-",Accounts[[#This Row],[GL Transfer Fund]])</f>
        <v>1001-2971-120003-401330-</v>
      </c>
    </row>
    <row r="19" spans="1:11" ht="30" customHeight="1" x14ac:dyDescent="0.3">
      <c r="A19" s="242" t="s">
        <v>241</v>
      </c>
      <c r="B19" s="240" t="s">
        <v>79</v>
      </c>
      <c r="C19" s="239" t="s">
        <v>1240</v>
      </c>
      <c r="D19" s="239" t="s">
        <v>1242</v>
      </c>
      <c r="E19" s="239" t="s">
        <v>1243</v>
      </c>
      <c r="F19" s="239" t="s">
        <v>1244</v>
      </c>
      <c r="G19" s="239"/>
      <c r="H19" s="239"/>
      <c r="I19" s="239"/>
      <c r="J19" s="239"/>
      <c r="K19" s="198" t="str">
        <f>CONCATENATE(Accounts[[#This Row],[Fund]],"-",Accounts[[#This Row],[Budget Unit]],"-",Accounts[[#This Row],[Cost Center]],"-",Accounts[[#This Row],[GL Account]],"-",Accounts[[#This Row],[GL Transfer Fund]])</f>
        <v>1030-4051-120039-401360-</v>
      </c>
    </row>
    <row r="20" spans="1:11" ht="30" customHeight="1" x14ac:dyDescent="0.3">
      <c r="A20" s="242" t="s">
        <v>241</v>
      </c>
      <c r="B20" s="240" t="s">
        <v>79</v>
      </c>
      <c r="C20" s="239" t="s">
        <v>1240</v>
      </c>
      <c r="D20" s="239" t="s">
        <v>1245</v>
      </c>
      <c r="E20" s="239" t="s">
        <v>1243</v>
      </c>
      <c r="F20" s="239" t="s">
        <v>1244</v>
      </c>
      <c r="G20" s="239"/>
      <c r="H20" s="239"/>
      <c r="I20" s="239"/>
      <c r="J20" s="239"/>
      <c r="K20" s="198" t="str">
        <f>CONCATENATE(Accounts[[#This Row],[Fund]],"-",Accounts[[#This Row],[Budget Unit]],"-",Accounts[[#This Row],[Cost Center]],"-",Accounts[[#This Row],[GL Account]],"-",Accounts[[#This Row],[GL Transfer Fund]])</f>
        <v>1030-5051-120039-401360-</v>
      </c>
    </row>
    <row r="21" spans="1:11" ht="30" customHeight="1" x14ac:dyDescent="0.3">
      <c r="A21" s="242" t="s">
        <v>241</v>
      </c>
      <c r="B21" s="240" t="s">
        <v>79</v>
      </c>
      <c r="C21" s="239" t="s">
        <v>1221</v>
      </c>
      <c r="D21" s="239" t="s">
        <v>1211</v>
      </c>
      <c r="E21" s="239" t="s">
        <v>1231</v>
      </c>
      <c r="F21" s="239" t="s">
        <v>1227</v>
      </c>
      <c r="G21" s="239"/>
      <c r="H21" s="239"/>
      <c r="I21" s="239"/>
      <c r="J21" s="239"/>
      <c r="K21" s="198" t="str">
        <f>CONCATENATE(Accounts[[#This Row],[Fund]],"-",Accounts[[#This Row],[Budget Unit]],"-",Accounts[[#This Row],[Cost Center]],"-",Accounts[[#This Row],[GL Account]],"-",Accounts[[#This Row],[GL Transfer Fund]])</f>
        <v>2030-3011-120028-440081-</v>
      </c>
    </row>
    <row r="22" spans="1:11" ht="30" customHeight="1" x14ac:dyDescent="0.3">
      <c r="A22" s="242" t="s">
        <v>241</v>
      </c>
      <c r="B22" s="240" t="s">
        <v>79</v>
      </c>
      <c r="C22" s="239" t="s">
        <v>1223</v>
      </c>
      <c r="D22" s="239" t="s">
        <v>1224</v>
      </c>
      <c r="E22" s="239" t="s">
        <v>1225</v>
      </c>
      <c r="F22" s="239" t="s">
        <v>1226</v>
      </c>
      <c r="G22" s="239"/>
      <c r="H22" s="239"/>
      <c r="I22" s="239"/>
      <c r="J22" s="239"/>
      <c r="K22" s="198" t="str">
        <f>CONCATENATE(Accounts[[#This Row],[Fund]],"-",Accounts[[#This Row],[Budget Unit]],"-",Accounts[[#This Row],[Cost Center]],"-",Accounts[[#This Row],[GL Account]],"-",Accounts[[#This Row],[GL Transfer Fund]])</f>
        <v>6031-2975-120041-440080-</v>
      </c>
    </row>
    <row r="23" spans="1:11" ht="30" customHeight="1" x14ac:dyDescent="0.3">
      <c r="A23" s="242" t="s">
        <v>241</v>
      </c>
      <c r="B23" s="240" t="s">
        <v>79</v>
      </c>
      <c r="C23" s="239" t="s">
        <v>1223</v>
      </c>
      <c r="D23" s="239" t="s">
        <v>1224</v>
      </c>
      <c r="E23" s="239" t="s">
        <v>1225</v>
      </c>
      <c r="F23" s="239" t="s">
        <v>1227</v>
      </c>
      <c r="G23" s="239"/>
      <c r="H23" s="239"/>
      <c r="I23" s="239"/>
      <c r="J23" s="239"/>
      <c r="K23" s="198" t="str">
        <f>CONCATENATE(Accounts[[#This Row],[Fund]],"-",Accounts[[#This Row],[Budget Unit]],"-",Accounts[[#This Row],[Cost Center]],"-",Accounts[[#This Row],[GL Account]],"-",Accounts[[#This Row],[GL Transfer Fund]])</f>
        <v>6031-2975-120041-440081-</v>
      </c>
    </row>
    <row r="24" spans="1:11" ht="30" customHeight="1" x14ac:dyDescent="0.3">
      <c r="A24" s="242" t="s">
        <v>241</v>
      </c>
      <c r="B24" s="240" t="s">
        <v>79</v>
      </c>
      <c r="C24" s="239" t="s">
        <v>1223</v>
      </c>
      <c r="D24" s="239" t="s">
        <v>1224</v>
      </c>
      <c r="E24" s="239" t="s">
        <v>1225</v>
      </c>
      <c r="F24" s="239" t="s">
        <v>1239</v>
      </c>
      <c r="G24" s="239"/>
      <c r="H24" s="239"/>
      <c r="I24" s="239"/>
      <c r="J24" s="239"/>
      <c r="K24" s="198" t="str">
        <f>CONCATENATE(Accounts[[#This Row],[Fund]],"-",Accounts[[#This Row],[Budget Unit]],"-",Accounts[[#This Row],[Cost Center]],"-",Accounts[[#This Row],[GL Account]],"-",Accounts[[#This Row],[GL Transfer Fund]])</f>
        <v>6031-2975-120041-401330-</v>
      </c>
    </row>
    <row r="25" spans="1:11" ht="30" customHeight="1" x14ac:dyDescent="0.3">
      <c r="A25" s="242" t="s">
        <v>179</v>
      </c>
      <c r="B25" s="240"/>
      <c r="C25" s="239" t="s">
        <v>1206</v>
      </c>
      <c r="D25" s="239"/>
      <c r="E25" s="239"/>
      <c r="F25" s="239"/>
      <c r="G25" s="239" t="s">
        <v>731</v>
      </c>
      <c r="H25" s="239"/>
      <c r="I25" s="239"/>
      <c r="J25" s="239"/>
      <c r="K25" s="198" t="str">
        <f>CONCATENATE(Accounts[[#This Row],[Fund]],"-",Accounts[[#This Row],[Budget Unit]],"-",Accounts[[#This Row],[Cost Center]],"-",Accounts[[#This Row],[GL Account]],"-",Accounts[[#This Row],[GL Transfer Fund]])</f>
        <v>010020----0000</v>
      </c>
    </row>
    <row r="26" spans="1:11" ht="30" customHeight="1" x14ac:dyDescent="0.3">
      <c r="A26" s="242" t="s">
        <v>179</v>
      </c>
      <c r="B26" s="240"/>
      <c r="C26" s="239" t="s">
        <v>1210</v>
      </c>
      <c r="D26" s="239"/>
      <c r="E26" s="239"/>
      <c r="F26" s="239"/>
      <c r="G26" s="239" t="s">
        <v>731</v>
      </c>
      <c r="H26" s="239"/>
      <c r="I26" s="239"/>
      <c r="J26" s="239"/>
      <c r="K26" s="198" t="str">
        <f>CONCATENATE(Accounts[[#This Row],[Fund]],"-",Accounts[[#This Row],[Budget Unit]],"-",Accounts[[#This Row],[Cost Center]],"-",Accounts[[#This Row],[GL Account]],"-",Accounts[[#This Row],[GL Transfer Fund]])</f>
        <v>030120----0000</v>
      </c>
    </row>
    <row r="27" spans="1:11" ht="30" customHeight="1" x14ac:dyDescent="0.3">
      <c r="A27" s="242" t="s">
        <v>179</v>
      </c>
      <c r="B27" s="240"/>
      <c r="C27" s="239" t="s">
        <v>1214</v>
      </c>
      <c r="D27" s="239"/>
      <c r="E27" s="239"/>
      <c r="F27" s="239"/>
      <c r="G27" s="239" t="s">
        <v>731</v>
      </c>
      <c r="H27" s="239"/>
      <c r="I27" s="239"/>
      <c r="J27" s="239"/>
      <c r="K27" s="198" t="str">
        <f>CONCATENATE(Accounts[[#This Row],[Fund]],"-",Accounts[[#This Row],[Budget Unit]],"-",Accounts[[#This Row],[Cost Center]],"-",Accounts[[#This Row],[GL Account]],"-",Accounts[[#This Row],[GL Transfer Fund]])</f>
        <v>1001----0000</v>
      </c>
    </row>
    <row r="28" spans="1:11" ht="30" customHeight="1" x14ac:dyDescent="0.3">
      <c r="A28" s="242" t="s">
        <v>179</v>
      </c>
      <c r="B28" s="240"/>
      <c r="C28" s="239" t="s">
        <v>1218</v>
      </c>
      <c r="D28" s="239"/>
      <c r="E28" s="239"/>
      <c r="F28" s="239"/>
      <c r="G28" s="239" t="s">
        <v>731</v>
      </c>
      <c r="H28" s="239"/>
      <c r="I28" s="239"/>
      <c r="J28" s="239"/>
      <c r="K28" s="198" t="str">
        <f>CONCATENATE(Accounts[[#This Row],[Fund]],"-",Accounts[[#This Row],[Budget Unit]],"-",Accounts[[#This Row],[Cost Center]],"-",Accounts[[#This Row],[GL Account]],"-",Accounts[[#This Row],[GL Transfer Fund]])</f>
        <v>126220----0000</v>
      </c>
    </row>
    <row r="29" spans="1:11" ht="30" customHeight="1" x14ac:dyDescent="0.3">
      <c r="A29" s="242" t="s">
        <v>179</v>
      </c>
      <c r="B29" s="240"/>
      <c r="C29" s="292" t="s">
        <v>1221</v>
      </c>
      <c r="D29" s="239"/>
      <c r="E29" s="239"/>
      <c r="F29" s="239"/>
      <c r="G29" s="239" t="s">
        <v>731</v>
      </c>
      <c r="H29" s="239"/>
      <c r="I29" s="239"/>
      <c r="J29" s="239"/>
      <c r="K29" s="198" t="str">
        <f>CONCATENATE(Accounts[[#This Row],[Fund]],"-",Accounts[[#This Row],[Budget Unit]],"-",Accounts[[#This Row],[Cost Center]],"-",Accounts[[#This Row],[GL Account]],"-",Accounts[[#This Row],[GL Transfer Fund]])</f>
        <v>2030----0000</v>
      </c>
    </row>
    <row r="30" spans="1:11" ht="30" customHeight="1" x14ac:dyDescent="0.3">
      <c r="A30" s="242" t="s">
        <v>179</v>
      </c>
      <c r="B30" s="240"/>
      <c r="C30" s="239" t="s">
        <v>1222</v>
      </c>
      <c r="D30" s="239"/>
      <c r="E30" s="239"/>
      <c r="F30" s="239"/>
      <c r="G30" s="239" t="s">
        <v>731</v>
      </c>
      <c r="H30" s="239"/>
      <c r="I30" s="239"/>
      <c r="J30" s="239"/>
      <c r="K30" s="198" t="str">
        <f>CONCATENATE(Accounts[[#This Row],[Fund]],"-",Accounts[[#This Row],[Budget Unit]],"-",Accounts[[#This Row],[Cost Center]],"-",Accounts[[#This Row],[GL Account]],"-",Accounts[[#This Row],[GL Transfer Fund]])</f>
        <v>2152----0000</v>
      </c>
    </row>
    <row r="31" spans="1:11" ht="30" customHeight="1" x14ac:dyDescent="0.3">
      <c r="A31" s="242" t="s">
        <v>179</v>
      </c>
      <c r="B31" s="240"/>
      <c r="C31" s="239" t="s">
        <v>1223</v>
      </c>
      <c r="D31" s="239"/>
      <c r="E31" s="239"/>
      <c r="F31" s="239"/>
      <c r="G31" s="239" t="s">
        <v>731</v>
      </c>
      <c r="H31" s="239"/>
      <c r="I31" s="239"/>
      <c r="J31" s="239"/>
      <c r="K31" s="198" t="str">
        <f>CONCATENATE(Accounts[[#This Row],[Fund]],"-",Accounts[[#This Row],[Budget Unit]],"-",Accounts[[#This Row],[Cost Center]],"-",Accounts[[#This Row],[GL Account]],"-",Accounts[[#This Row],[GL Transfer Fund]])</f>
        <v>6031----0000</v>
      </c>
    </row>
    <row r="32" spans="1:11" ht="30" customHeight="1" x14ac:dyDescent="0.3">
      <c r="A32" s="242" t="s">
        <v>179</v>
      </c>
      <c r="B32" s="240"/>
      <c r="C32" s="239"/>
      <c r="D32" s="239" t="s">
        <v>1207</v>
      </c>
      <c r="E32" s="239"/>
      <c r="F32" s="239"/>
      <c r="G32" s="239" t="s">
        <v>731</v>
      </c>
      <c r="H32" s="239"/>
      <c r="I32" s="239"/>
      <c r="J32" s="239"/>
      <c r="K32" s="198" t="str">
        <f>CONCATENATE(Accounts[[#This Row],[Fund]],"-",Accounts[[#This Row],[Budget Unit]],"-",Accounts[[#This Row],[Cost Center]],"-",Accounts[[#This Row],[GL Account]],"-",Accounts[[#This Row],[GL Transfer Fund]])</f>
        <v>-1501---0000</v>
      </c>
    </row>
    <row r="33" spans="1:11" ht="30" customHeight="1" x14ac:dyDescent="0.3">
      <c r="A33" s="242" t="s">
        <v>179</v>
      </c>
      <c r="B33" s="240"/>
      <c r="C33" s="239"/>
      <c r="D33" s="239" t="s">
        <v>1215</v>
      </c>
      <c r="E33" s="239"/>
      <c r="F33" s="239"/>
      <c r="G33" s="239" t="s">
        <v>731</v>
      </c>
      <c r="H33" s="239"/>
      <c r="I33" s="239"/>
      <c r="J33" s="239"/>
      <c r="K33" s="198" t="str">
        <f>CONCATENATE(Accounts[[#This Row],[Fund]],"-",Accounts[[#This Row],[Budget Unit]],"-",Accounts[[#This Row],[Cost Center]],"-",Accounts[[#This Row],[GL Account]],"-",Accounts[[#This Row],[GL Transfer Fund]])</f>
        <v>-2971---0000</v>
      </c>
    </row>
    <row r="34" spans="1:11" ht="30" customHeight="1" x14ac:dyDescent="0.3">
      <c r="A34" s="242" t="s">
        <v>179</v>
      </c>
      <c r="B34" s="240"/>
      <c r="C34" s="239"/>
      <c r="D34" s="239" t="s">
        <v>1224</v>
      </c>
      <c r="E34" s="239"/>
      <c r="F34" s="239"/>
      <c r="G34" s="239" t="s">
        <v>731</v>
      </c>
      <c r="H34" s="239"/>
      <c r="I34" s="239"/>
      <c r="J34" s="239"/>
      <c r="K34" s="198" t="str">
        <f>CONCATENATE(Accounts[[#This Row],[Fund]],"-",Accounts[[#This Row],[Budget Unit]],"-",Accounts[[#This Row],[Cost Center]],"-",Accounts[[#This Row],[GL Account]],"-",Accounts[[#This Row],[GL Transfer Fund]])</f>
        <v>-2975---0000</v>
      </c>
    </row>
    <row r="35" spans="1:11" ht="30" customHeight="1" x14ac:dyDescent="0.3">
      <c r="A35" s="242" t="s">
        <v>179</v>
      </c>
      <c r="B35" s="240"/>
      <c r="C35" s="239"/>
      <c r="D35" s="292" t="s">
        <v>1211</v>
      </c>
      <c r="E35" s="239"/>
      <c r="F35" s="239"/>
      <c r="G35" s="239" t="s">
        <v>731</v>
      </c>
      <c r="H35" s="239"/>
      <c r="I35" s="239"/>
      <c r="J35" s="239"/>
      <c r="K35" s="198" t="str">
        <f>CONCATENATE(Accounts[[#This Row],[Fund]],"-",Accounts[[#This Row],[Budget Unit]],"-",Accounts[[#This Row],[Cost Center]],"-",Accounts[[#This Row],[GL Account]],"-",Accounts[[#This Row],[GL Transfer Fund]])</f>
        <v>-3011---0000</v>
      </c>
    </row>
    <row r="36" spans="1:11" ht="30" customHeight="1" x14ac:dyDescent="0.3">
      <c r="A36" s="242" t="s">
        <v>179</v>
      </c>
      <c r="B36" s="240"/>
      <c r="C36" s="239"/>
      <c r="D36" s="239"/>
      <c r="E36" s="239" t="s">
        <v>1208</v>
      </c>
      <c r="F36" s="239"/>
      <c r="G36" s="239" t="s">
        <v>731</v>
      </c>
      <c r="H36" s="239"/>
      <c r="I36" s="239"/>
      <c r="J36" s="239"/>
      <c r="K36" s="198" t="str">
        <f>CONCATENATE(Accounts[[#This Row],[Fund]],"-",Accounts[[#This Row],[Budget Unit]],"-",Accounts[[#This Row],[Cost Center]],"-",Accounts[[#This Row],[GL Account]],"-",Accounts[[#This Row],[GL Transfer Fund]])</f>
        <v>--6100--0000</v>
      </c>
    </row>
    <row r="37" spans="1:11" ht="30" customHeight="1" x14ac:dyDescent="0.3">
      <c r="A37" s="242" t="s">
        <v>179</v>
      </c>
      <c r="B37" s="240"/>
      <c r="C37" s="239"/>
      <c r="D37" s="239"/>
      <c r="E37" s="239" t="s">
        <v>1230</v>
      </c>
      <c r="F37" s="239"/>
      <c r="G37" s="239" t="s">
        <v>731</v>
      </c>
      <c r="H37" s="239"/>
      <c r="I37" s="239"/>
      <c r="J37" s="239"/>
      <c r="K37" s="198" t="str">
        <f>CONCATENATE(Accounts[[#This Row],[Fund]],"-",Accounts[[#This Row],[Budget Unit]],"-",Accounts[[#This Row],[Cost Center]],"-",Accounts[[#This Row],[GL Account]],"-",Accounts[[#This Row],[GL Transfer Fund]])</f>
        <v>--12001--0000</v>
      </c>
    </row>
    <row r="38" spans="1:11" ht="30" customHeight="1" x14ac:dyDescent="0.3">
      <c r="A38" s="242" t="s">
        <v>179</v>
      </c>
      <c r="B38" s="240"/>
      <c r="C38" s="239"/>
      <c r="D38" s="239"/>
      <c r="E38" s="239" t="s">
        <v>1219</v>
      </c>
      <c r="F38" s="239"/>
      <c r="G38" s="239" t="s">
        <v>731</v>
      </c>
      <c r="H38" s="239"/>
      <c r="I38" s="239"/>
      <c r="J38" s="239"/>
      <c r="K38" s="198" t="str">
        <f>CONCATENATE(Accounts[[#This Row],[Fund]],"-",Accounts[[#This Row],[Budget Unit]],"-",Accounts[[#This Row],[Cost Center]],"-",Accounts[[#This Row],[GL Account]],"-",Accounts[[#This Row],[GL Transfer Fund]])</f>
        <v>--6320--0000</v>
      </c>
    </row>
    <row r="39" spans="1:11" ht="30" customHeight="1" x14ac:dyDescent="0.3">
      <c r="A39" s="242" t="s">
        <v>179</v>
      </c>
      <c r="B39" s="240"/>
      <c r="C39" s="239"/>
      <c r="D39" s="239"/>
      <c r="E39" s="239" t="s">
        <v>1216</v>
      </c>
      <c r="F39" s="239"/>
      <c r="G39" s="239" t="s">
        <v>731</v>
      </c>
      <c r="H39" s="239"/>
      <c r="I39" s="239"/>
      <c r="J39" s="239"/>
      <c r="K39" s="198" t="str">
        <f>CONCATENATE(Accounts[[#This Row],[Fund]],"-",Accounts[[#This Row],[Budget Unit]],"-",Accounts[[#This Row],[Cost Center]],"-",Accounts[[#This Row],[GL Account]],"-",Accounts[[#This Row],[GL Transfer Fund]])</f>
        <v>--12003--0000</v>
      </c>
    </row>
    <row r="40" spans="1:11" ht="30" customHeight="1" x14ac:dyDescent="0.3">
      <c r="A40" s="242" t="s">
        <v>179</v>
      </c>
      <c r="B40" s="240"/>
      <c r="C40" s="239"/>
      <c r="D40" s="239"/>
      <c r="E40" s="239" t="s">
        <v>1228</v>
      </c>
      <c r="F40" s="239"/>
      <c r="G40" s="239" t="s">
        <v>731</v>
      </c>
      <c r="H40" s="239"/>
      <c r="I40" s="239"/>
      <c r="J40" s="239"/>
      <c r="K40" s="198" t="str">
        <f>CONCATENATE(Accounts[[#This Row],[Fund]],"-",Accounts[[#This Row],[Budget Unit]],"-",Accounts[[#This Row],[Cost Center]],"-",Accounts[[#This Row],[GL Account]],"-",Accounts[[#This Row],[GL Transfer Fund]])</f>
        <v>--12009--0000</v>
      </c>
    </row>
    <row r="41" spans="1:11" ht="30" customHeight="1" x14ac:dyDescent="0.3">
      <c r="A41" s="242" t="s">
        <v>179</v>
      </c>
      <c r="B41" s="240"/>
      <c r="C41" s="239"/>
      <c r="D41" s="239"/>
      <c r="E41" s="239" t="s">
        <v>1225</v>
      </c>
      <c r="F41" s="239"/>
      <c r="G41" s="239" t="s">
        <v>731</v>
      </c>
      <c r="H41" s="239"/>
      <c r="I41" s="239"/>
      <c r="J41" s="239"/>
      <c r="K41" s="198" t="str">
        <f>CONCATENATE(Accounts[[#This Row],[Fund]],"-",Accounts[[#This Row],[Budget Unit]],"-",Accounts[[#This Row],[Cost Center]],"-",Accounts[[#This Row],[GL Account]],"-",Accounts[[#This Row],[GL Transfer Fund]])</f>
        <v>--120041--0000</v>
      </c>
    </row>
    <row r="42" spans="1:11" ht="30" customHeight="1" x14ac:dyDescent="0.3">
      <c r="A42" s="242" t="s">
        <v>179</v>
      </c>
      <c r="B42" s="240"/>
      <c r="C42" s="239"/>
      <c r="D42" s="239"/>
      <c r="E42" s="239" t="s">
        <v>1212</v>
      </c>
      <c r="F42" s="239"/>
      <c r="G42" s="239" t="s">
        <v>731</v>
      </c>
      <c r="H42" s="239"/>
      <c r="I42" s="239"/>
      <c r="J42" s="239"/>
      <c r="K42" s="198" t="str">
        <f>CONCATENATE(Accounts[[#This Row],[Fund]],"-",Accounts[[#This Row],[Budget Unit]],"-",Accounts[[#This Row],[Cost Center]],"-",Accounts[[#This Row],[GL Account]],"-",Accounts[[#This Row],[GL Transfer Fund]])</f>
        <v>--6402--0000</v>
      </c>
    </row>
    <row r="43" spans="1:11" ht="30" customHeight="1" x14ac:dyDescent="0.3">
      <c r="A43" s="242" t="s">
        <v>179</v>
      </c>
      <c r="B43" s="240"/>
      <c r="C43" s="239"/>
      <c r="D43" s="239"/>
      <c r="E43" s="292" t="s">
        <v>1231</v>
      </c>
      <c r="F43" s="239"/>
      <c r="G43" s="239" t="s">
        <v>731</v>
      </c>
      <c r="H43" s="239"/>
      <c r="I43" s="239"/>
      <c r="J43" s="239"/>
      <c r="K43" s="198" t="str">
        <f>CONCATENATE(Accounts[[#This Row],[Fund]],"-",Accounts[[#This Row],[Budget Unit]],"-",Accounts[[#This Row],[Cost Center]],"-",Accounts[[#This Row],[GL Account]],"-",Accounts[[#This Row],[GL Transfer Fund]])</f>
        <v>--120028--0000</v>
      </c>
    </row>
    <row r="44" spans="1:11" ht="30" customHeight="1" x14ac:dyDescent="0.3">
      <c r="A44" s="242" t="s">
        <v>179</v>
      </c>
      <c r="B44" s="240"/>
      <c r="C44" s="239"/>
      <c r="D44" s="239"/>
      <c r="E44" s="239"/>
      <c r="F44" s="239" t="s">
        <v>1220</v>
      </c>
      <c r="G44" s="239" t="s">
        <v>731</v>
      </c>
      <c r="H44" s="239"/>
      <c r="I44" s="239"/>
      <c r="J44" s="239"/>
      <c r="K44" s="198" t="str">
        <f>CONCATENATE(Accounts[[#This Row],[Fund]],"-",Accounts[[#This Row],[Budget Unit]],"-",Accounts[[#This Row],[Cost Center]],"-",Accounts[[#This Row],[GL Account]],"-",Accounts[[#This Row],[GL Transfer Fund]])</f>
        <v>---400320-0000</v>
      </c>
    </row>
    <row r="45" spans="1:11" ht="30" customHeight="1" x14ac:dyDescent="0.3">
      <c r="A45" s="242" t="s">
        <v>179</v>
      </c>
      <c r="B45" s="240"/>
      <c r="C45" s="239"/>
      <c r="D45" s="239"/>
      <c r="E45" s="239"/>
      <c r="F45" s="239" t="s">
        <v>1217</v>
      </c>
      <c r="G45" s="239" t="s">
        <v>731</v>
      </c>
      <c r="H45" s="239"/>
      <c r="I45" s="239"/>
      <c r="J45" s="239"/>
      <c r="K45" s="198" t="str">
        <f>CONCATENATE(Accounts[[#This Row],[Fund]],"-",Accounts[[#This Row],[Budget Unit]],"-",Accounts[[#This Row],[Cost Center]],"-",Accounts[[#This Row],[GL Account]],"-",Accounts[[#This Row],[GL Transfer Fund]])</f>
        <v>---401315-0000</v>
      </c>
    </row>
    <row r="46" spans="1:11" ht="30" customHeight="1" x14ac:dyDescent="0.3">
      <c r="A46" s="242" t="s">
        <v>179</v>
      </c>
      <c r="B46" s="240"/>
      <c r="C46" s="239"/>
      <c r="D46" s="239"/>
      <c r="E46" s="239"/>
      <c r="F46" s="239" t="s">
        <v>1229</v>
      </c>
      <c r="G46" s="239" t="s">
        <v>731</v>
      </c>
      <c r="H46" s="239"/>
      <c r="I46" s="239"/>
      <c r="J46" s="239"/>
      <c r="K46" s="198" t="str">
        <f>CONCATENATE(Accounts[[#This Row],[Fund]],"-",Accounts[[#This Row],[Budget Unit]],"-",Accounts[[#This Row],[Cost Center]],"-",Accounts[[#This Row],[GL Account]],"-",Accounts[[#This Row],[GL Transfer Fund]])</f>
        <v>---401320-0000</v>
      </c>
    </row>
    <row r="47" spans="1:11" ht="30" customHeight="1" x14ac:dyDescent="0.3">
      <c r="A47" s="242" t="s">
        <v>179</v>
      </c>
      <c r="B47" s="240"/>
      <c r="C47" s="239"/>
      <c r="D47" s="239"/>
      <c r="E47" s="239"/>
      <c r="F47" s="239" t="s">
        <v>1209</v>
      </c>
      <c r="G47" s="239" t="s">
        <v>731</v>
      </c>
      <c r="H47" s="239"/>
      <c r="I47" s="239"/>
      <c r="J47" s="239"/>
      <c r="K47" s="198" t="str">
        <f>CONCATENATE(Accounts[[#This Row],[Fund]],"-",Accounts[[#This Row],[Budget Unit]],"-",Accounts[[#This Row],[Cost Center]],"-",Accounts[[#This Row],[GL Account]],"-",Accounts[[#This Row],[GL Transfer Fund]])</f>
        <v>---403090-0000</v>
      </c>
    </row>
    <row r="48" spans="1:11" ht="30" customHeight="1" x14ac:dyDescent="0.3">
      <c r="A48" s="242" t="s">
        <v>179</v>
      </c>
      <c r="B48" s="240"/>
      <c r="C48" s="239"/>
      <c r="D48" s="239"/>
      <c r="E48" s="239"/>
      <c r="F48" s="239" t="s">
        <v>1232</v>
      </c>
      <c r="G48" s="239" t="s">
        <v>731</v>
      </c>
      <c r="H48" s="239"/>
      <c r="I48" s="239"/>
      <c r="J48" s="239"/>
      <c r="K48" s="198" t="str">
        <f>CONCATENATE(Accounts[[#This Row],[Fund]],"-",Accounts[[#This Row],[Budget Unit]],"-",Accounts[[#This Row],[Cost Center]],"-",Accounts[[#This Row],[GL Account]],"-",Accounts[[#This Row],[GL Transfer Fund]])</f>
        <v>---403091-0000</v>
      </c>
    </row>
    <row r="49" spans="1:11" ht="30" customHeight="1" x14ac:dyDescent="0.3">
      <c r="A49" s="242" t="s">
        <v>179</v>
      </c>
      <c r="B49" s="240"/>
      <c r="C49" s="239"/>
      <c r="D49" s="239"/>
      <c r="E49" s="239"/>
      <c r="F49" s="239" t="s">
        <v>1213</v>
      </c>
      <c r="G49" s="239" t="s">
        <v>731</v>
      </c>
      <c r="H49" s="239"/>
      <c r="I49" s="239"/>
      <c r="J49" s="239"/>
      <c r="K49" s="198" t="str">
        <f>CONCATENATE(Accounts[[#This Row],[Fund]],"-",Accounts[[#This Row],[Budget Unit]],"-",Accounts[[#This Row],[Cost Center]],"-",Accounts[[#This Row],[GL Account]],"-",Accounts[[#This Row],[GL Transfer Fund]])</f>
        <v>---403699-0000</v>
      </c>
    </row>
    <row r="50" spans="1:11" ht="30" customHeight="1" x14ac:dyDescent="0.3">
      <c r="A50" s="242" t="s">
        <v>179</v>
      </c>
      <c r="B50" s="240"/>
      <c r="C50" s="239"/>
      <c r="D50" s="239"/>
      <c r="E50" s="239"/>
      <c r="F50" s="239" t="s">
        <v>1226</v>
      </c>
      <c r="G50" s="239" t="s">
        <v>731</v>
      </c>
      <c r="H50" s="239"/>
      <c r="I50" s="239"/>
      <c r="J50" s="239"/>
      <c r="K50" s="198" t="str">
        <f>CONCATENATE(Accounts[[#This Row],[Fund]],"-",Accounts[[#This Row],[Budget Unit]],"-",Accounts[[#This Row],[Cost Center]],"-",Accounts[[#This Row],[GL Account]],"-",Accounts[[#This Row],[GL Transfer Fund]])</f>
        <v>---440080-0000</v>
      </c>
    </row>
    <row r="51" spans="1:11" ht="30" customHeight="1" x14ac:dyDescent="0.3">
      <c r="A51" s="242" t="s">
        <v>179</v>
      </c>
      <c r="B51" s="240"/>
      <c r="C51" s="239"/>
      <c r="D51" s="239"/>
      <c r="E51" s="239"/>
      <c r="F51" s="239" t="s">
        <v>1227</v>
      </c>
      <c r="G51" s="239" t="s">
        <v>731</v>
      </c>
      <c r="H51" s="239"/>
      <c r="I51" s="239"/>
      <c r="J51" s="239"/>
      <c r="K51" s="198" t="str">
        <f>CONCATENATE(Accounts[[#This Row],[Fund]],"-",Accounts[[#This Row],[Budget Unit]],"-",Accounts[[#This Row],[Cost Center]],"-",Accounts[[#This Row],[GL Account]],"-",Accounts[[#This Row],[GL Transfer Fund]])</f>
        <v>---440081-0000</v>
      </c>
    </row>
    <row r="52" spans="1:11" ht="30" customHeight="1" x14ac:dyDescent="0.3">
      <c r="A52" s="242" t="s">
        <v>179</v>
      </c>
      <c r="B52" s="240"/>
      <c r="C52" s="239"/>
      <c r="D52" s="239"/>
      <c r="E52" s="239"/>
      <c r="F52" s="239" t="s">
        <v>1233</v>
      </c>
      <c r="G52" s="239" t="s">
        <v>731</v>
      </c>
      <c r="H52" s="239"/>
      <c r="I52" s="239"/>
      <c r="J52" s="239"/>
      <c r="K52" s="198" t="str">
        <f>CONCATENATE(Accounts[[#This Row],[Fund]],"-",Accounts[[#This Row],[Budget Unit]],"-",Accounts[[#This Row],[Cost Center]],"-",Accounts[[#This Row],[GL Account]],"-",Accounts[[#This Row],[GL Transfer Fund]])</f>
        <v>---440690-0000</v>
      </c>
    </row>
    <row r="53" spans="1:11" ht="30" customHeight="1" x14ac:dyDescent="0.3">
      <c r="A53" s="242" t="s">
        <v>1246</v>
      </c>
      <c r="B53" s="240"/>
      <c r="C53" s="239" t="s">
        <v>1214</v>
      </c>
      <c r="D53" s="239" t="s">
        <v>1207</v>
      </c>
      <c r="E53" s="239" t="s">
        <v>1247</v>
      </c>
      <c r="F53" s="239" t="s">
        <v>1226</v>
      </c>
      <c r="G53" s="239"/>
      <c r="H53" s="239"/>
      <c r="I53" s="239"/>
      <c r="J53" s="239"/>
      <c r="K53" s="198" t="str">
        <f>CONCATENATE(Accounts[[#This Row],[Fund]],"-",Accounts[[#This Row],[Budget Unit]],"-",Accounts[[#This Row],[Cost Center]],"-",Accounts[[#This Row],[GL Account]],"-",Accounts[[#This Row],[GL Transfer Fund]])</f>
        <v>1001-1501-120001-440080-</v>
      </c>
    </row>
    <row r="54" spans="1:11" ht="30" customHeight="1" x14ac:dyDescent="0.3">
      <c r="A54" s="242" t="s">
        <v>1246</v>
      </c>
      <c r="B54" s="240"/>
      <c r="C54" s="239" t="s">
        <v>1221</v>
      </c>
      <c r="D54" s="239" t="s">
        <v>1211</v>
      </c>
      <c r="E54" s="239" t="s">
        <v>1231</v>
      </c>
      <c r="F54" s="239"/>
      <c r="G54" s="239"/>
      <c r="H54" s="239"/>
      <c r="I54" s="239"/>
      <c r="J54" s="239"/>
      <c r="K54" s="198" t="str">
        <f>CONCATENATE(Accounts[[#This Row],[Fund]],"-",Accounts[[#This Row],[Budget Unit]],"-",Accounts[[#This Row],[Cost Center]],"-",Accounts[[#This Row],[GL Account]],"-",Accounts[[#This Row],[GL Transfer Fund]])</f>
        <v>2030-3011-120028--</v>
      </c>
    </row>
    <row r="55" spans="1:11" ht="30" customHeight="1" x14ac:dyDescent="0.3">
      <c r="A55" s="242" t="s">
        <v>1246</v>
      </c>
      <c r="B55" s="240"/>
      <c r="C55" s="239" t="s">
        <v>1223</v>
      </c>
      <c r="D55" s="239" t="s">
        <v>1224</v>
      </c>
      <c r="E55" s="239" t="s">
        <v>1225</v>
      </c>
      <c r="F55" s="239" t="s">
        <v>1229</v>
      </c>
      <c r="G55" s="239"/>
      <c r="H55" s="239"/>
      <c r="I55" s="239"/>
      <c r="J55" s="239"/>
      <c r="K55" s="198" t="str">
        <f>CONCATENATE(Accounts[[#This Row],[Fund]],"-",Accounts[[#This Row],[Budget Unit]],"-",Accounts[[#This Row],[Cost Center]],"-",Accounts[[#This Row],[GL Account]],"-",Accounts[[#This Row],[GL Transfer Fund]])</f>
        <v>6031-2975-120041-401320-</v>
      </c>
    </row>
    <row r="56" spans="1:11" ht="30" customHeight="1" x14ac:dyDescent="0.3">
      <c r="A56" s="242" t="s">
        <v>1246</v>
      </c>
      <c r="B56" s="240"/>
      <c r="C56" s="239" t="s">
        <v>1223</v>
      </c>
      <c r="D56" s="239" t="s">
        <v>1224</v>
      </c>
      <c r="E56" s="239" t="s">
        <v>1225</v>
      </c>
      <c r="F56" s="239" t="s">
        <v>1226</v>
      </c>
      <c r="G56" s="239"/>
      <c r="H56" s="239"/>
      <c r="I56" s="239"/>
      <c r="J56" s="239"/>
      <c r="K56" s="198" t="str">
        <f>CONCATENATE(Accounts[[#This Row],[Fund]],"-",Accounts[[#This Row],[Budget Unit]],"-",Accounts[[#This Row],[Cost Center]],"-",Accounts[[#This Row],[GL Account]],"-",Accounts[[#This Row],[GL Transfer Fund]])</f>
        <v>6031-2975-120041-440080-</v>
      </c>
    </row>
    <row r="57" spans="1:11" ht="30" customHeight="1" x14ac:dyDescent="0.3">
      <c r="A57" s="242" t="s">
        <v>1246</v>
      </c>
      <c r="B57" s="240"/>
      <c r="C57" s="239" t="s">
        <v>1223</v>
      </c>
      <c r="D57" s="239" t="s">
        <v>1224</v>
      </c>
      <c r="E57" s="239" t="s">
        <v>1225</v>
      </c>
      <c r="F57" s="239" t="s">
        <v>1227</v>
      </c>
      <c r="G57" s="239"/>
      <c r="H57" s="239"/>
      <c r="I57" s="239"/>
      <c r="J57" s="239"/>
      <c r="K57" s="198" t="str">
        <f>CONCATENATE(Accounts[[#This Row],[Fund]],"-",Accounts[[#This Row],[Budget Unit]],"-",Accounts[[#This Row],[Cost Center]],"-",Accounts[[#This Row],[GL Account]],"-",Accounts[[#This Row],[GL Transfer Fund]])</f>
        <v>6031-2975-120041-440081-</v>
      </c>
    </row>
    <row r="58" spans="1:11" ht="30" customHeight="1" x14ac:dyDescent="0.3">
      <c r="A58" s="242"/>
      <c r="B58" s="240"/>
      <c r="C58" s="239"/>
      <c r="D58" s="239"/>
      <c r="E58" s="239"/>
      <c r="F58" s="239"/>
      <c r="G58" s="239"/>
      <c r="H58" s="239"/>
      <c r="I58" s="239"/>
      <c r="J58" s="239"/>
      <c r="K58" s="198" t="str">
        <f>CONCATENATE(Accounts[[#This Row],[Fund]],"-",Accounts[[#This Row],[Budget Unit]],"-",Accounts[[#This Row],[Cost Center]],"-",Accounts[[#This Row],[GL Account]],"-",Accounts[[#This Row],[GL Transfer Fund]])</f>
        <v>----</v>
      </c>
    </row>
  </sheetData>
  <phoneticPr fontId="22" type="noConversion"/>
  <pageMargins left="0.7" right="0.7" top="0.75" bottom="0.75" header="0.3" footer="0.3"/>
  <pageSetup paperSize="5" scale="29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CAF6-3530-49D9-ADE9-513C264F84E4}">
  <dimension ref="A1:J17"/>
  <sheetViews>
    <sheetView showGridLines="0" zoomScale="115" zoomScaleNormal="115" workbookViewId="0">
      <selection activeCell="F3" sqref="F3"/>
    </sheetView>
  </sheetViews>
  <sheetFormatPr defaultColWidth="9.109375" defaultRowHeight="14.4" x14ac:dyDescent="0.3"/>
  <cols>
    <col min="1" max="1" width="9.44140625" style="165" customWidth="1"/>
    <col min="2" max="2" width="8.33203125" style="165" customWidth="1"/>
    <col min="3" max="3" width="8.44140625" style="165" customWidth="1"/>
    <col min="4" max="4" width="9" style="165" customWidth="1"/>
    <col min="5" max="5" width="34.88671875" style="165" bestFit="1" customWidth="1"/>
    <col min="6" max="6" width="12" style="165" customWidth="1"/>
    <col min="7" max="7" width="11.88671875" style="165" customWidth="1"/>
    <col min="8" max="8" width="12.88671875" style="165" customWidth="1"/>
    <col min="9" max="9" width="21.5546875" style="165" bestFit="1" customWidth="1"/>
    <col min="10" max="10" width="44.88671875" style="165" bestFit="1" customWidth="1"/>
    <col min="11" max="16384" width="9.109375" style="165"/>
  </cols>
  <sheetData>
    <row r="1" spans="1:10" ht="49.5" customHeight="1" x14ac:dyDescent="0.3">
      <c r="A1" s="311" t="s">
        <v>1289</v>
      </c>
      <c r="B1" s="312"/>
      <c r="C1" s="312"/>
      <c r="D1" s="312"/>
      <c r="E1" s="313"/>
      <c r="F1" s="314" t="s">
        <v>1290</v>
      </c>
      <c r="G1" s="315"/>
      <c r="H1" s="315"/>
      <c r="I1" s="315"/>
      <c r="J1" s="316"/>
    </row>
    <row r="2" spans="1:10" s="294" customFormat="1" ht="30" customHeight="1" x14ac:dyDescent="0.3">
      <c r="A2" s="319" t="s">
        <v>1288</v>
      </c>
      <c r="B2" s="320"/>
      <c r="C2" s="320"/>
      <c r="D2" s="320"/>
      <c r="E2" s="321"/>
      <c r="F2" s="317"/>
      <c r="G2" s="293"/>
      <c r="H2" s="293"/>
      <c r="I2" s="293"/>
      <c r="J2" s="318"/>
    </row>
    <row r="3" spans="1:10" s="295" customFormat="1" ht="30" customHeight="1" x14ac:dyDescent="0.3">
      <c r="A3" s="308" t="s">
        <v>713</v>
      </c>
      <c r="B3" s="246" t="s">
        <v>1287</v>
      </c>
      <c r="C3" s="246" t="s">
        <v>1286</v>
      </c>
      <c r="D3" s="246" t="s">
        <v>715</v>
      </c>
      <c r="E3" s="310" t="s">
        <v>101</v>
      </c>
      <c r="F3" s="309" t="s">
        <v>1285</v>
      </c>
      <c r="G3" s="245" t="s">
        <v>1284</v>
      </c>
      <c r="H3" s="245" t="s">
        <v>1283</v>
      </c>
      <c r="I3" s="264" t="s">
        <v>1291</v>
      </c>
      <c r="J3" s="310" t="s">
        <v>1282</v>
      </c>
    </row>
    <row r="4" spans="1:10" ht="30" customHeight="1" x14ac:dyDescent="0.3">
      <c r="A4" s="298" t="s">
        <v>1271</v>
      </c>
      <c r="B4" s="296" t="s">
        <v>1251</v>
      </c>
      <c r="C4" s="296" t="s">
        <v>1215</v>
      </c>
      <c r="D4" s="296" t="s">
        <v>1281</v>
      </c>
      <c r="E4" s="304" t="s">
        <v>1280</v>
      </c>
      <c r="F4" s="298" t="s">
        <v>1214</v>
      </c>
      <c r="G4" s="297" t="s">
        <v>1215</v>
      </c>
      <c r="H4" s="296">
        <v>120002</v>
      </c>
      <c r="I4" s="303" t="s">
        <v>1292</v>
      </c>
      <c r="J4" s="304" t="s">
        <v>1279</v>
      </c>
    </row>
    <row r="5" spans="1:10" ht="30" customHeight="1" x14ac:dyDescent="0.3">
      <c r="A5" s="298" t="s">
        <v>1271</v>
      </c>
      <c r="B5" s="296" t="s">
        <v>1251</v>
      </c>
      <c r="C5" s="296" t="s">
        <v>1215</v>
      </c>
      <c r="D5" s="296" t="s">
        <v>1278</v>
      </c>
      <c r="E5" s="304" t="s">
        <v>1277</v>
      </c>
      <c r="F5" s="298" t="s">
        <v>1214</v>
      </c>
      <c r="G5" s="297" t="s">
        <v>1215</v>
      </c>
      <c r="H5" s="296">
        <v>120010</v>
      </c>
      <c r="I5" s="303" t="s">
        <v>1293</v>
      </c>
      <c r="J5" s="304" t="s">
        <v>1277</v>
      </c>
    </row>
    <row r="6" spans="1:10" ht="30" customHeight="1" x14ac:dyDescent="0.3">
      <c r="A6" s="298" t="s">
        <v>1271</v>
      </c>
      <c r="B6" s="296" t="s">
        <v>1251</v>
      </c>
      <c r="C6" s="296" t="s">
        <v>1215</v>
      </c>
      <c r="D6" s="296" t="s">
        <v>1276</v>
      </c>
      <c r="E6" s="304" t="s">
        <v>1275</v>
      </c>
      <c r="F6" s="298" t="s">
        <v>1214</v>
      </c>
      <c r="G6" s="297" t="s">
        <v>1215</v>
      </c>
      <c r="H6" s="296">
        <v>120011</v>
      </c>
      <c r="I6" s="303" t="s">
        <v>1294</v>
      </c>
      <c r="J6" s="304" t="s">
        <v>1275</v>
      </c>
    </row>
    <row r="7" spans="1:10" ht="30" customHeight="1" x14ac:dyDescent="0.3">
      <c r="A7" s="298" t="s">
        <v>1271</v>
      </c>
      <c r="B7" s="296" t="s">
        <v>1251</v>
      </c>
      <c r="C7" s="296" t="s">
        <v>1215</v>
      </c>
      <c r="D7" s="296" t="s">
        <v>1274</v>
      </c>
      <c r="E7" s="304" t="s">
        <v>1273</v>
      </c>
      <c r="F7" s="298" t="s">
        <v>1214</v>
      </c>
      <c r="G7" s="297" t="s">
        <v>1215</v>
      </c>
      <c r="H7" s="296">
        <v>120003</v>
      </c>
      <c r="I7" s="303" t="s">
        <v>241</v>
      </c>
      <c r="J7" s="304" t="s">
        <v>1273</v>
      </c>
    </row>
    <row r="8" spans="1:10" ht="30" customHeight="1" x14ac:dyDescent="0.3">
      <c r="A8" s="298" t="s">
        <v>1271</v>
      </c>
      <c r="B8" s="296" t="s">
        <v>1251</v>
      </c>
      <c r="C8" s="296" t="s">
        <v>1215</v>
      </c>
      <c r="D8" s="296" t="s">
        <v>1234</v>
      </c>
      <c r="E8" s="304" t="s">
        <v>1272</v>
      </c>
      <c r="F8" s="298" t="s">
        <v>1214</v>
      </c>
      <c r="G8" s="297" t="s">
        <v>1215</v>
      </c>
      <c r="H8" s="296">
        <v>120013</v>
      </c>
      <c r="I8" s="303" t="s">
        <v>1304</v>
      </c>
      <c r="J8" s="304" t="s">
        <v>1272</v>
      </c>
    </row>
    <row r="9" spans="1:10" ht="30" customHeight="1" x14ac:dyDescent="0.3">
      <c r="A9" s="302" t="s">
        <v>1271</v>
      </c>
      <c r="B9" s="296" t="s">
        <v>1251</v>
      </c>
      <c r="C9" s="297" t="s">
        <v>1215</v>
      </c>
      <c r="D9" s="297" t="s">
        <v>1270</v>
      </c>
      <c r="E9" s="304" t="s">
        <v>1269</v>
      </c>
      <c r="F9" s="298" t="s">
        <v>1214</v>
      </c>
      <c r="G9" s="297" t="s">
        <v>1215</v>
      </c>
      <c r="H9" s="297">
        <v>120015</v>
      </c>
      <c r="I9" s="305" t="s">
        <v>1295</v>
      </c>
      <c r="J9" s="304" t="s">
        <v>1268</v>
      </c>
    </row>
    <row r="10" spans="1:10" ht="30" customHeight="1" x14ac:dyDescent="0.3">
      <c r="A10" s="298" t="s">
        <v>732</v>
      </c>
      <c r="B10" s="296" t="s">
        <v>1251</v>
      </c>
      <c r="C10" s="296" t="s">
        <v>1224</v>
      </c>
      <c r="D10" s="296" t="s">
        <v>1267</v>
      </c>
      <c r="E10" s="304" t="s">
        <v>1266</v>
      </c>
      <c r="F10" s="298" t="s">
        <v>1223</v>
      </c>
      <c r="G10" s="297" t="s">
        <v>1224</v>
      </c>
      <c r="H10" s="296">
        <v>120019</v>
      </c>
      <c r="I10" s="303" t="s">
        <v>1296</v>
      </c>
      <c r="J10" s="304" t="s">
        <v>1266</v>
      </c>
    </row>
    <row r="11" spans="1:10" ht="30" customHeight="1" x14ac:dyDescent="0.3">
      <c r="A11" s="298" t="s">
        <v>732</v>
      </c>
      <c r="B11" s="296" t="s">
        <v>1251</v>
      </c>
      <c r="C11" s="296" t="s">
        <v>1224</v>
      </c>
      <c r="D11" s="296" t="s">
        <v>1265</v>
      </c>
      <c r="E11" s="304" t="s">
        <v>1264</v>
      </c>
      <c r="F11" s="298" t="s">
        <v>1223</v>
      </c>
      <c r="G11" s="297" t="s">
        <v>1224</v>
      </c>
      <c r="H11" s="296">
        <v>120020</v>
      </c>
      <c r="I11" s="303" t="s">
        <v>1297</v>
      </c>
      <c r="J11" s="304" t="s">
        <v>1263</v>
      </c>
    </row>
    <row r="12" spans="1:10" ht="30" customHeight="1" x14ac:dyDescent="0.3">
      <c r="A12" s="298" t="s">
        <v>732</v>
      </c>
      <c r="B12" s="296" t="s">
        <v>1251</v>
      </c>
      <c r="C12" s="296" t="s">
        <v>1224</v>
      </c>
      <c r="D12" s="296" t="s">
        <v>1262</v>
      </c>
      <c r="E12" s="304" t="s">
        <v>1261</v>
      </c>
      <c r="F12" s="298" t="s">
        <v>1223</v>
      </c>
      <c r="G12" s="297" t="s">
        <v>1224</v>
      </c>
      <c r="H12" s="296">
        <v>120021</v>
      </c>
      <c r="I12" s="303" t="s">
        <v>1298</v>
      </c>
      <c r="J12" s="304" t="s">
        <v>1261</v>
      </c>
    </row>
    <row r="13" spans="1:10" ht="30" customHeight="1" x14ac:dyDescent="0.3">
      <c r="A13" s="302" t="s">
        <v>732</v>
      </c>
      <c r="B13" s="296" t="s">
        <v>1251</v>
      </c>
      <c r="C13" s="296" t="s">
        <v>1224</v>
      </c>
      <c r="D13" s="297" t="s">
        <v>1260</v>
      </c>
      <c r="E13" s="304" t="s">
        <v>1259</v>
      </c>
      <c r="F13" s="298" t="s">
        <v>1223</v>
      </c>
      <c r="G13" s="297" t="s">
        <v>1224</v>
      </c>
      <c r="H13" s="296">
        <v>120041</v>
      </c>
      <c r="I13" s="303" t="s">
        <v>1299</v>
      </c>
      <c r="J13" s="304" t="s">
        <v>1258</v>
      </c>
    </row>
    <row r="14" spans="1:10" ht="30" customHeight="1" x14ac:dyDescent="0.3">
      <c r="A14" s="298" t="s">
        <v>1252</v>
      </c>
      <c r="B14" s="296" t="s">
        <v>1251</v>
      </c>
      <c r="C14" s="296" t="s">
        <v>1211</v>
      </c>
      <c r="D14" s="296" t="s">
        <v>1257</v>
      </c>
      <c r="E14" s="304" t="s">
        <v>1256</v>
      </c>
      <c r="F14" s="298" t="s">
        <v>1221</v>
      </c>
      <c r="G14" s="297" t="s">
        <v>1211</v>
      </c>
      <c r="H14" s="296">
        <v>120026</v>
      </c>
      <c r="I14" s="303" t="s">
        <v>1300</v>
      </c>
      <c r="J14" s="304" t="s">
        <v>1256</v>
      </c>
    </row>
    <row r="15" spans="1:10" ht="30" customHeight="1" x14ac:dyDescent="0.3">
      <c r="A15" s="298" t="s">
        <v>1252</v>
      </c>
      <c r="B15" s="296" t="s">
        <v>1251</v>
      </c>
      <c r="C15" s="296" t="s">
        <v>1211</v>
      </c>
      <c r="D15" s="296" t="s">
        <v>1255</v>
      </c>
      <c r="E15" s="304" t="s">
        <v>1254</v>
      </c>
      <c r="F15" s="298" t="s">
        <v>1221</v>
      </c>
      <c r="G15" s="297" t="s">
        <v>1211</v>
      </c>
      <c r="H15" s="296">
        <v>120027</v>
      </c>
      <c r="I15" s="303" t="s">
        <v>1301</v>
      </c>
      <c r="J15" s="304" t="s">
        <v>1254</v>
      </c>
    </row>
    <row r="16" spans="1:10" ht="30" customHeight="1" x14ac:dyDescent="0.3">
      <c r="A16" s="298" t="s">
        <v>1252</v>
      </c>
      <c r="B16" s="296" t="s">
        <v>1251</v>
      </c>
      <c r="C16" s="296" t="s">
        <v>1211</v>
      </c>
      <c r="D16" s="296" t="s">
        <v>1212</v>
      </c>
      <c r="E16" s="304" t="s">
        <v>1253</v>
      </c>
      <c r="F16" s="298" t="s">
        <v>1221</v>
      </c>
      <c r="G16" s="297" t="s">
        <v>1211</v>
      </c>
      <c r="H16" s="296">
        <v>120028</v>
      </c>
      <c r="I16" s="303" t="s">
        <v>1302</v>
      </c>
      <c r="J16" s="304" t="s">
        <v>1253</v>
      </c>
    </row>
    <row r="17" spans="1:10" ht="30" customHeight="1" thickBot="1" x14ac:dyDescent="0.35">
      <c r="A17" s="299" t="s">
        <v>1252</v>
      </c>
      <c r="B17" s="301" t="s">
        <v>1251</v>
      </c>
      <c r="C17" s="301" t="s">
        <v>1211</v>
      </c>
      <c r="D17" s="301" t="s">
        <v>1250</v>
      </c>
      <c r="E17" s="307" t="s">
        <v>1249</v>
      </c>
      <c r="F17" s="299" t="s">
        <v>1221</v>
      </c>
      <c r="G17" s="300" t="s">
        <v>1211</v>
      </c>
      <c r="H17" s="301">
        <v>120029</v>
      </c>
      <c r="I17" s="306" t="s">
        <v>1303</v>
      </c>
      <c r="J17" s="307" t="s">
        <v>1249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C955-448F-4583-9A9C-0A644864E6EF}">
  <sheetPr codeName="Sheet6"/>
  <dimension ref="A1:AJ236"/>
  <sheetViews>
    <sheetView showGridLines="0" topLeftCell="K2" zoomScale="85" zoomScaleNormal="85" zoomScaleSheetLayoutView="100" workbookViewId="0">
      <pane xSplit="1" topLeftCell="L1" activePane="topRight" state="frozen"/>
      <selection activeCell="K2" sqref="K2"/>
      <selection pane="topRight" activeCell="M140" sqref="M140"/>
    </sheetView>
  </sheetViews>
  <sheetFormatPr defaultColWidth="8.5546875" defaultRowHeight="14.4" x14ac:dyDescent="0.3"/>
  <cols>
    <col min="1" max="1" width="9.44140625" style="247" hidden="1" customWidth="1"/>
    <col min="2" max="2" width="9.88671875" style="247" hidden="1" customWidth="1"/>
    <col min="3" max="3" width="23" style="231" hidden="1" customWidth="1"/>
    <col min="4" max="5" width="18.88671875" style="250" hidden="1" customWidth="1"/>
    <col min="6" max="6" width="9.6640625" style="250" hidden="1" customWidth="1"/>
    <col min="7" max="7" width="15.109375" style="250" hidden="1" customWidth="1"/>
    <col min="8" max="8" width="19.6640625" style="250" hidden="1" customWidth="1"/>
    <col min="9" max="9" width="27.109375" style="250" hidden="1" customWidth="1"/>
    <col min="10" max="10" width="38.109375" style="250" hidden="1" customWidth="1"/>
    <col min="11" max="11" width="64.109375" style="248" customWidth="1"/>
    <col min="12" max="12" width="55.6640625" style="248" customWidth="1"/>
    <col min="13" max="13" width="48.88671875" style="250" customWidth="1"/>
    <col min="14" max="14" width="78.6640625" style="250" customWidth="1"/>
    <col min="15" max="16" width="13.88671875" style="259" customWidth="1"/>
    <col min="17" max="22" width="13.88671875" style="250" customWidth="1"/>
    <col min="23" max="23" width="14.109375" style="250" customWidth="1"/>
    <col min="24" max="24" width="15.5546875" style="250" customWidth="1"/>
    <col min="25" max="25" width="18.5546875" style="250" customWidth="1"/>
    <col min="26" max="26" width="15.6640625" style="259" customWidth="1"/>
    <col min="27" max="27" width="17.6640625" style="250" customWidth="1"/>
    <col min="28" max="28" width="15.6640625" style="250" customWidth="1"/>
    <col min="29" max="29" width="13.5546875" style="250" customWidth="1"/>
    <col min="30" max="30" width="18.44140625" style="250" customWidth="1"/>
    <col min="31" max="31" width="18.33203125" style="250" customWidth="1"/>
    <col min="32" max="32" width="16.33203125" style="250" customWidth="1"/>
    <col min="33" max="33" width="22.109375" style="250" customWidth="1"/>
    <col min="34" max="34" width="18.5546875" style="250" customWidth="1"/>
    <col min="35" max="35" width="14.33203125" style="250" customWidth="1"/>
    <col min="36" max="36" width="20.109375" style="250" customWidth="1"/>
    <col min="37" max="37" width="4.33203125" style="250" customWidth="1"/>
    <col min="38" max="16384" width="8.5546875" style="250"/>
  </cols>
  <sheetData>
    <row r="1" spans="1:36" hidden="1" x14ac:dyDescent="0.3">
      <c r="A1" s="247" t="s">
        <v>1148</v>
      </c>
      <c r="B1" s="247" t="s">
        <v>1148</v>
      </c>
      <c r="C1" s="250" t="s">
        <v>1148</v>
      </c>
      <c r="D1" s="250" t="s">
        <v>1148</v>
      </c>
      <c r="E1" s="250" t="s">
        <v>1148</v>
      </c>
      <c r="F1" s="250" t="s">
        <v>1148</v>
      </c>
      <c r="G1" s="250" t="s">
        <v>1148</v>
      </c>
      <c r="H1" s="250" t="s">
        <v>1148</v>
      </c>
      <c r="I1" s="250" t="s">
        <v>1149</v>
      </c>
      <c r="J1" s="250" t="s">
        <v>1149</v>
      </c>
      <c r="K1" s="248" t="s">
        <v>1149</v>
      </c>
      <c r="L1" s="248" t="s">
        <v>1149</v>
      </c>
      <c r="M1" s="250" t="s">
        <v>1149</v>
      </c>
      <c r="N1" s="250" t="s">
        <v>1149</v>
      </c>
      <c r="O1" s="250" t="s">
        <v>1149</v>
      </c>
      <c r="P1" s="250" t="s">
        <v>1149</v>
      </c>
      <c r="Q1" s="250" t="s">
        <v>1149</v>
      </c>
      <c r="R1" s="250" t="s">
        <v>1149</v>
      </c>
      <c r="S1" s="250" t="s">
        <v>1149</v>
      </c>
      <c r="T1" s="250" t="s">
        <v>1149</v>
      </c>
      <c r="U1" s="250" t="s">
        <v>1149</v>
      </c>
      <c r="V1" s="250" t="s">
        <v>1149</v>
      </c>
      <c r="W1" s="250" t="s">
        <v>1148</v>
      </c>
      <c r="X1" s="250" t="s">
        <v>1149</v>
      </c>
      <c r="Y1" s="250" t="s">
        <v>1149</v>
      </c>
      <c r="Z1" s="250" t="s">
        <v>1149</v>
      </c>
      <c r="AA1" s="250" t="s">
        <v>1149</v>
      </c>
      <c r="AB1" s="250" t="s">
        <v>1149</v>
      </c>
      <c r="AC1" s="250" t="s">
        <v>1149</v>
      </c>
      <c r="AD1" s="250" t="s">
        <v>1149</v>
      </c>
      <c r="AE1" s="250" t="s">
        <v>1149</v>
      </c>
      <c r="AF1" s="250" t="s">
        <v>1149</v>
      </c>
      <c r="AG1" s="250" t="s">
        <v>1149</v>
      </c>
      <c r="AH1" s="250" t="s">
        <v>1149</v>
      </c>
      <c r="AI1" s="250" t="s">
        <v>1149</v>
      </c>
      <c r="AJ1" s="250" t="s">
        <v>1149</v>
      </c>
    </row>
    <row r="2" spans="1:36" s="243" customFormat="1" ht="54" customHeight="1" x14ac:dyDescent="0.3">
      <c r="A2" s="265" t="s">
        <v>518</v>
      </c>
      <c r="B2" s="265" t="s">
        <v>921</v>
      </c>
      <c r="C2" s="266" t="s">
        <v>1133</v>
      </c>
      <c r="D2" s="266" t="s">
        <v>829</v>
      </c>
      <c r="E2" s="266" t="s">
        <v>828</v>
      </c>
      <c r="F2" s="266" t="s">
        <v>1164</v>
      </c>
      <c r="G2" s="266" t="s">
        <v>196</v>
      </c>
      <c r="H2" s="266" t="s">
        <v>499</v>
      </c>
      <c r="I2" s="267" t="s">
        <v>824</v>
      </c>
      <c r="J2" s="268" t="s">
        <v>830</v>
      </c>
      <c r="K2" s="268" t="s">
        <v>825</v>
      </c>
      <c r="L2" s="267" t="s">
        <v>826</v>
      </c>
      <c r="M2" s="268" t="s">
        <v>831</v>
      </c>
      <c r="N2" s="267" t="s">
        <v>827</v>
      </c>
      <c r="O2" s="269" t="s">
        <v>642</v>
      </c>
      <c r="P2" s="269" t="s">
        <v>1154</v>
      </c>
      <c r="Q2" s="267" t="s">
        <v>702</v>
      </c>
      <c r="R2" s="267" t="s">
        <v>703</v>
      </c>
      <c r="S2" s="267" t="s">
        <v>704</v>
      </c>
      <c r="T2" s="267" t="s">
        <v>705</v>
      </c>
      <c r="U2" s="267" t="s">
        <v>706</v>
      </c>
      <c r="V2" s="267" t="s">
        <v>832</v>
      </c>
      <c r="W2" s="266" t="s">
        <v>519</v>
      </c>
      <c r="X2" s="267" t="s">
        <v>707</v>
      </c>
      <c r="Y2" s="267" t="s">
        <v>1183</v>
      </c>
      <c r="Z2" s="269" t="s">
        <v>708</v>
      </c>
      <c r="AA2" s="267" t="s">
        <v>1153</v>
      </c>
      <c r="AB2" s="267" t="s">
        <v>709</v>
      </c>
      <c r="AC2" s="267" t="s">
        <v>710</v>
      </c>
      <c r="AD2" s="267" t="s">
        <v>1152</v>
      </c>
      <c r="AE2" s="291" t="s">
        <v>1156</v>
      </c>
      <c r="AF2" s="291" t="s">
        <v>1155</v>
      </c>
      <c r="AG2" s="291" t="s">
        <v>1157</v>
      </c>
      <c r="AH2" s="291" t="s">
        <v>1158</v>
      </c>
      <c r="AI2" s="291" t="s">
        <v>1159</v>
      </c>
      <c r="AJ2" s="291" t="s">
        <v>1160</v>
      </c>
    </row>
    <row r="3" spans="1:36" ht="35.1" customHeight="1" x14ac:dyDescent="0.3">
      <c r="A3" s="244">
        <v>1</v>
      </c>
      <c r="B3" s="244" t="s">
        <v>498</v>
      </c>
      <c r="C3" s="178" t="s">
        <v>835</v>
      </c>
      <c r="D3" s="270">
        <v>39826</v>
      </c>
      <c r="E3" s="274"/>
      <c r="F3" s="198" t="s">
        <v>1163</v>
      </c>
      <c r="G3" s="272"/>
      <c r="H3" s="273"/>
      <c r="I3" s="198" t="s">
        <v>1185</v>
      </c>
      <c r="J3" s="276" t="s">
        <v>833</v>
      </c>
      <c r="K3" s="249" t="s">
        <v>721</v>
      </c>
      <c r="L3" s="251" t="s">
        <v>1162</v>
      </c>
      <c r="M3" s="198" t="s">
        <v>834</v>
      </c>
      <c r="N3" s="198" t="s">
        <v>1161</v>
      </c>
      <c r="O3" s="252"/>
      <c r="P3" s="252"/>
      <c r="Q3" s="253"/>
      <c r="R3" s="254"/>
      <c r="S3" s="254"/>
      <c r="T3" s="254"/>
      <c r="U3" s="254"/>
      <c r="V3" s="261"/>
      <c r="W3" s="198" t="s">
        <v>281</v>
      </c>
      <c r="X3" s="255">
        <v>2.5000000000000001E-4</v>
      </c>
      <c r="Y3" s="256">
        <v>0</v>
      </c>
      <c r="Z3" s="198" t="s">
        <v>498</v>
      </c>
      <c r="AA3" s="256">
        <f t="shared" ref="AA3:AA8" si="0">AD3*IF(Z3="Yes",1,0)</f>
        <v>0</v>
      </c>
      <c r="AB3" s="256"/>
      <c r="AC3" s="256">
        <v>0</v>
      </c>
      <c r="AD3" s="256">
        <f>Y3-AC3</f>
        <v>0</v>
      </c>
      <c r="AE3" s="257">
        <v>0.9</v>
      </c>
      <c r="AF3" s="256">
        <f t="shared" ref="AF3:AF34" si="1">AE3*AA3</f>
        <v>0</v>
      </c>
      <c r="AG3" s="198" t="s">
        <v>722</v>
      </c>
      <c r="AH3" s="258">
        <f>1-AE3</f>
        <v>9.9999999999999978E-2</v>
      </c>
      <c r="AI3" s="256">
        <f t="shared" ref="AI3:AI34" si="2">AH3*AA3</f>
        <v>0</v>
      </c>
      <c r="AJ3" s="198" t="s">
        <v>189</v>
      </c>
    </row>
    <row r="4" spans="1:36" ht="35.1" customHeight="1" x14ac:dyDescent="0.3">
      <c r="A4" s="244">
        <f>COUNT($A$3:$A3)+1</f>
        <v>2</v>
      </c>
      <c r="B4" s="244" t="s">
        <v>498</v>
      </c>
      <c r="C4" s="178" t="s">
        <v>835</v>
      </c>
      <c r="D4" s="270">
        <v>39826</v>
      </c>
      <c r="E4" s="274"/>
      <c r="F4" s="198" t="s">
        <v>1163</v>
      </c>
      <c r="G4" s="272"/>
      <c r="H4" s="273"/>
      <c r="I4" s="198" t="s">
        <v>1185</v>
      </c>
      <c r="J4" s="276" t="s">
        <v>833</v>
      </c>
      <c r="K4" s="249" t="s">
        <v>721</v>
      </c>
      <c r="L4" s="251" t="s">
        <v>1162</v>
      </c>
      <c r="M4" s="198" t="s">
        <v>834</v>
      </c>
      <c r="N4" s="198" t="s">
        <v>1161</v>
      </c>
      <c r="O4" s="252"/>
      <c r="P4" s="252"/>
      <c r="Q4" s="253"/>
      <c r="R4" s="254"/>
      <c r="S4" s="254"/>
      <c r="T4" s="254"/>
      <c r="U4" s="254"/>
      <c r="V4" s="261"/>
      <c r="W4" s="198" t="s">
        <v>281</v>
      </c>
      <c r="X4" s="255">
        <v>2.5000000000000001E-4</v>
      </c>
      <c r="Y4" s="256">
        <v>0</v>
      </c>
      <c r="Z4" s="198" t="s">
        <v>498</v>
      </c>
      <c r="AA4" s="256">
        <f t="shared" si="0"/>
        <v>0</v>
      </c>
      <c r="AB4" s="256"/>
      <c r="AC4" s="256">
        <v>0</v>
      </c>
      <c r="AD4" s="256">
        <f t="shared" ref="AD4:AD156" si="3">Y4-AC4</f>
        <v>0</v>
      </c>
      <c r="AE4" s="257">
        <v>0.9</v>
      </c>
      <c r="AF4" s="256">
        <f t="shared" si="1"/>
        <v>0</v>
      </c>
      <c r="AG4" s="198" t="s">
        <v>722</v>
      </c>
      <c r="AH4" s="258">
        <f>1-AE4</f>
        <v>9.9999999999999978E-2</v>
      </c>
      <c r="AI4" s="256">
        <f t="shared" si="2"/>
        <v>0</v>
      </c>
      <c r="AJ4" s="198" t="s">
        <v>189</v>
      </c>
    </row>
    <row r="5" spans="1:36" ht="56.25" customHeight="1" x14ac:dyDescent="0.3">
      <c r="A5" s="244">
        <f>COUNT($A$3:$A4)+1</f>
        <v>3</v>
      </c>
      <c r="B5" s="244" t="s">
        <v>498</v>
      </c>
      <c r="C5" s="178" t="s">
        <v>839</v>
      </c>
      <c r="D5" s="270">
        <v>43277</v>
      </c>
      <c r="E5" s="274"/>
      <c r="F5" s="198" t="s">
        <v>1163</v>
      </c>
      <c r="G5" s="272"/>
      <c r="H5" s="273"/>
      <c r="I5" s="198" t="s">
        <v>1185</v>
      </c>
      <c r="J5" s="276" t="s">
        <v>836</v>
      </c>
      <c r="K5" s="249" t="s">
        <v>837</v>
      </c>
      <c r="L5" s="251" t="s">
        <v>1162</v>
      </c>
      <c r="M5" s="198" t="s">
        <v>838</v>
      </c>
      <c r="N5" s="198" t="s">
        <v>1161</v>
      </c>
      <c r="O5" s="252"/>
      <c r="P5" s="252"/>
      <c r="Q5" s="253"/>
      <c r="R5" s="254"/>
      <c r="S5" s="254"/>
      <c r="T5" s="254"/>
      <c r="U5" s="254"/>
      <c r="V5" s="261"/>
      <c r="W5" s="198" t="s">
        <v>281</v>
      </c>
      <c r="X5" s="255">
        <v>2.5000000000000001E-4</v>
      </c>
      <c r="Y5" s="256">
        <v>0</v>
      </c>
      <c r="Z5" s="198" t="s">
        <v>498</v>
      </c>
      <c r="AA5" s="256">
        <f t="shared" si="0"/>
        <v>0</v>
      </c>
      <c r="AB5" s="256"/>
      <c r="AC5" s="256">
        <v>0</v>
      </c>
      <c r="AD5" s="256">
        <f t="shared" si="3"/>
        <v>0</v>
      </c>
      <c r="AE5" s="257">
        <v>0.9</v>
      </c>
      <c r="AF5" s="256">
        <f t="shared" si="1"/>
        <v>0</v>
      </c>
      <c r="AG5" s="198" t="s">
        <v>723</v>
      </c>
      <c r="AH5" s="258">
        <f>1-AE5</f>
        <v>9.9999999999999978E-2</v>
      </c>
      <c r="AI5" s="256">
        <f t="shared" si="2"/>
        <v>0</v>
      </c>
      <c r="AJ5" s="198" t="s">
        <v>189</v>
      </c>
    </row>
    <row r="6" spans="1:36" ht="50.25" customHeight="1" x14ac:dyDescent="0.3">
      <c r="A6" s="244">
        <f>COUNT($A$3:$A5)+1</f>
        <v>4</v>
      </c>
      <c r="B6" s="244" t="s">
        <v>498</v>
      </c>
      <c r="C6" s="178" t="s">
        <v>839</v>
      </c>
      <c r="D6" s="270">
        <v>43277</v>
      </c>
      <c r="E6" s="274"/>
      <c r="F6" s="198" t="s">
        <v>1163</v>
      </c>
      <c r="G6" s="272"/>
      <c r="H6" s="273"/>
      <c r="I6" s="198" t="s">
        <v>1185</v>
      </c>
      <c r="J6" s="276" t="s">
        <v>836</v>
      </c>
      <c r="K6" s="249" t="s">
        <v>837</v>
      </c>
      <c r="L6" s="251" t="s">
        <v>1162</v>
      </c>
      <c r="M6" s="198" t="s">
        <v>838</v>
      </c>
      <c r="N6" s="198" t="s">
        <v>1161</v>
      </c>
      <c r="O6" s="252"/>
      <c r="P6" s="252"/>
      <c r="Q6" s="253"/>
      <c r="R6" s="254"/>
      <c r="S6" s="254"/>
      <c r="T6" s="254"/>
      <c r="U6" s="254"/>
      <c r="V6" s="261"/>
      <c r="W6" s="198" t="s">
        <v>281</v>
      </c>
      <c r="X6" s="255">
        <v>2.5000000000000001E-4</v>
      </c>
      <c r="Y6" s="256">
        <v>0</v>
      </c>
      <c r="Z6" s="198" t="s">
        <v>498</v>
      </c>
      <c r="AA6" s="256">
        <f t="shared" si="0"/>
        <v>0</v>
      </c>
      <c r="AB6" s="256"/>
      <c r="AC6" s="256">
        <v>0</v>
      </c>
      <c r="AD6" s="256">
        <f t="shared" si="3"/>
        <v>0</v>
      </c>
      <c r="AE6" s="257">
        <v>0.9</v>
      </c>
      <c r="AF6" s="256">
        <f t="shared" si="1"/>
        <v>0</v>
      </c>
      <c r="AG6" s="198" t="s">
        <v>723</v>
      </c>
      <c r="AH6" s="258">
        <f>1-AE6</f>
        <v>9.9999999999999978E-2</v>
      </c>
      <c r="AI6" s="256">
        <f t="shared" si="2"/>
        <v>0</v>
      </c>
      <c r="AJ6" s="198" t="s">
        <v>189</v>
      </c>
    </row>
    <row r="7" spans="1:36" ht="35.1" customHeight="1" x14ac:dyDescent="0.3">
      <c r="A7" s="244">
        <f>COUNT($A$3:$A6)+1</f>
        <v>5</v>
      </c>
      <c r="B7" s="244" t="s">
        <v>498</v>
      </c>
      <c r="C7" s="178" t="s">
        <v>925</v>
      </c>
      <c r="D7" s="263">
        <v>39952</v>
      </c>
      <c r="E7" s="263">
        <v>41044</v>
      </c>
      <c r="F7" s="198" t="s">
        <v>1165</v>
      </c>
      <c r="G7" s="198" t="s">
        <v>189</v>
      </c>
      <c r="H7" s="198" t="s">
        <v>726</v>
      </c>
      <c r="I7" s="178" t="s">
        <v>833</v>
      </c>
      <c r="J7" s="275" t="s">
        <v>922</v>
      </c>
      <c r="K7" s="249" t="s">
        <v>923</v>
      </c>
      <c r="L7" s="251" t="s">
        <v>1162</v>
      </c>
      <c r="M7" s="178" t="s">
        <v>924</v>
      </c>
      <c r="N7" s="178"/>
      <c r="O7" s="252"/>
      <c r="P7" s="252"/>
      <c r="Q7" s="253"/>
      <c r="R7" s="254"/>
      <c r="S7" s="254"/>
      <c r="T7" s="254"/>
      <c r="U7" s="254"/>
      <c r="V7" s="262"/>
      <c r="W7" s="198" t="s">
        <v>281</v>
      </c>
      <c r="X7" s="256">
        <v>5</v>
      </c>
      <c r="Y7" s="256">
        <v>0</v>
      </c>
      <c r="Z7" s="198" t="s">
        <v>498</v>
      </c>
      <c r="AA7" s="256">
        <f t="shared" si="0"/>
        <v>0</v>
      </c>
      <c r="AB7" s="256"/>
      <c r="AC7" s="256">
        <v>0</v>
      </c>
      <c r="AD7" s="256">
        <f t="shared" si="3"/>
        <v>0</v>
      </c>
      <c r="AE7" s="257">
        <v>1</v>
      </c>
      <c r="AF7" s="256">
        <f t="shared" si="1"/>
        <v>0</v>
      </c>
      <c r="AG7" s="198" t="s">
        <v>189</v>
      </c>
      <c r="AH7" s="258">
        <f t="shared" ref="AH7:AH70" si="4">1-AE7</f>
        <v>0</v>
      </c>
      <c r="AI7" s="256">
        <f t="shared" si="2"/>
        <v>0</v>
      </c>
      <c r="AJ7" s="198" t="s">
        <v>55</v>
      </c>
    </row>
    <row r="8" spans="1:36" ht="35.1" customHeight="1" x14ac:dyDescent="0.3">
      <c r="A8" s="244">
        <f>COUNT($A$3:$A7)+1</f>
        <v>6</v>
      </c>
      <c r="B8" s="244" t="s">
        <v>498</v>
      </c>
      <c r="C8" s="178" t="s">
        <v>925</v>
      </c>
      <c r="D8" s="271"/>
      <c r="E8" s="263">
        <v>41044</v>
      </c>
      <c r="F8" s="198" t="s">
        <v>1165</v>
      </c>
      <c r="G8" s="198" t="s">
        <v>175</v>
      </c>
      <c r="H8" s="198" t="s">
        <v>726</v>
      </c>
      <c r="I8" s="178" t="s">
        <v>833</v>
      </c>
      <c r="J8" s="275" t="s">
        <v>922</v>
      </c>
      <c r="K8" s="249" t="s">
        <v>926</v>
      </c>
      <c r="L8" s="251" t="s">
        <v>1162</v>
      </c>
      <c r="M8" s="178" t="s">
        <v>927</v>
      </c>
      <c r="N8" s="178"/>
      <c r="O8" s="252"/>
      <c r="P8" s="252"/>
      <c r="Q8" s="253"/>
      <c r="R8" s="254"/>
      <c r="S8" s="254"/>
      <c r="T8" s="254"/>
      <c r="U8" s="254"/>
      <c r="V8" s="262"/>
      <c r="W8" s="198" t="s">
        <v>281</v>
      </c>
      <c r="X8" s="256">
        <v>5</v>
      </c>
      <c r="Y8" s="256">
        <v>0</v>
      </c>
      <c r="Z8" s="198" t="s">
        <v>498</v>
      </c>
      <c r="AA8" s="256">
        <f t="shared" si="0"/>
        <v>0</v>
      </c>
      <c r="AB8" s="256"/>
      <c r="AC8" s="256">
        <v>0</v>
      </c>
      <c r="AD8" s="256">
        <f t="shared" si="3"/>
        <v>0</v>
      </c>
      <c r="AE8" s="257">
        <v>1</v>
      </c>
      <c r="AF8" s="256">
        <f t="shared" si="1"/>
        <v>0</v>
      </c>
      <c r="AG8" s="198" t="s">
        <v>189</v>
      </c>
      <c r="AH8" s="258">
        <f t="shared" si="4"/>
        <v>0</v>
      </c>
      <c r="AI8" s="256">
        <f t="shared" si="2"/>
        <v>0</v>
      </c>
      <c r="AJ8" s="198" t="s">
        <v>55</v>
      </c>
    </row>
    <row r="9" spans="1:36" ht="35.1" customHeight="1" x14ac:dyDescent="0.3">
      <c r="A9" s="244">
        <f>COUNT($A$3:$A8)+1</f>
        <v>7</v>
      </c>
      <c r="B9" s="244" t="s">
        <v>498</v>
      </c>
      <c r="C9" s="178" t="s">
        <v>931</v>
      </c>
      <c r="D9" s="263">
        <v>43277</v>
      </c>
      <c r="E9" s="271"/>
      <c r="F9" s="198" t="s">
        <v>1165</v>
      </c>
      <c r="G9" s="198" t="s">
        <v>175</v>
      </c>
      <c r="H9" s="198" t="s">
        <v>92</v>
      </c>
      <c r="I9" s="178" t="s">
        <v>833</v>
      </c>
      <c r="J9" s="277" t="s">
        <v>928</v>
      </c>
      <c r="K9" s="249" t="s">
        <v>929</v>
      </c>
      <c r="L9" s="251" t="s">
        <v>1162</v>
      </c>
      <c r="M9" s="178" t="s">
        <v>930</v>
      </c>
      <c r="N9" s="178"/>
      <c r="O9" s="252"/>
      <c r="P9" s="252"/>
      <c r="Q9" s="253"/>
      <c r="R9" s="254"/>
      <c r="S9" s="254"/>
      <c r="T9" s="254"/>
      <c r="U9" s="254"/>
      <c r="V9" s="262"/>
      <c r="W9" s="198"/>
      <c r="X9" s="256">
        <v>5</v>
      </c>
      <c r="Y9" s="256">
        <v>0</v>
      </c>
      <c r="Z9" s="198" t="s">
        <v>498</v>
      </c>
      <c r="AA9" s="256">
        <f>AD9*IF(Z9="Yes",1,0)</f>
        <v>0</v>
      </c>
      <c r="AB9" s="256"/>
      <c r="AC9" s="256">
        <v>0</v>
      </c>
      <c r="AD9" s="256">
        <f t="shared" si="3"/>
        <v>0</v>
      </c>
      <c r="AE9" s="257">
        <v>1</v>
      </c>
      <c r="AF9" s="256">
        <f t="shared" si="1"/>
        <v>0</v>
      </c>
      <c r="AG9" s="198" t="s">
        <v>189</v>
      </c>
      <c r="AH9" s="258">
        <f t="shared" si="4"/>
        <v>0</v>
      </c>
      <c r="AI9" s="256">
        <f t="shared" si="2"/>
        <v>0</v>
      </c>
      <c r="AJ9" s="198" t="s">
        <v>55</v>
      </c>
    </row>
    <row r="10" spans="1:36" ht="35.1" customHeight="1" x14ac:dyDescent="0.3">
      <c r="A10" s="244">
        <f>COUNT($A$3:$A9)+1</f>
        <v>8</v>
      </c>
      <c r="B10" s="244" t="s">
        <v>498</v>
      </c>
      <c r="C10" s="178" t="s">
        <v>839</v>
      </c>
      <c r="D10" s="263">
        <v>43305</v>
      </c>
      <c r="E10" s="271"/>
      <c r="F10" s="198" t="s">
        <v>1165</v>
      </c>
      <c r="G10" s="198" t="s">
        <v>175</v>
      </c>
      <c r="H10" s="198" t="s">
        <v>726</v>
      </c>
      <c r="I10" s="178" t="s">
        <v>833</v>
      </c>
      <c r="J10" s="275" t="s">
        <v>836</v>
      </c>
      <c r="K10" s="249" t="s">
        <v>932</v>
      </c>
      <c r="L10" s="251" t="s">
        <v>1162</v>
      </c>
      <c r="M10" s="178" t="s">
        <v>933</v>
      </c>
      <c r="N10" s="178"/>
      <c r="O10" s="252"/>
      <c r="P10" s="252"/>
      <c r="Q10" s="253"/>
      <c r="R10" s="254"/>
      <c r="S10" s="254"/>
      <c r="T10" s="254"/>
      <c r="U10" s="254"/>
      <c r="V10" s="262"/>
      <c r="W10" s="198"/>
      <c r="X10" s="256">
        <v>5</v>
      </c>
      <c r="Y10" s="256">
        <v>0</v>
      </c>
      <c r="Z10" s="198" t="s">
        <v>498</v>
      </c>
      <c r="AA10" s="256">
        <f t="shared" ref="AA10:AA73" si="5">AD10*IF(Z10="Yes",1,0)</f>
        <v>0</v>
      </c>
      <c r="AB10" s="256"/>
      <c r="AC10" s="256">
        <v>0</v>
      </c>
      <c r="AD10" s="256">
        <f t="shared" si="3"/>
        <v>0</v>
      </c>
      <c r="AE10" s="257">
        <v>1</v>
      </c>
      <c r="AF10" s="256">
        <f t="shared" si="1"/>
        <v>0</v>
      </c>
      <c r="AG10" s="198" t="s">
        <v>189</v>
      </c>
      <c r="AH10" s="258">
        <f t="shared" si="4"/>
        <v>0</v>
      </c>
      <c r="AI10" s="256">
        <f t="shared" si="2"/>
        <v>0</v>
      </c>
      <c r="AJ10" s="198" t="s">
        <v>55</v>
      </c>
    </row>
    <row r="11" spans="1:36" ht="35.1" customHeight="1" x14ac:dyDescent="0.3">
      <c r="A11" s="244">
        <f>COUNT($A$3:$A10)+1</f>
        <v>9</v>
      </c>
      <c r="B11" s="244" t="s">
        <v>498</v>
      </c>
      <c r="C11" s="178" t="s">
        <v>839</v>
      </c>
      <c r="D11" s="263">
        <v>43277</v>
      </c>
      <c r="E11" s="271"/>
      <c r="F11" s="198" t="s">
        <v>1165</v>
      </c>
      <c r="G11" s="198" t="s">
        <v>175</v>
      </c>
      <c r="H11" s="198" t="s">
        <v>1184</v>
      </c>
      <c r="I11" s="178" t="s">
        <v>833</v>
      </c>
      <c r="J11" s="275" t="s">
        <v>836</v>
      </c>
      <c r="K11" s="249" t="s">
        <v>934</v>
      </c>
      <c r="L11" s="251" t="s">
        <v>1162</v>
      </c>
      <c r="M11" s="178" t="s">
        <v>935</v>
      </c>
      <c r="N11" s="178"/>
      <c r="O11" s="252"/>
      <c r="P11" s="252"/>
      <c r="Q11" s="253"/>
      <c r="R11" s="254"/>
      <c r="S11" s="254"/>
      <c r="T11" s="254"/>
      <c r="U11" s="254"/>
      <c r="V11" s="262"/>
      <c r="W11" s="198"/>
      <c r="X11" s="256">
        <v>5</v>
      </c>
      <c r="Y11" s="256">
        <v>0</v>
      </c>
      <c r="Z11" s="198" t="s">
        <v>498</v>
      </c>
      <c r="AA11" s="256">
        <f t="shared" si="5"/>
        <v>0</v>
      </c>
      <c r="AB11" s="256"/>
      <c r="AC11" s="256">
        <v>0</v>
      </c>
      <c r="AD11" s="256">
        <f t="shared" si="3"/>
        <v>0</v>
      </c>
      <c r="AE11" s="257">
        <v>1</v>
      </c>
      <c r="AF11" s="256">
        <f t="shared" si="1"/>
        <v>0</v>
      </c>
      <c r="AG11" s="198" t="s">
        <v>189</v>
      </c>
      <c r="AH11" s="258">
        <f t="shared" si="4"/>
        <v>0</v>
      </c>
      <c r="AI11" s="256">
        <f t="shared" si="2"/>
        <v>0</v>
      </c>
      <c r="AJ11" s="198" t="s">
        <v>55</v>
      </c>
    </row>
    <row r="12" spans="1:36" ht="35.1" customHeight="1" x14ac:dyDescent="0.3">
      <c r="A12" s="244">
        <f>COUNT($A$3:$A11)+1</f>
        <v>10</v>
      </c>
      <c r="B12" s="244" t="s">
        <v>498</v>
      </c>
      <c r="C12" s="178" t="s">
        <v>839</v>
      </c>
      <c r="D12" s="263">
        <v>43277</v>
      </c>
      <c r="E12" s="271"/>
      <c r="F12" s="198" t="s">
        <v>1165</v>
      </c>
      <c r="G12" s="198" t="s">
        <v>175</v>
      </c>
      <c r="H12" s="198" t="s">
        <v>92</v>
      </c>
      <c r="I12" s="178" t="s">
        <v>833</v>
      </c>
      <c r="J12" s="275" t="s">
        <v>836</v>
      </c>
      <c r="K12" s="249" t="s">
        <v>936</v>
      </c>
      <c r="L12" s="251" t="s">
        <v>1162</v>
      </c>
      <c r="M12" s="178" t="s">
        <v>937</v>
      </c>
      <c r="N12" s="178"/>
      <c r="O12" s="252"/>
      <c r="P12" s="252"/>
      <c r="Q12" s="253"/>
      <c r="R12" s="254"/>
      <c r="S12" s="254"/>
      <c r="T12" s="254"/>
      <c r="U12" s="254"/>
      <c r="V12" s="262"/>
      <c r="W12" s="198" t="s">
        <v>1151</v>
      </c>
      <c r="X12" s="256">
        <v>5</v>
      </c>
      <c r="Y12" s="256">
        <v>0</v>
      </c>
      <c r="Z12" s="198" t="s">
        <v>498</v>
      </c>
      <c r="AA12" s="256">
        <f t="shared" si="5"/>
        <v>0</v>
      </c>
      <c r="AB12" s="256"/>
      <c r="AC12" s="256">
        <v>0</v>
      </c>
      <c r="AD12" s="256">
        <f t="shared" si="3"/>
        <v>0</v>
      </c>
      <c r="AE12" s="257">
        <v>1</v>
      </c>
      <c r="AF12" s="256">
        <f t="shared" si="1"/>
        <v>0</v>
      </c>
      <c r="AG12" s="198" t="s">
        <v>189</v>
      </c>
      <c r="AH12" s="258">
        <f t="shared" si="4"/>
        <v>0</v>
      </c>
      <c r="AI12" s="256">
        <f t="shared" si="2"/>
        <v>0</v>
      </c>
      <c r="AJ12" s="198" t="s">
        <v>55</v>
      </c>
    </row>
    <row r="13" spans="1:36" ht="35.1" customHeight="1" x14ac:dyDescent="0.3">
      <c r="A13" s="244">
        <f>COUNT($A$3:$A12)+1</f>
        <v>11</v>
      </c>
      <c r="B13" s="244" t="s">
        <v>498</v>
      </c>
      <c r="C13" s="178" t="s">
        <v>839</v>
      </c>
      <c r="D13" s="263">
        <v>43277</v>
      </c>
      <c r="E13" s="271"/>
      <c r="F13" s="198" t="s">
        <v>1165</v>
      </c>
      <c r="G13" s="198" t="s">
        <v>175</v>
      </c>
      <c r="H13" s="198" t="s">
        <v>1184</v>
      </c>
      <c r="I13" s="178" t="s">
        <v>833</v>
      </c>
      <c r="J13" s="275" t="s">
        <v>836</v>
      </c>
      <c r="K13" s="249" t="s">
        <v>938</v>
      </c>
      <c r="L13" s="251" t="s">
        <v>1162</v>
      </c>
      <c r="M13" s="178" t="s">
        <v>935</v>
      </c>
      <c r="N13" s="178"/>
      <c r="O13" s="252"/>
      <c r="P13" s="252"/>
      <c r="Q13" s="253"/>
      <c r="R13" s="254"/>
      <c r="S13" s="254"/>
      <c r="T13" s="254"/>
      <c r="U13" s="254"/>
      <c r="V13" s="262"/>
      <c r="W13" s="198"/>
      <c r="X13" s="256">
        <v>5</v>
      </c>
      <c r="Y13" s="256">
        <v>0</v>
      </c>
      <c r="Z13" s="198" t="s">
        <v>498</v>
      </c>
      <c r="AA13" s="256">
        <f t="shared" si="5"/>
        <v>0</v>
      </c>
      <c r="AB13" s="256"/>
      <c r="AC13" s="256">
        <v>0</v>
      </c>
      <c r="AD13" s="256">
        <f t="shared" si="3"/>
        <v>0</v>
      </c>
      <c r="AE13" s="257">
        <v>1</v>
      </c>
      <c r="AF13" s="256">
        <f t="shared" si="1"/>
        <v>0</v>
      </c>
      <c r="AG13" s="198" t="s">
        <v>189</v>
      </c>
      <c r="AH13" s="258">
        <f t="shared" si="4"/>
        <v>0</v>
      </c>
      <c r="AI13" s="256">
        <f t="shared" si="2"/>
        <v>0</v>
      </c>
      <c r="AJ13" s="198" t="s">
        <v>55</v>
      </c>
    </row>
    <row r="14" spans="1:36" ht="35.1" customHeight="1" x14ac:dyDescent="0.3">
      <c r="A14" s="244">
        <f>COUNT($A$3:$A13)+1</f>
        <v>12</v>
      </c>
      <c r="B14" s="244" t="s">
        <v>498</v>
      </c>
      <c r="C14" s="178" t="s">
        <v>839</v>
      </c>
      <c r="D14" s="263">
        <v>43277</v>
      </c>
      <c r="E14" s="271"/>
      <c r="F14" s="198" t="s">
        <v>1165</v>
      </c>
      <c r="G14" s="198" t="s">
        <v>175</v>
      </c>
      <c r="H14" s="198" t="s">
        <v>726</v>
      </c>
      <c r="I14" s="178" t="s">
        <v>833</v>
      </c>
      <c r="J14" s="275" t="s">
        <v>836</v>
      </c>
      <c r="K14" s="249" t="s">
        <v>939</v>
      </c>
      <c r="L14" s="251" t="s">
        <v>1162</v>
      </c>
      <c r="M14" s="178" t="s">
        <v>940</v>
      </c>
      <c r="N14" s="178"/>
      <c r="O14" s="252"/>
      <c r="P14" s="252"/>
      <c r="Q14" s="253"/>
      <c r="R14" s="254"/>
      <c r="S14" s="254"/>
      <c r="T14" s="254"/>
      <c r="U14" s="254"/>
      <c r="V14" s="262"/>
      <c r="W14" s="198"/>
      <c r="X14" s="256">
        <v>5</v>
      </c>
      <c r="Y14" s="256">
        <v>0</v>
      </c>
      <c r="Z14" s="198" t="s">
        <v>498</v>
      </c>
      <c r="AA14" s="256">
        <f t="shared" si="5"/>
        <v>0</v>
      </c>
      <c r="AB14" s="256"/>
      <c r="AC14" s="256">
        <v>0</v>
      </c>
      <c r="AD14" s="256">
        <f t="shared" si="3"/>
        <v>0</v>
      </c>
      <c r="AE14" s="257">
        <v>1</v>
      </c>
      <c r="AF14" s="256">
        <f t="shared" si="1"/>
        <v>0</v>
      </c>
      <c r="AG14" s="198" t="s">
        <v>189</v>
      </c>
      <c r="AH14" s="258">
        <f t="shared" si="4"/>
        <v>0</v>
      </c>
      <c r="AI14" s="256">
        <f t="shared" si="2"/>
        <v>0</v>
      </c>
      <c r="AJ14" s="198" t="s">
        <v>55</v>
      </c>
    </row>
    <row r="15" spans="1:36" ht="35.1" customHeight="1" x14ac:dyDescent="0.3">
      <c r="A15" s="244">
        <f>COUNT($A$3:$A14)+1</f>
        <v>13</v>
      </c>
      <c r="B15" s="244" t="s">
        <v>498</v>
      </c>
      <c r="C15" s="178" t="s">
        <v>839</v>
      </c>
      <c r="D15" s="263">
        <v>43277</v>
      </c>
      <c r="E15" s="271"/>
      <c r="F15" s="198" t="s">
        <v>1165</v>
      </c>
      <c r="G15" s="198" t="s">
        <v>175</v>
      </c>
      <c r="H15" s="198" t="s">
        <v>92</v>
      </c>
      <c r="I15" s="178" t="s">
        <v>833</v>
      </c>
      <c r="J15" s="275" t="s">
        <v>836</v>
      </c>
      <c r="K15" s="249" t="s">
        <v>941</v>
      </c>
      <c r="L15" s="251" t="s">
        <v>1162</v>
      </c>
      <c r="M15" s="178" t="s">
        <v>942</v>
      </c>
      <c r="N15" s="178"/>
      <c r="O15" s="252"/>
      <c r="P15" s="252"/>
      <c r="Q15" s="253"/>
      <c r="R15" s="254"/>
      <c r="S15" s="254"/>
      <c r="T15" s="254"/>
      <c r="U15" s="254"/>
      <c r="V15" s="262"/>
      <c r="W15" s="198"/>
      <c r="X15" s="256">
        <v>5</v>
      </c>
      <c r="Y15" s="256">
        <v>0</v>
      </c>
      <c r="Z15" s="198" t="s">
        <v>498</v>
      </c>
      <c r="AA15" s="256">
        <f t="shared" si="5"/>
        <v>0</v>
      </c>
      <c r="AB15" s="256"/>
      <c r="AC15" s="256">
        <v>0</v>
      </c>
      <c r="AD15" s="256">
        <f t="shared" si="3"/>
        <v>0</v>
      </c>
      <c r="AE15" s="257">
        <v>1</v>
      </c>
      <c r="AF15" s="256">
        <f t="shared" si="1"/>
        <v>0</v>
      </c>
      <c r="AG15" s="198" t="s">
        <v>189</v>
      </c>
      <c r="AH15" s="258">
        <f t="shared" si="4"/>
        <v>0</v>
      </c>
      <c r="AI15" s="256">
        <f t="shared" si="2"/>
        <v>0</v>
      </c>
      <c r="AJ15" s="198" t="s">
        <v>55</v>
      </c>
    </row>
    <row r="16" spans="1:36" ht="35.1" customHeight="1" x14ac:dyDescent="0.3">
      <c r="A16" s="244">
        <f>COUNT($A$3:$A15)+1</f>
        <v>14</v>
      </c>
      <c r="B16" s="244" t="s">
        <v>498</v>
      </c>
      <c r="C16" s="178" t="s">
        <v>839</v>
      </c>
      <c r="D16" s="263">
        <v>43277</v>
      </c>
      <c r="E16" s="271"/>
      <c r="F16" s="198" t="s">
        <v>1165</v>
      </c>
      <c r="G16" s="198" t="s">
        <v>175</v>
      </c>
      <c r="H16" s="198" t="s">
        <v>1184</v>
      </c>
      <c r="I16" s="178" t="s">
        <v>833</v>
      </c>
      <c r="J16" s="275" t="s">
        <v>836</v>
      </c>
      <c r="K16" s="249" t="s">
        <v>943</v>
      </c>
      <c r="L16" s="251" t="s">
        <v>1162</v>
      </c>
      <c r="M16" s="178" t="s">
        <v>944</v>
      </c>
      <c r="N16" s="178"/>
      <c r="O16" s="252"/>
      <c r="P16" s="252"/>
      <c r="Q16" s="253"/>
      <c r="R16" s="254"/>
      <c r="S16" s="254"/>
      <c r="T16" s="254"/>
      <c r="U16" s="254"/>
      <c r="V16" s="262"/>
      <c r="W16" s="198"/>
      <c r="X16" s="256">
        <v>5</v>
      </c>
      <c r="Y16" s="256">
        <v>0</v>
      </c>
      <c r="Z16" s="198" t="s">
        <v>498</v>
      </c>
      <c r="AA16" s="256">
        <f t="shared" si="5"/>
        <v>0</v>
      </c>
      <c r="AB16" s="256"/>
      <c r="AC16" s="256">
        <v>0</v>
      </c>
      <c r="AD16" s="256">
        <f t="shared" si="3"/>
        <v>0</v>
      </c>
      <c r="AE16" s="257">
        <v>1</v>
      </c>
      <c r="AF16" s="256">
        <f t="shared" si="1"/>
        <v>0</v>
      </c>
      <c r="AG16" s="198" t="s">
        <v>189</v>
      </c>
      <c r="AH16" s="258">
        <f t="shared" si="4"/>
        <v>0</v>
      </c>
      <c r="AI16" s="256">
        <f t="shared" si="2"/>
        <v>0</v>
      </c>
      <c r="AJ16" s="198" t="s">
        <v>55</v>
      </c>
    </row>
    <row r="17" spans="1:36" ht="35.1" customHeight="1" x14ac:dyDescent="0.3">
      <c r="A17" s="244">
        <f>COUNT($A$3:$A16)+1</f>
        <v>15</v>
      </c>
      <c r="B17" s="244" t="s">
        <v>498</v>
      </c>
      <c r="C17" s="178" t="s">
        <v>839</v>
      </c>
      <c r="D17" s="271"/>
      <c r="E17" s="263">
        <v>44005</v>
      </c>
      <c r="F17" s="198" t="s">
        <v>1165</v>
      </c>
      <c r="G17" s="198" t="s">
        <v>175</v>
      </c>
      <c r="H17" s="198" t="s">
        <v>92</v>
      </c>
      <c r="I17" s="178" t="s">
        <v>833</v>
      </c>
      <c r="J17" s="275" t="s">
        <v>945</v>
      </c>
      <c r="K17" s="249" t="s">
        <v>946</v>
      </c>
      <c r="L17" s="249" t="s">
        <v>947</v>
      </c>
      <c r="M17" s="178" t="s">
        <v>948</v>
      </c>
      <c r="N17" s="178"/>
      <c r="O17" s="252"/>
      <c r="P17" s="252"/>
      <c r="Q17" s="253"/>
      <c r="R17" s="254"/>
      <c r="S17" s="254"/>
      <c r="T17" s="254"/>
      <c r="U17" s="254"/>
      <c r="V17" s="262"/>
      <c r="W17" s="198"/>
      <c r="X17" s="256">
        <v>5</v>
      </c>
      <c r="Y17" s="256">
        <v>0</v>
      </c>
      <c r="Z17" s="198" t="s">
        <v>498</v>
      </c>
      <c r="AA17" s="256">
        <f t="shared" si="5"/>
        <v>0</v>
      </c>
      <c r="AB17" s="256"/>
      <c r="AC17" s="256">
        <v>0</v>
      </c>
      <c r="AD17" s="256">
        <f t="shared" si="3"/>
        <v>0</v>
      </c>
      <c r="AE17" s="257">
        <v>1</v>
      </c>
      <c r="AF17" s="256">
        <f t="shared" si="1"/>
        <v>0</v>
      </c>
      <c r="AG17" s="198" t="s">
        <v>189</v>
      </c>
      <c r="AH17" s="258">
        <f t="shared" si="4"/>
        <v>0</v>
      </c>
      <c r="AI17" s="256">
        <f t="shared" si="2"/>
        <v>0</v>
      </c>
      <c r="AJ17" s="198" t="s">
        <v>55</v>
      </c>
    </row>
    <row r="18" spans="1:36" ht="35.1" customHeight="1" x14ac:dyDescent="0.3">
      <c r="A18" s="244">
        <f>COUNT($A$3:$A17)+1</f>
        <v>16</v>
      </c>
      <c r="B18" s="244" t="s">
        <v>498</v>
      </c>
      <c r="C18" s="178" t="s">
        <v>839</v>
      </c>
      <c r="D18" s="263">
        <v>43277</v>
      </c>
      <c r="E18" s="271"/>
      <c r="F18" s="198" t="s">
        <v>1165</v>
      </c>
      <c r="G18" s="198" t="s">
        <v>175</v>
      </c>
      <c r="H18" s="198" t="s">
        <v>92</v>
      </c>
      <c r="I18" s="178" t="s">
        <v>833</v>
      </c>
      <c r="J18" s="275" t="s">
        <v>945</v>
      </c>
      <c r="K18" s="249" t="s">
        <v>949</v>
      </c>
      <c r="L18" s="249" t="s">
        <v>950</v>
      </c>
      <c r="M18" s="178" t="s">
        <v>951</v>
      </c>
      <c r="N18" s="178"/>
      <c r="O18" s="252"/>
      <c r="P18" s="252"/>
      <c r="Q18" s="253"/>
      <c r="R18" s="254"/>
      <c r="S18" s="254"/>
      <c r="T18" s="254"/>
      <c r="U18" s="254"/>
      <c r="V18" s="262"/>
      <c r="W18" s="198"/>
      <c r="X18" s="256">
        <v>5</v>
      </c>
      <c r="Y18" s="256">
        <v>0</v>
      </c>
      <c r="Z18" s="198" t="s">
        <v>498</v>
      </c>
      <c r="AA18" s="256">
        <f t="shared" si="5"/>
        <v>0</v>
      </c>
      <c r="AB18" s="256"/>
      <c r="AC18" s="256">
        <v>0</v>
      </c>
      <c r="AD18" s="256">
        <f t="shared" si="3"/>
        <v>0</v>
      </c>
      <c r="AE18" s="257">
        <v>1</v>
      </c>
      <c r="AF18" s="256">
        <f t="shared" si="1"/>
        <v>0</v>
      </c>
      <c r="AG18" s="198" t="s">
        <v>189</v>
      </c>
      <c r="AH18" s="258">
        <f t="shared" si="4"/>
        <v>0</v>
      </c>
      <c r="AI18" s="256">
        <f t="shared" si="2"/>
        <v>0</v>
      </c>
      <c r="AJ18" s="198" t="s">
        <v>55</v>
      </c>
    </row>
    <row r="19" spans="1:36" ht="35.1" customHeight="1" x14ac:dyDescent="0.3">
      <c r="A19" s="244">
        <f>COUNT($A$3:$A18)+1</f>
        <v>17</v>
      </c>
      <c r="B19" s="244" t="s">
        <v>498</v>
      </c>
      <c r="C19" s="178" t="s">
        <v>955</v>
      </c>
      <c r="D19" s="271"/>
      <c r="E19" s="263">
        <v>43277</v>
      </c>
      <c r="F19" s="198" t="s">
        <v>1165</v>
      </c>
      <c r="G19" s="198" t="s">
        <v>175</v>
      </c>
      <c r="H19" s="198" t="s">
        <v>35</v>
      </c>
      <c r="I19" s="178" t="s">
        <v>952</v>
      </c>
      <c r="J19" s="275" t="s">
        <v>833</v>
      </c>
      <c r="K19" s="249" t="s">
        <v>953</v>
      </c>
      <c r="L19" s="251" t="s">
        <v>1162</v>
      </c>
      <c r="M19" s="178" t="s">
        <v>954</v>
      </c>
      <c r="N19" s="178"/>
      <c r="O19" s="252"/>
      <c r="P19" s="252"/>
      <c r="Q19" s="253"/>
      <c r="R19" s="254"/>
      <c r="S19" s="254"/>
      <c r="T19" s="254"/>
      <c r="U19" s="254"/>
      <c r="V19" s="262"/>
      <c r="W19" s="198"/>
      <c r="X19" s="256">
        <v>5</v>
      </c>
      <c r="Y19" s="256">
        <v>0</v>
      </c>
      <c r="Z19" s="198" t="s">
        <v>498</v>
      </c>
      <c r="AA19" s="256">
        <f t="shared" si="5"/>
        <v>0</v>
      </c>
      <c r="AB19" s="256"/>
      <c r="AC19" s="256">
        <v>0</v>
      </c>
      <c r="AD19" s="256">
        <f t="shared" si="3"/>
        <v>0</v>
      </c>
      <c r="AE19" s="257">
        <v>1</v>
      </c>
      <c r="AF19" s="256">
        <f t="shared" si="1"/>
        <v>0</v>
      </c>
      <c r="AG19" s="198" t="s">
        <v>189</v>
      </c>
      <c r="AH19" s="258">
        <f t="shared" si="4"/>
        <v>0</v>
      </c>
      <c r="AI19" s="256">
        <f t="shared" si="2"/>
        <v>0</v>
      </c>
      <c r="AJ19" s="198" t="s">
        <v>55</v>
      </c>
    </row>
    <row r="20" spans="1:36" ht="35.1" customHeight="1" x14ac:dyDescent="0.3">
      <c r="A20" s="244">
        <f>COUNT($A$3:$A19)+1</f>
        <v>18</v>
      </c>
      <c r="B20" s="244" t="s">
        <v>498</v>
      </c>
      <c r="C20" s="178" t="s">
        <v>839</v>
      </c>
      <c r="D20" s="263">
        <v>43277</v>
      </c>
      <c r="E20" s="271"/>
      <c r="F20" s="198" t="s">
        <v>1165</v>
      </c>
      <c r="G20" s="198" t="s">
        <v>175</v>
      </c>
      <c r="H20" s="198" t="s">
        <v>35</v>
      </c>
      <c r="I20" s="178" t="s">
        <v>952</v>
      </c>
      <c r="J20" s="275" t="s">
        <v>833</v>
      </c>
      <c r="K20" s="249" t="s">
        <v>956</v>
      </c>
      <c r="L20" s="251" t="s">
        <v>1162</v>
      </c>
      <c r="M20" s="178" t="s">
        <v>957</v>
      </c>
      <c r="N20" s="178"/>
      <c r="O20" s="252"/>
      <c r="P20" s="252"/>
      <c r="Q20" s="253"/>
      <c r="R20" s="254"/>
      <c r="S20" s="254"/>
      <c r="T20" s="254"/>
      <c r="U20" s="254"/>
      <c r="V20" s="262"/>
      <c r="W20" s="198"/>
      <c r="X20" s="256">
        <v>5</v>
      </c>
      <c r="Y20" s="256">
        <v>0</v>
      </c>
      <c r="Z20" s="198" t="s">
        <v>498</v>
      </c>
      <c r="AA20" s="256">
        <f t="shared" si="5"/>
        <v>0</v>
      </c>
      <c r="AB20" s="256"/>
      <c r="AC20" s="256">
        <v>0</v>
      </c>
      <c r="AD20" s="256">
        <f t="shared" si="3"/>
        <v>0</v>
      </c>
      <c r="AE20" s="257">
        <v>1</v>
      </c>
      <c r="AF20" s="256">
        <f t="shared" si="1"/>
        <v>0</v>
      </c>
      <c r="AG20" s="198" t="s">
        <v>189</v>
      </c>
      <c r="AH20" s="258">
        <f t="shared" si="4"/>
        <v>0</v>
      </c>
      <c r="AI20" s="256">
        <f t="shared" si="2"/>
        <v>0</v>
      </c>
      <c r="AJ20" s="198" t="s">
        <v>55</v>
      </c>
    </row>
    <row r="21" spans="1:36" ht="35.1" customHeight="1" x14ac:dyDescent="0.3">
      <c r="A21" s="244">
        <f>COUNT($A$3:$A20)+1</f>
        <v>19</v>
      </c>
      <c r="B21" s="244" t="s">
        <v>498</v>
      </c>
      <c r="C21" s="178" t="s">
        <v>955</v>
      </c>
      <c r="D21" s="271"/>
      <c r="E21" s="263">
        <v>43277</v>
      </c>
      <c r="F21" s="198" t="s">
        <v>1165</v>
      </c>
      <c r="G21" s="198" t="s">
        <v>175</v>
      </c>
      <c r="H21" s="198" t="s">
        <v>35</v>
      </c>
      <c r="I21" s="178" t="s">
        <v>952</v>
      </c>
      <c r="J21" s="275" t="s">
        <v>833</v>
      </c>
      <c r="K21" s="249" t="s">
        <v>958</v>
      </c>
      <c r="L21" s="251" t="s">
        <v>1162</v>
      </c>
      <c r="M21" s="178" t="s">
        <v>959</v>
      </c>
      <c r="N21" s="178"/>
      <c r="O21" s="252"/>
      <c r="P21" s="252"/>
      <c r="Q21" s="253"/>
      <c r="R21" s="254"/>
      <c r="S21" s="254"/>
      <c r="T21" s="254"/>
      <c r="U21" s="254"/>
      <c r="V21" s="262"/>
      <c r="W21" s="198"/>
      <c r="X21" s="256">
        <v>5</v>
      </c>
      <c r="Y21" s="256">
        <v>0</v>
      </c>
      <c r="Z21" s="198" t="s">
        <v>498</v>
      </c>
      <c r="AA21" s="256">
        <f t="shared" si="5"/>
        <v>0</v>
      </c>
      <c r="AB21" s="256"/>
      <c r="AC21" s="256">
        <v>0</v>
      </c>
      <c r="AD21" s="256">
        <f t="shared" si="3"/>
        <v>0</v>
      </c>
      <c r="AE21" s="257">
        <v>1</v>
      </c>
      <c r="AF21" s="256">
        <f t="shared" si="1"/>
        <v>0</v>
      </c>
      <c r="AG21" s="198" t="s">
        <v>189</v>
      </c>
      <c r="AH21" s="258">
        <f t="shared" si="4"/>
        <v>0</v>
      </c>
      <c r="AI21" s="256">
        <f t="shared" si="2"/>
        <v>0</v>
      </c>
      <c r="AJ21" s="198" t="s">
        <v>55</v>
      </c>
    </row>
    <row r="22" spans="1:36" ht="35.1" customHeight="1" x14ac:dyDescent="0.3">
      <c r="A22" s="244">
        <f>COUNT($A$3:$A21)+1</f>
        <v>20</v>
      </c>
      <c r="B22" s="244" t="s">
        <v>498</v>
      </c>
      <c r="C22" s="178" t="s">
        <v>839</v>
      </c>
      <c r="D22" s="263">
        <v>43277</v>
      </c>
      <c r="E22" s="271"/>
      <c r="F22" s="198" t="s">
        <v>1165</v>
      </c>
      <c r="G22" s="198" t="s">
        <v>175</v>
      </c>
      <c r="H22" s="198" t="s">
        <v>35</v>
      </c>
      <c r="I22" s="178" t="s">
        <v>952</v>
      </c>
      <c r="J22" s="275" t="s">
        <v>836</v>
      </c>
      <c r="K22" s="249" t="s">
        <v>960</v>
      </c>
      <c r="L22" s="251" t="s">
        <v>1162</v>
      </c>
      <c r="M22" s="178" t="s">
        <v>961</v>
      </c>
      <c r="N22" s="178"/>
      <c r="O22" s="252"/>
      <c r="P22" s="252"/>
      <c r="Q22" s="253"/>
      <c r="R22" s="254"/>
      <c r="S22" s="254"/>
      <c r="T22" s="254"/>
      <c r="U22" s="254"/>
      <c r="V22" s="262"/>
      <c r="W22" s="198"/>
      <c r="X22" s="256">
        <v>5</v>
      </c>
      <c r="Y22" s="256">
        <v>0</v>
      </c>
      <c r="Z22" s="198" t="s">
        <v>498</v>
      </c>
      <c r="AA22" s="256">
        <f t="shared" si="5"/>
        <v>0</v>
      </c>
      <c r="AB22" s="256"/>
      <c r="AC22" s="256">
        <v>0</v>
      </c>
      <c r="AD22" s="256">
        <f t="shared" si="3"/>
        <v>0</v>
      </c>
      <c r="AE22" s="257">
        <v>1</v>
      </c>
      <c r="AF22" s="256">
        <f t="shared" si="1"/>
        <v>0</v>
      </c>
      <c r="AG22" s="198" t="s">
        <v>189</v>
      </c>
      <c r="AH22" s="258">
        <f t="shared" si="4"/>
        <v>0</v>
      </c>
      <c r="AI22" s="256">
        <f t="shared" si="2"/>
        <v>0</v>
      </c>
      <c r="AJ22" s="198" t="s">
        <v>55</v>
      </c>
    </row>
    <row r="23" spans="1:36" ht="35.1" customHeight="1" x14ac:dyDescent="0.3">
      <c r="A23" s="244">
        <f>COUNT($A$3:$A22)+1</f>
        <v>21</v>
      </c>
      <c r="B23" s="244" t="s">
        <v>498</v>
      </c>
      <c r="C23" s="178" t="s">
        <v>965</v>
      </c>
      <c r="D23" s="271"/>
      <c r="E23" s="263">
        <v>43277</v>
      </c>
      <c r="F23" s="198" t="s">
        <v>1165</v>
      </c>
      <c r="G23" s="198" t="s">
        <v>175</v>
      </c>
      <c r="H23" s="198" t="s">
        <v>92</v>
      </c>
      <c r="I23" s="178" t="s">
        <v>833</v>
      </c>
      <c r="J23" s="275" t="s">
        <v>962</v>
      </c>
      <c r="K23" s="249" t="s">
        <v>963</v>
      </c>
      <c r="L23" s="251" t="s">
        <v>1162</v>
      </c>
      <c r="M23" s="178" t="s">
        <v>964</v>
      </c>
      <c r="N23" s="178"/>
      <c r="O23" s="252"/>
      <c r="P23" s="252"/>
      <c r="Q23" s="253"/>
      <c r="R23" s="254"/>
      <c r="S23" s="254"/>
      <c r="T23" s="254"/>
      <c r="U23" s="254"/>
      <c r="V23" s="262"/>
      <c r="W23" s="198" t="s">
        <v>1151</v>
      </c>
      <c r="X23" s="256">
        <v>5</v>
      </c>
      <c r="Y23" s="256">
        <v>0</v>
      </c>
      <c r="Z23" s="198" t="s">
        <v>498</v>
      </c>
      <c r="AA23" s="256">
        <f t="shared" si="5"/>
        <v>0</v>
      </c>
      <c r="AB23" s="256"/>
      <c r="AC23" s="256">
        <v>0</v>
      </c>
      <c r="AD23" s="256">
        <f t="shared" si="3"/>
        <v>0</v>
      </c>
      <c r="AE23" s="257">
        <v>1</v>
      </c>
      <c r="AF23" s="256">
        <f t="shared" si="1"/>
        <v>0</v>
      </c>
      <c r="AG23" s="198" t="s">
        <v>189</v>
      </c>
      <c r="AH23" s="258">
        <f t="shared" si="4"/>
        <v>0</v>
      </c>
      <c r="AI23" s="256">
        <f t="shared" si="2"/>
        <v>0</v>
      </c>
      <c r="AJ23" s="198" t="s">
        <v>55</v>
      </c>
    </row>
    <row r="24" spans="1:36" ht="35.1" customHeight="1" x14ac:dyDescent="0.3">
      <c r="A24" s="244">
        <f>COUNT($A$3:$A23)+1</f>
        <v>22</v>
      </c>
      <c r="B24" s="244" t="s">
        <v>498</v>
      </c>
      <c r="C24" s="178" t="s">
        <v>969</v>
      </c>
      <c r="D24" s="263">
        <v>39952</v>
      </c>
      <c r="E24" s="271"/>
      <c r="F24" s="198" t="s">
        <v>1165</v>
      </c>
      <c r="G24" s="198" t="s">
        <v>175</v>
      </c>
      <c r="H24" s="198" t="s">
        <v>1172</v>
      </c>
      <c r="I24" s="178" t="s">
        <v>833</v>
      </c>
      <c r="J24" s="275" t="s">
        <v>966</v>
      </c>
      <c r="K24" s="249" t="s">
        <v>967</v>
      </c>
      <c r="L24" s="251" t="s">
        <v>1162</v>
      </c>
      <c r="M24" s="178" t="s">
        <v>968</v>
      </c>
      <c r="N24" s="178"/>
      <c r="O24" s="252"/>
      <c r="P24" s="252"/>
      <c r="Q24" s="253"/>
      <c r="R24" s="254"/>
      <c r="S24" s="254"/>
      <c r="T24" s="254"/>
      <c r="U24" s="254"/>
      <c r="V24" s="262"/>
      <c r="W24" s="198" t="s">
        <v>711</v>
      </c>
      <c r="X24" s="256">
        <v>5</v>
      </c>
      <c r="Y24" s="256">
        <v>0</v>
      </c>
      <c r="Z24" s="198" t="s">
        <v>498</v>
      </c>
      <c r="AA24" s="256">
        <f t="shared" si="5"/>
        <v>0</v>
      </c>
      <c r="AB24" s="256"/>
      <c r="AC24" s="256">
        <v>0</v>
      </c>
      <c r="AD24" s="256">
        <f t="shared" si="3"/>
        <v>0</v>
      </c>
      <c r="AE24" s="257">
        <v>1</v>
      </c>
      <c r="AF24" s="256">
        <f t="shared" si="1"/>
        <v>0</v>
      </c>
      <c r="AG24" s="198" t="s">
        <v>189</v>
      </c>
      <c r="AH24" s="258">
        <f t="shared" si="4"/>
        <v>0</v>
      </c>
      <c r="AI24" s="256">
        <f t="shared" si="2"/>
        <v>0</v>
      </c>
      <c r="AJ24" s="198" t="s">
        <v>55</v>
      </c>
    </row>
    <row r="25" spans="1:36" ht="35.1" customHeight="1" x14ac:dyDescent="0.3">
      <c r="A25" s="244">
        <f>COUNT($A$3:$A24)+1</f>
        <v>23</v>
      </c>
      <c r="B25" s="244" t="s">
        <v>498</v>
      </c>
      <c r="C25" s="178" t="s">
        <v>955</v>
      </c>
      <c r="D25" s="271"/>
      <c r="E25" s="263">
        <v>43277</v>
      </c>
      <c r="F25" s="198" t="s">
        <v>1165</v>
      </c>
      <c r="G25" s="198" t="s">
        <v>175</v>
      </c>
      <c r="H25" s="198" t="s">
        <v>678</v>
      </c>
      <c r="I25" s="251" t="s">
        <v>1162</v>
      </c>
      <c r="J25" s="178" t="s">
        <v>833</v>
      </c>
      <c r="K25" s="249" t="s">
        <v>970</v>
      </c>
      <c r="L25" s="251" t="s">
        <v>1162</v>
      </c>
      <c r="M25" s="178" t="s">
        <v>971</v>
      </c>
      <c r="N25" s="178" t="s">
        <v>972</v>
      </c>
      <c r="O25" s="252"/>
      <c r="P25" s="252"/>
      <c r="Q25" s="253"/>
      <c r="R25" s="254"/>
      <c r="S25" s="254"/>
      <c r="T25" s="254"/>
      <c r="U25" s="254"/>
      <c r="V25" s="262"/>
      <c r="W25" s="198" t="s">
        <v>1151</v>
      </c>
      <c r="X25" s="256">
        <v>5</v>
      </c>
      <c r="Y25" s="256">
        <v>0</v>
      </c>
      <c r="Z25" s="198" t="s">
        <v>498</v>
      </c>
      <c r="AA25" s="256">
        <f t="shared" si="5"/>
        <v>0</v>
      </c>
      <c r="AB25" s="256"/>
      <c r="AC25" s="256">
        <v>0</v>
      </c>
      <c r="AD25" s="256">
        <f t="shared" si="3"/>
        <v>0</v>
      </c>
      <c r="AE25" s="257">
        <v>1</v>
      </c>
      <c r="AF25" s="256">
        <f t="shared" si="1"/>
        <v>0</v>
      </c>
      <c r="AG25" s="198" t="s">
        <v>189</v>
      </c>
      <c r="AH25" s="258">
        <f t="shared" si="4"/>
        <v>0</v>
      </c>
      <c r="AI25" s="256">
        <f t="shared" si="2"/>
        <v>0</v>
      </c>
      <c r="AJ25" s="198" t="s">
        <v>55</v>
      </c>
    </row>
    <row r="26" spans="1:36" ht="35.1" customHeight="1" x14ac:dyDescent="0.3">
      <c r="A26" s="244">
        <f>COUNT($A$3:$A25)+1</f>
        <v>24</v>
      </c>
      <c r="B26" s="244" t="s">
        <v>498</v>
      </c>
      <c r="C26" s="178" t="s">
        <v>975</v>
      </c>
      <c r="D26" s="271"/>
      <c r="E26" s="263">
        <v>43277</v>
      </c>
      <c r="F26" s="198" t="s">
        <v>1165</v>
      </c>
      <c r="G26" s="198" t="s">
        <v>175</v>
      </c>
      <c r="H26" s="198" t="s">
        <v>679</v>
      </c>
      <c r="I26" s="251" t="s">
        <v>1162</v>
      </c>
      <c r="J26" s="178" t="s">
        <v>833</v>
      </c>
      <c r="K26" s="249" t="s">
        <v>375</v>
      </c>
      <c r="L26" s="251" t="s">
        <v>1162</v>
      </c>
      <c r="M26" s="178" t="s">
        <v>973</v>
      </c>
      <c r="N26" s="178" t="s">
        <v>974</v>
      </c>
      <c r="O26" s="252"/>
      <c r="P26" s="252"/>
      <c r="Q26" s="253"/>
      <c r="R26" s="254"/>
      <c r="S26" s="254"/>
      <c r="T26" s="254"/>
      <c r="U26" s="254"/>
      <c r="V26" s="262"/>
      <c r="W26" s="198" t="s">
        <v>1151</v>
      </c>
      <c r="X26" s="256">
        <v>5</v>
      </c>
      <c r="Y26" s="256">
        <v>0</v>
      </c>
      <c r="Z26" s="198" t="s">
        <v>498</v>
      </c>
      <c r="AA26" s="256">
        <f t="shared" si="5"/>
        <v>0</v>
      </c>
      <c r="AB26" s="256"/>
      <c r="AC26" s="256">
        <v>0</v>
      </c>
      <c r="AD26" s="256">
        <f t="shared" si="3"/>
        <v>0</v>
      </c>
      <c r="AE26" s="257">
        <v>1</v>
      </c>
      <c r="AF26" s="256">
        <f t="shared" si="1"/>
        <v>0</v>
      </c>
      <c r="AG26" s="198" t="s">
        <v>189</v>
      </c>
      <c r="AH26" s="258">
        <f t="shared" si="4"/>
        <v>0</v>
      </c>
      <c r="AI26" s="256">
        <f t="shared" si="2"/>
        <v>0</v>
      </c>
      <c r="AJ26" s="198" t="s">
        <v>55</v>
      </c>
    </row>
    <row r="27" spans="1:36" ht="35.1" customHeight="1" x14ac:dyDescent="0.3">
      <c r="A27" s="244">
        <f>COUNT($A$3:$A26)+1</f>
        <v>25</v>
      </c>
      <c r="B27" s="244" t="s">
        <v>498</v>
      </c>
      <c r="C27" s="178" t="s">
        <v>979</v>
      </c>
      <c r="D27" s="271"/>
      <c r="E27" s="263">
        <v>43277</v>
      </c>
      <c r="F27" s="198" t="s">
        <v>1165</v>
      </c>
      <c r="G27" s="198" t="s">
        <v>175</v>
      </c>
      <c r="H27" s="198" t="s">
        <v>726</v>
      </c>
      <c r="I27" s="251" t="s">
        <v>1162</v>
      </c>
      <c r="J27" s="178" t="s">
        <v>833</v>
      </c>
      <c r="K27" s="249" t="s">
        <v>976</v>
      </c>
      <c r="L27" s="251" t="s">
        <v>1162</v>
      </c>
      <c r="M27" s="178" t="s">
        <v>977</v>
      </c>
      <c r="N27" s="178" t="s">
        <v>978</v>
      </c>
      <c r="O27" s="252"/>
      <c r="P27" s="252"/>
      <c r="Q27" s="253"/>
      <c r="R27" s="254"/>
      <c r="S27" s="254"/>
      <c r="T27" s="254"/>
      <c r="U27" s="254"/>
      <c r="V27" s="262"/>
      <c r="W27" s="198" t="s">
        <v>919</v>
      </c>
      <c r="X27" s="256">
        <v>5</v>
      </c>
      <c r="Y27" s="256">
        <v>0</v>
      </c>
      <c r="Z27" s="198" t="s">
        <v>498</v>
      </c>
      <c r="AA27" s="256">
        <f t="shared" si="5"/>
        <v>0</v>
      </c>
      <c r="AB27" s="256"/>
      <c r="AC27" s="256">
        <v>0</v>
      </c>
      <c r="AD27" s="256">
        <f t="shared" si="3"/>
        <v>0</v>
      </c>
      <c r="AE27" s="257">
        <v>1</v>
      </c>
      <c r="AF27" s="256">
        <f t="shared" si="1"/>
        <v>0</v>
      </c>
      <c r="AG27" s="198" t="s">
        <v>189</v>
      </c>
      <c r="AH27" s="258">
        <f t="shared" si="4"/>
        <v>0</v>
      </c>
      <c r="AI27" s="256">
        <f t="shared" si="2"/>
        <v>0</v>
      </c>
      <c r="AJ27" s="198" t="s">
        <v>55</v>
      </c>
    </row>
    <row r="28" spans="1:36" ht="35.1" customHeight="1" x14ac:dyDescent="0.3">
      <c r="A28" s="244">
        <f>COUNT($A$3:$A27)+1</f>
        <v>26</v>
      </c>
      <c r="B28" s="244" t="s">
        <v>498</v>
      </c>
      <c r="C28" s="178" t="s">
        <v>983</v>
      </c>
      <c r="D28" s="263">
        <v>39952</v>
      </c>
      <c r="E28" s="271"/>
      <c r="F28" s="198" t="s">
        <v>1165</v>
      </c>
      <c r="G28" s="198" t="s">
        <v>175</v>
      </c>
      <c r="H28" s="198" t="s">
        <v>92</v>
      </c>
      <c r="I28" s="251" t="s">
        <v>1162</v>
      </c>
      <c r="J28" s="178" t="s">
        <v>833</v>
      </c>
      <c r="K28" s="280" t="s">
        <v>980</v>
      </c>
      <c r="L28" s="249" t="s">
        <v>981</v>
      </c>
      <c r="M28" s="178" t="s">
        <v>982</v>
      </c>
      <c r="N28" s="178"/>
      <c r="O28" s="252"/>
      <c r="P28" s="252"/>
      <c r="Q28" s="253"/>
      <c r="R28" s="254"/>
      <c r="S28" s="254"/>
      <c r="T28" s="254"/>
      <c r="U28" s="254"/>
      <c r="V28" s="262"/>
      <c r="W28" s="198"/>
      <c r="X28" s="256">
        <v>5</v>
      </c>
      <c r="Y28" s="256">
        <v>0</v>
      </c>
      <c r="Z28" s="198" t="s">
        <v>498</v>
      </c>
      <c r="AA28" s="256">
        <f t="shared" si="5"/>
        <v>0</v>
      </c>
      <c r="AB28" s="256"/>
      <c r="AC28" s="256">
        <v>0</v>
      </c>
      <c r="AD28" s="256">
        <f t="shared" si="3"/>
        <v>0</v>
      </c>
      <c r="AE28" s="257">
        <v>1</v>
      </c>
      <c r="AF28" s="256">
        <f t="shared" si="1"/>
        <v>0</v>
      </c>
      <c r="AG28" s="198" t="s">
        <v>189</v>
      </c>
      <c r="AH28" s="258">
        <f t="shared" si="4"/>
        <v>0</v>
      </c>
      <c r="AI28" s="256">
        <f t="shared" si="2"/>
        <v>0</v>
      </c>
      <c r="AJ28" s="198" t="s">
        <v>55</v>
      </c>
    </row>
    <row r="29" spans="1:36" ht="35.1" customHeight="1" x14ac:dyDescent="0.3">
      <c r="A29" s="244">
        <f>COUNT($A$3:$A28)+1</f>
        <v>27</v>
      </c>
      <c r="B29" s="244" t="s">
        <v>498</v>
      </c>
      <c r="C29" s="178" t="s">
        <v>987</v>
      </c>
      <c r="D29" s="271"/>
      <c r="E29" s="263">
        <v>43305</v>
      </c>
      <c r="F29" s="198" t="s">
        <v>1165</v>
      </c>
      <c r="G29" s="198" t="s">
        <v>175</v>
      </c>
      <c r="H29" s="198" t="s">
        <v>726</v>
      </c>
      <c r="I29" s="251" t="s">
        <v>1162</v>
      </c>
      <c r="J29" s="178" t="s">
        <v>833</v>
      </c>
      <c r="K29" s="280" t="s">
        <v>984</v>
      </c>
      <c r="L29" s="249" t="s">
        <v>1186</v>
      </c>
      <c r="M29" s="178" t="s">
        <v>985</v>
      </c>
      <c r="N29" s="178" t="s">
        <v>986</v>
      </c>
      <c r="O29" s="252"/>
      <c r="P29" s="252"/>
      <c r="Q29" s="253"/>
      <c r="R29" s="254"/>
      <c r="S29" s="254"/>
      <c r="T29" s="254"/>
      <c r="U29" s="254"/>
      <c r="V29" s="262"/>
      <c r="W29" s="198"/>
      <c r="X29" s="256">
        <v>5</v>
      </c>
      <c r="Y29" s="256">
        <v>0</v>
      </c>
      <c r="Z29" s="198" t="s">
        <v>498</v>
      </c>
      <c r="AA29" s="256">
        <f t="shared" si="5"/>
        <v>0</v>
      </c>
      <c r="AB29" s="256"/>
      <c r="AC29" s="256">
        <v>0</v>
      </c>
      <c r="AD29" s="256">
        <f t="shared" si="3"/>
        <v>0</v>
      </c>
      <c r="AE29" s="257">
        <v>1</v>
      </c>
      <c r="AF29" s="256">
        <f t="shared" si="1"/>
        <v>0</v>
      </c>
      <c r="AG29" s="198" t="s">
        <v>189</v>
      </c>
      <c r="AH29" s="258">
        <f t="shared" si="4"/>
        <v>0</v>
      </c>
      <c r="AI29" s="256">
        <f t="shared" si="2"/>
        <v>0</v>
      </c>
      <c r="AJ29" s="198" t="s">
        <v>55</v>
      </c>
    </row>
    <row r="30" spans="1:36" ht="35.1" customHeight="1" x14ac:dyDescent="0.3">
      <c r="A30" s="244">
        <f>COUNT($A$3:$A29)+1</f>
        <v>28</v>
      </c>
      <c r="B30" s="244" t="s">
        <v>498</v>
      </c>
      <c r="C30" s="178" t="s">
        <v>839</v>
      </c>
      <c r="D30" s="263">
        <v>43277</v>
      </c>
      <c r="E30" s="271"/>
      <c r="F30" s="198" t="s">
        <v>1165</v>
      </c>
      <c r="G30" s="198" t="s">
        <v>175</v>
      </c>
      <c r="H30" s="198" t="s">
        <v>726</v>
      </c>
      <c r="I30" s="251" t="s">
        <v>1162</v>
      </c>
      <c r="J30" s="178" t="s">
        <v>833</v>
      </c>
      <c r="K30" s="280" t="s">
        <v>988</v>
      </c>
      <c r="L30" s="249" t="s">
        <v>1186</v>
      </c>
      <c r="M30" s="178" t="s">
        <v>989</v>
      </c>
      <c r="N30" s="178"/>
      <c r="O30" s="252"/>
      <c r="P30" s="252"/>
      <c r="Q30" s="253"/>
      <c r="R30" s="254"/>
      <c r="S30" s="254"/>
      <c r="T30" s="254"/>
      <c r="U30" s="254"/>
      <c r="V30" s="262"/>
      <c r="W30" s="198"/>
      <c r="X30" s="256">
        <v>5</v>
      </c>
      <c r="Y30" s="256">
        <v>0</v>
      </c>
      <c r="Z30" s="198" t="s">
        <v>498</v>
      </c>
      <c r="AA30" s="256">
        <f t="shared" si="5"/>
        <v>0</v>
      </c>
      <c r="AB30" s="256"/>
      <c r="AC30" s="256">
        <v>0</v>
      </c>
      <c r="AD30" s="256">
        <f t="shared" si="3"/>
        <v>0</v>
      </c>
      <c r="AE30" s="257">
        <v>1</v>
      </c>
      <c r="AF30" s="256">
        <f t="shared" si="1"/>
        <v>0</v>
      </c>
      <c r="AG30" s="198" t="s">
        <v>189</v>
      </c>
      <c r="AH30" s="258">
        <f t="shared" si="4"/>
        <v>0</v>
      </c>
      <c r="AI30" s="256">
        <f t="shared" si="2"/>
        <v>0</v>
      </c>
      <c r="AJ30" s="198" t="s">
        <v>55</v>
      </c>
    </row>
    <row r="31" spans="1:36" ht="35.1" customHeight="1" x14ac:dyDescent="0.3">
      <c r="A31" s="244">
        <f>COUNT($A$3:$A30)+1</f>
        <v>29</v>
      </c>
      <c r="B31" s="244" t="s">
        <v>498</v>
      </c>
      <c r="C31" s="178" t="s">
        <v>839</v>
      </c>
      <c r="D31" s="263">
        <v>43277</v>
      </c>
      <c r="E31" s="271"/>
      <c r="F31" s="198" t="s">
        <v>1165</v>
      </c>
      <c r="G31" s="198" t="s">
        <v>175</v>
      </c>
      <c r="H31" s="198" t="s">
        <v>92</v>
      </c>
      <c r="I31" s="251" t="s">
        <v>1162</v>
      </c>
      <c r="J31" s="178" t="s">
        <v>833</v>
      </c>
      <c r="K31" s="249" t="s">
        <v>990</v>
      </c>
      <c r="L31" s="249" t="s">
        <v>991</v>
      </c>
      <c r="M31" s="178" t="s">
        <v>1141</v>
      </c>
      <c r="N31" s="178"/>
      <c r="O31" s="252"/>
      <c r="P31" s="252"/>
      <c r="Q31" s="253"/>
      <c r="R31" s="254"/>
      <c r="S31" s="254"/>
      <c r="T31" s="254"/>
      <c r="U31" s="254"/>
      <c r="V31" s="262"/>
      <c r="W31" s="198" t="s">
        <v>281</v>
      </c>
      <c r="X31" s="256">
        <v>5</v>
      </c>
      <c r="Y31" s="256">
        <v>0</v>
      </c>
      <c r="Z31" s="198" t="s">
        <v>498</v>
      </c>
      <c r="AA31" s="256">
        <f t="shared" si="5"/>
        <v>0</v>
      </c>
      <c r="AB31" s="256"/>
      <c r="AC31" s="256">
        <v>0</v>
      </c>
      <c r="AD31" s="256">
        <f t="shared" si="3"/>
        <v>0</v>
      </c>
      <c r="AE31" s="257">
        <v>1</v>
      </c>
      <c r="AF31" s="256">
        <f t="shared" si="1"/>
        <v>0</v>
      </c>
      <c r="AG31" s="198" t="s">
        <v>189</v>
      </c>
      <c r="AH31" s="258">
        <f t="shared" si="4"/>
        <v>0</v>
      </c>
      <c r="AI31" s="256">
        <f t="shared" si="2"/>
        <v>0</v>
      </c>
      <c r="AJ31" s="198" t="s">
        <v>55</v>
      </c>
    </row>
    <row r="32" spans="1:36" ht="35.1" customHeight="1" x14ac:dyDescent="0.3">
      <c r="A32" s="244">
        <f>COUNT($A$3:$A31)+1</f>
        <v>30</v>
      </c>
      <c r="B32" s="244" t="s">
        <v>498</v>
      </c>
      <c r="C32" s="178" t="s">
        <v>839</v>
      </c>
      <c r="D32" s="271"/>
      <c r="E32" s="263">
        <v>43277</v>
      </c>
      <c r="F32" s="198" t="s">
        <v>1165</v>
      </c>
      <c r="G32" s="198" t="s">
        <v>175</v>
      </c>
      <c r="H32" s="198" t="s">
        <v>92</v>
      </c>
      <c r="I32" s="251" t="s">
        <v>1162</v>
      </c>
      <c r="J32" s="178" t="s">
        <v>833</v>
      </c>
      <c r="K32" s="249" t="s">
        <v>992</v>
      </c>
      <c r="L32" s="249" t="s">
        <v>993</v>
      </c>
      <c r="M32" s="178" t="s">
        <v>1142</v>
      </c>
      <c r="N32" s="178" t="s">
        <v>994</v>
      </c>
      <c r="O32" s="252"/>
      <c r="P32" s="252"/>
      <c r="Q32" s="253"/>
      <c r="R32" s="254"/>
      <c r="S32" s="254"/>
      <c r="T32" s="254"/>
      <c r="U32" s="254"/>
      <c r="V32" s="262"/>
      <c r="W32" s="198" t="s">
        <v>281</v>
      </c>
      <c r="X32" s="256">
        <v>5</v>
      </c>
      <c r="Y32" s="256">
        <v>0</v>
      </c>
      <c r="Z32" s="198" t="s">
        <v>498</v>
      </c>
      <c r="AA32" s="256">
        <f t="shared" si="5"/>
        <v>0</v>
      </c>
      <c r="AB32" s="256"/>
      <c r="AC32" s="256">
        <v>0</v>
      </c>
      <c r="AD32" s="256">
        <f t="shared" si="3"/>
        <v>0</v>
      </c>
      <c r="AE32" s="257">
        <v>1</v>
      </c>
      <c r="AF32" s="256">
        <f t="shared" si="1"/>
        <v>0</v>
      </c>
      <c r="AG32" s="198" t="s">
        <v>189</v>
      </c>
      <c r="AH32" s="258">
        <f t="shared" si="4"/>
        <v>0</v>
      </c>
      <c r="AI32" s="256">
        <f t="shared" si="2"/>
        <v>0</v>
      </c>
      <c r="AJ32" s="198" t="s">
        <v>55</v>
      </c>
    </row>
    <row r="33" spans="1:36" ht="35.1" customHeight="1" x14ac:dyDescent="0.3">
      <c r="A33" s="244">
        <f>COUNT($A$3:$A32)+1</f>
        <v>31</v>
      </c>
      <c r="B33" s="244" t="s">
        <v>498</v>
      </c>
      <c r="C33" s="178" t="s">
        <v>839</v>
      </c>
      <c r="D33" s="263">
        <v>43277</v>
      </c>
      <c r="E33" s="271"/>
      <c r="F33" s="198" t="s">
        <v>1165</v>
      </c>
      <c r="G33" s="198" t="s">
        <v>175</v>
      </c>
      <c r="H33" s="198" t="s">
        <v>92</v>
      </c>
      <c r="I33" s="251" t="s">
        <v>1162</v>
      </c>
      <c r="J33" s="178" t="s">
        <v>833</v>
      </c>
      <c r="K33" s="249" t="s">
        <v>995</v>
      </c>
      <c r="L33" s="249" t="s">
        <v>996</v>
      </c>
      <c r="M33" s="178" t="s">
        <v>1143</v>
      </c>
      <c r="N33" s="178"/>
      <c r="O33" s="252"/>
      <c r="P33" s="252"/>
      <c r="Q33" s="253"/>
      <c r="R33" s="254"/>
      <c r="S33" s="254"/>
      <c r="T33" s="254"/>
      <c r="U33" s="254"/>
      <c r="V33" s="262"/>
      <c r="W33" s="198" t="s">
        <v>281</v>
      </c>
      <c r="X33" s="256">
        <v>5</v>
      </c>
      <c r="Y33" s="256">
        <v>0</v>
      </c>
      <c r="Z33" s="198" t="s">
        <v>498</v>
      </c>
      <c r="AA33" s="256">
        <f t="shared" si="5"/>
        <v>0</v>
      </c>
      <c r="AB33" s="256"/>
      <c r="AC33" s="256">
        <v>0</v>
      </c>
      <c r="AD33" s="256">
        <f t="shared" si="3"/>
        <v>0</v>
      </c>
      <c r="AE33" s="257">
        <v>1</v>
      </c>
      <c r="AF33" s="256">
        <f t="shared" si="1"/>
        <v>0</v>
      </c>
      <c r="AG33" s="198" t="s">
        <v>189</v>
      </c>
      <c r="AH33" s="258">
        <f t="shared" si="4"/>
        <v>0</v>
      </c>
      <c r="AI33" s="256">
        <f t="shared" si="2"/>
        <v>0</v>
      </c>
      <c r="AJ33" s="198" t="s">
        <v>55</v>
      </c>
    </row>
    <row r="34" spans="1:36" ht="35.1" customHeight="1" x14ac:dyDescent="0.3">
      <c r="A34" s="244">
        <f>COUNT($A$3:$A33)+1</f>
        <v>32</v>
      </c>
      <c r="B34" s="244" t="s">
        <v>498</v>
      </c>
      <c r="C34" s="178" t="s">
        <v>839</v>
      </c>
      <c r="D34" s="271"/>
      <c r="E34" s="263">
        <v>43277</v>
      </c>
      <c r="F34" s="198" t="s">
        <v>1165</v>
      </c>
      <c r="G34" s="198" t="s">
        <v>175</v>
      </c>
      <c r="H34" s="198" t="s">
        <v>92</v>
      </c>
      <c r="I34" s="251" t="s">
        <v>1162</v>
      </c>
      <c r="J34" s="178" t="s">
        <v>833</v>
      </c>
      <c r="K34" s="249" t="s">
        <v>997</v>
      </c>
      <c r="L34" s="249" t="s">
        <v>998</v>
      </c>
      <c r="M34" s="178" t="s">
        <v>1144</v>
      </c>
      <c r="N34" s="178"/>
      <c r="O34" s="252"/>
      <c r="P34" s="252"/>
      <c r="Q34" s="253"/>
      <c r="R34" s="254"/>
      <c r="S34" s="254"/>
      <c r="T34" s="254"/>
      <c r="U34" s="254"/>
      <c r="V34" s="262"/>
      <c r="W34" s="198" t="s">
        <v>281</v>
      </c>
      <c r="X34" s="256">
        <v>5</v>
      </c>
      <c r="Y34" s="256">
        <v>0</v>
      </c>
      <c r="Z34" s="198" t="s">
        <v>498</v>
      </c>
      <c r="AA34" s="256">
        <f t="shared" si="5"/>
        <v>0</v>
      </c>
      <c r="AB34" s="256"/>
      <c r="AC34" s="256">
        <v>0</v>
      </c>
      <c r="AD34" s="256">
        <f t="shared" si="3"/>
        <v>0</v>
      </c>
      <c r="AE34" s="257">
        <v>1</v>
      </c>
      <c r="AF34" s="256">
        <f t="shared" si="1"/>
        <v>0</v>
      </c>
      <c r="AG34" s="198" t="s">
        <v>189</v>
      </c>
      <c r="AH34" s="258">
        <f t="shared" si="4"/>
        <v>0</v>
      </c>
      <c r="AI34" s="256">
        <f t="shared" si="2"/>
        <v>0</v>
      </c>
      <c r="AJ34" s="198" t="s">
        <v>55</v>
      </c>
    </row>
    <row r="35" spans="1:36" ht="35.1" customHeight="1" x14ac:dyDescent="0.3">
      <c r="A35" s="244">
        <f>COUNT($A$3:$A34)+1</f>
        <v>33</v>
      </c>
      <c r="B35" s="244" t="s">
        <v>498</v>
      </c>
      <c r="C35" s="178" t="s">
        <v>839</v>
      </c>
      <c r="D35" s="263">
        <v>43277</v>
      </c>
      <c r="E35" s="271"/>
      <c r="F35" s="198" t="s">
        <v>1165</v>
      </c>
      <c r="G35" s="198" t="s">
        <v>175</v>
      </c>
      <c r="H35" s="198" t="s">
        <v>92</v>
      </c>
      <c r="I35" s="251" t="s">
        <v>1162</v>
      </c>
      <c r="J35" s="178" t="s">
        <v>833</v>
      </c>
      <c r="K35" s="249" t="s">
        <v>999</v>
      </c>
      <c r="L35" s="249" t="s">
        <v>1000</v>
      </c>
      <c r="M35" s="178" t="s">
        <v>1145</v>
      </c>
      <c r="N35" s="178"/>
      <c r="O35" s="252"/>
      <c r="P35" s="252"/>
      <c r="Q35" s="253"/>
      <c r="R35" s="254"/>
      <c r="S35" s="254"/>
      <c r="T35" s="254"/>
      <c r="U35" s="254"/>
      <c r="V35" s="262"/>
      <c r="W35" s="198" t="s">
        <v>281</v>
      </c>
      <c r="X35" s="256">
        <v>5</v>
      </c>
      <c r="Y35" s="256">
        <v>0</v>
      </c>
      <c r="Z35" s="198" t="s">
        <v>498</v>
      </c>
      <c r="AA35" s="256">
        <f t="shared" si="5"/>
        <v>0</v>
      </c>
      <c r="AB35" s="256"/>
      <c r="AC35" s="256">
        <v>0</v>
      </c>
      <c r="AD35" s="256">
        <f t="shared" si="3"/>
        <v>0</v>
      </c>
      <c r="AE35" s="257">
        <v>1</v>
      </c>
      <c r="AF35" s="256">
        <f t="shared" ref="AF35:AF66" si="6">AE35*AA35</f>
        <v>0</v>
      </c>
      <c r="AG35" s="198" t="s">
        <v>189</v>
      </c>
      <c r="AH35" s="258">
        <f t="shared" si="4"/>
        <v>0</v>
      </c>
      <c r="AI35" s="256">
        <f t="shared" ref="AI35:AI66" si="7">AH35*AA35</f>
        <v>0</v>
      </c>
      <c r="AJ35" s="198" t="s">
        <v>55</v>
      </c>
    </row>
    <row r="36" spans="1:36" ht="35.1" customHeight="1" x14ac:dyDescent="0.3">
      <c r="A36" s="244">
        <f>COUNT($A$3:$A35)+1</f>
        <v>34</v>
      </c>
      <c r="B36" s="244" t="s">
        <v>498</v>
      </c>
      <c r="C36" s="178" t="s">
        <v>839</v>
      </c>
      <c r="D36" s="263">
        <v>43277</v>
      </c>
      <c r="E36" s="271"/>
      <c r="F36" s="198" t="s">
        <v>1165</v>
      </c>
      <c r="G36" s="198" t="s">
        <v>175</v>
      </c>
      <c r="H36" s="198" t="s">
        <v>92</v>
      </c>
      <c r="I36" s="251" t="s">
        <v>1162</v>
      </c>
      <c r="J36" s="178" t="s">
        <v>833</v>
      </c>
      <c r="K36" s="249" t="s">
        <v>1001</v>
      </c>
      <c r="L36" s="249" t="s">
        <v>1002</v>
      </c>
      <c r="M36" s="178" t="s">
        <v>1146</v>
      </c>
      <c r="N36" s="178"/>
      <c r="O36" s="252"/>
      <c r="P36" s="252"/>
      <c r="Q36" s="253"/>
      <c r="R36" s="254"/>
      <c r="S36" s="254"/>
      <c r="T36" s="254"/>
      <c r="U36" s="254"/>
      <c r="V36" s="262"/>
      <c r="W36" s="198" t="s">
        <v>281</v>
      </c>
      <c r="X36" s="256">
        <v>5</v>
      </c>
      <c r="Y36" s="256">
        <v>0</v>
      </c>
      <c r="Z36" s="198" t="s">
        <v>498</v>
      </c>
      <c r="AA36" s="256">
        <f t="shared" si="5"/>
        <v>0</v>
      </c>
      <c r="AB36" s="256"/>
      <c r="AC36" s="256">
        <v>0</v>
      </c>
      <c r="AD36" s="256">
        <f t="shared" si="3"/>
        <v>0</v>
      </c>
      <c r="AE36" s="257">
        <v>1</v>
      </c>
      <c r="AF36" s="256">
        <f t="shared" si="6"/>
        <v>0</v>
      </c>
      <c r="AG36" s="198" t="s">
        <v>189</v>
      </c>
      <c r="AH36" s="258">
        <f t="shared" si="4"/>
        <v>0</v>
      </c>
      <c r="AI36" s="256">
        <f t="shared" si="7"/>
        <v>0</v>
      </c>
      <c r="AJ36" s="198" t="s">
        <v>55</v>
      </c>
    </row>
    <row r="37" spans="1:36" ht="35.1" customHeight="1" x14ac:dyDescent="0.3">
      <c r="A37" s="244">
        <f>COUNT($A$3:$A36)+1</f>
        <v>35</v>
      </c>
      <c r="B37" s="244" t="s">
        <v>498</v>
      </c>
      <c r="C37" s="178" t="s">
        <v>839</v>
      </c>
      <c r="D37" s="263">
        <v>43277</v>
      </c>
      <c r="E37" s="271"/>
      <c r="F37" s="198" t="s">
        <v>1165</v>
      </c>
      <c r="G37" s="198" t="s">
        <v>175</v>
      </c>
      <c r="H37" s="198" t="s">
        <v>92</v>
      </c>
      <c r="I37" s="251" t="s">
        <v>1162</v>
      </c>
      <c r="J37" s="178" t="s">
        <v>833</v>
      </c>
      <c r="K37" s="249" t="s">
        <v>1003</v>
      </c>
      <c r="L37" s="249" t="s">
        <v>1004</v>
      </c>
      <c r="M37" s="178" t="s">
        <v>1147</v>
      </c>
      <c r="N37" s="178"/>
      <c r="O37" s="252"/>
      <c r="P37" s="252"/>
      <c r="Q37" s="253"/>
      <c r="R37" s="254"/>
      <c r="S37" s="254"/>
      <c r="T37" s="254"/>
      <c r="U37" s="254"/>
      <c r="V37" s="262"/>
      <c r="W37" s="198" t="s">
        <v>281</v>
      </c>
      <c r="X37" s="256">
        <v>5</v>
      </c>
      <c r="Y37" s="256">
        <v>0</v>
      </c>
      <c r="Z37" s="198" t="s">
        <v>498</v>
      </c>
      <c r="AA37" s="256">
        <f t="shared" si="5"/>
        <v>0</v>
      </c>
      <c r="AB37" s="256"/>
      <c r="AC37" s="256">
        <v>0</v>
      </c>
      <c r="AD37" s="256">
        <f t="shared" si="3"/>
        <v>0</v>
      </c>
      <c r="AE37" s="257">
        <v>1</v>
      </c>
      <c r="AF37" s="256">
        <f t="shared" si="6"/>
        <v>0</v>
      </c>
      <c r="AG37" s="198" t="s">
        <v>189</v>
      </c>
      <c r="AH37" s="258">
        <f t="shared" si="4"/>
        <v>0</v>
      </c>
      <c r="AI37" s="256">
        <f t="shared" si="7"/>
        <v>0</v>
      </c>
      <c r="AJ37" s="198" t="s">
        <v>55</v>
      </c>
    </row>
    <row r="38" spans="1:36" ht="35.1" customHeight="1" x14ac:dyDescent="0.3">
      <c r="A38" s="244">
        <f>COUNT($A$3:$A37)+1</f>
        <v>36</v>
      </c>
      <c r="B38" s="244" t="s">
        <v>498</v>
      </c>
      <c r="C38" s="178" t="s">
        <v>839</v>
      </c>
      <c r="D38" s="263">
        <v>43305</v>
      </c>
      <c r="E38" s="271"/>
      <c r="F38" s="198" t="s">
        <v>1165</v>
      </c>
      <c r="G38" s="198" t="s">
        <v>175</v>
      </c>
      <c r="H38" s="198" t="s">
        <v>726</v>
      </c>
      <c r="I38" s="251" t="s">
        <v>1162</v>
      </c>
      <c r="J38" s="178" t="s">
        <v>833</v>
      </c>
      <c r="K38" s="280" t="s">
        <v>1005</v>
      </c>
      <c r="L38" s="249" t="s">
        <v>1187</v>
      </c>
      <c r="M38" s="178" t="s">
        <v>1006</v>
      </c>
      <c r="N38" s="178" t="s">
        <v>1007</v>
      </c>
      <c r="O38" s="252"/>
      <c r="P38" s="252"/>
      <c r="Q38" s="253"/>
      <c r="R38" s="254"/>
      <c r="S38" s="254"/>
      <c r="T38" s="254"/>
      <c r="U38" s="254"/>
      <c r="V38" s="262"/>
      <c r="W38" s="198"/>
      <c r="X38" s="256">
        <v>5</v>
      </c>
      <c r="Y38" s="256">
        <v>0</v>
      </c>
      <c r="Z38" s="198" t="s">
        <v>498</v>
      </c>
      <c r="AA38" s="256">
        <f t="shared" si="5"/>
        <v>0</v>
      </c>
      <c r="AB38" s="256"/>
      <c r="AC38" s="256">
        <v>0</v>
      </c>
      <c r="AD38" s="256">
        <f t="shared" si="3"/>
        <v>0</v>
      </c>
      <c r="AE38" s="257">
        <v>1</v>
      </c>
      <c r="AF38" s="256">
        <f t="shared" si="6"/>
        <v>0</v>
      </c>
      <c r="AG38" s="198" t="s">
        <v>189</v>
      </c>
      <c r="AH38" s="258">
        <f t="shared" si="4"/>
        <v>0</v>
      </c>
      <c r="AI38" s="256">
        <f t="shared" si="7"/>
        <v>0</v>
      </c>
      <c r="AJ38" s="198" t="s">
        <v>55</v>
      </c>
    </row>
    <row r="39" spans="1:36" ht="35.1" customHeight="1" x14ac:dyDescent="0.3">
      <c r="A39" s="244">
        <f>COUNT($A$3:$A38)+1</f>
        <v>37</v>
      </c>
      <c r="B39" s="244" t="s">
        <v>498</v>
      </c>
      <c r="C39" s="178" t="s">
        <v>1010</v>
      </c>
      <c r="D39" s="271"/>
      <c r="E39" s="263">
        <v>43277</v>
      </c>
      <c r="F39" s="198" t="s">
        <v>1165</v>
      </c>
      <c r="G39" s="198" t="s">
        <v>175</v>
      </c>
      <c r="H39" s="198" t="s">
        <v>92</v>
      </c>
      <c r="I39" s="251" t="s">
        <v>1162</v>
      </c>
      <c r="J39" s="178" t="s">
        <v>833</v>
      </c>
      <c r="K39" s="249" t="s">
        <v>1008</v>
      </c>
      <c r="L39" s="251" t="s">
        <v>1162</v>
      </c>
      <c r="M39" s="178" t="s">
        <v>1009</v>
      </c>
      <c r="N39" s="178"/>
      <c r="O39" s="252"/>
      <c r="P39" s="252"/>
      <c r="Q39" s="253"/>
      <c r="R39" s="254"/>
      <c r="S39" s="254"/>
      <c r="T39" s="254"/>
      <c r="U39" s="254"/>
      <c r="V39" s="262"/>
      <c r="W39" s="198"/>
      <c r="X39" s="256">
        <v>5</v>
      </c>
      <c r="Y39" s="256">
        <v>0</v>
      </c>
      <c r="Z39" s="198" t="s">
        <v>498</v>
      </c>
      <c r="AA39" s="256">
        <f t="shared" si="5"/>
        <v>0</v>
      </c>
      <c r="AB39" s="256"/>
      <c r="AC39" s="256">
        <v>0</v>
      </c>
      <c r="AD39" s="256">
        <f t="shared" si="3"/>
        <v>0</v>
      </c>
      <c r="AE39" s="257">
        <v>1</v>
      </c>
      <c r="AF39" s="256">
        <f t="shared" si="6"/>
        <v>0</v>
      </c>
      <c r="AG39" s="198" t="s">
        <v>189</v>
      </c>
      <c r="AH39" s="258">
        <f t="shared" si="4"/>
        <v>0</v>
      </c>
      <c r="AI39" s="256">
        <f t="shared" si="7"/>
        <v>0</v>
      </c>
      <c r="AJ39" s="198" t="s">
        <v>55</v>
      </c>
    </row>
    <row r="40" spans="1:36" ht="35.1" customHeight="1" x14ac:dyDescent="0.3">
      <c r="A40" s="244">
        <f>COUNT($A$3:$A39)+1</f>
        <v>38</v>
      </c>
      <c r="B40" s="244" t="s">
        <v>498</v>
      </c>
      <c r="C40" s="178" t="s">
        <v>931</v>
      </c>
      <c r="D40" s="271"/>
      <c r="E40" s="263">
        <v>44005</v>
      </c>
      <c r="F40" s="198" t="s">
        <v>1165</v>
      </c>
      <c r="G40" s="198" t="s">
        <v>175</v>
      </c>
      <c r="H40" s="198" t="s">
        <v>92</v>
      </c>
      <c r="I40" s="251" t="s">
        <v>1162</v>
      </c>
      <c r="J40" s="178" t="s">
        <v>833</v>
      </c>
      <c r="K40" s="249" t="s">
        <v>1011</v>
      </c>
      <c r="L40" s="249" t="s">
        <v>1188</v>
      </c>
      <c r="M40" s="178" t="s">
        <v>1012</v>
      </c>
      <c r="N40" s="178"/>
      <c r="O40" s="252"/>
      <c r="P40" s="252"/>
      <c r="Q40" s="253"/>
      <c r="R40" s="254"/>
      <c r="S40" s="254"/>
      <c r="T40" s="254"/>
      <c r="U40" s="254"/>
      <c r="V40" s="262"/>
      <c r="W40" s="198"/>
      <c r="X40" s="256">
        <v>5</v>
      </c>
      <c r="Y40" s="256">
        <v>0</v>
      </c>
      <c r="Z40" s="198" t="s">
        <v>498</v>
      </c>
      <c r="AA40" s="256">
        <f t="shared" si="5"/>
        <v>0</v>
      </c>
      <c r="AB40" s="256"/>
      <c r="AC40" s="256">
        <v>0</v>
      </c>
      <c r="AD40" s="256">
        <f t="shared" si="3"/>
        <v>0</v>
      </c>
      <c r="AE40" s="257">
        <v>1</v>
      </c>
      <c r="AF40" s="256">
        <f t="shared" si="6"/>
        <v>0</v>
      </c>
      <c r="AG40" s="198" t="s">
        <v>189</v>
      </c>
      <c r="AH40" s="258">
        <f t="shared" si="4"/>
        <v>0</v>
      </c>
      <c r="AI40" s="256">
        <f t="shared" si="7"/>
        <v>0</v>
      </c>
      <c r="AJ40" s="198" t="s">
        <v>55</v>
      </c>
    </row>
    <row r="41" spans="1:36" ht="35.1" customHeight="1" x14ac:dyDescent="0.3">
      <c r="A41" s="244">
        <f>COUNT($A$3:$A40)+1</f>
        <v>39</v>
      </c>
      <c r="B41" s="244" t="s">
        <v>498</v>
      </c>
      <c r="C41" s="178" t="s">
        <v>931</v>
      </c>
      <c r="D41" s="271"/>
      <c r="E41" s="263">
        <v>44005</v>
      </c>
      <c r="F41" s="198" t="s">
        <v>1165</v>
      </c>
      <c r="G41" s="198" t="s">
        <v>175</v>
      </c>
      <c r="H41" s="198" t="s">
        <v>92</v>
      </c>
      <c r="I41" s="251" t="s">
        <v>1162</v>
      </c>
      <c r="J41" s="178" t="s">
        <v>833</v>
      </c>
      <c r="K41" s="280" t="s">
        <v>1013</v>
      </c>
      <c r="L41" s="249" t="s">
        <v>981</v>
      </c>
      <c r="M41" s="178" t="s">
        <v>1012</v>
      </c>
      <c r="N41" s="178"/>
      <c r="O41" s="252"/>
      <c r="P41" s="252"/>
      <c r="Q41" s="253"/>
      <c r="R41" s="254"/>
      <c r="S41" s="254"/>
      <c r="T41" s="254"/>
      <c r="U41" s="254"/>
      <c r="V41" s="262"/>
      <c r="W41" s="198"/>
      <c r="X41" s="256">
        <v>5</v>
      </c>
      <c r="Y41" s="256">
        <v>0</v>
      </c>
      <c r="Z41" s="198" t="s">
        <v>498</v>
      </c>
      <c r="AA41" s="256">
        <f t="shared" si="5"/>
        <v>0</v>
      </c>
      <c r="AB41" s="256"/>
      <c r="AC41" s="256">
        <v>0</v>
      </c>
      <c r="AD41" s="256">
        <f t="shared" si="3"/>
        <v>0</v>
      </c>
      <c r="AE41" s="257">
        <v>1</v>
      </c>
      <c r="AF41" s="256">
        <f t="shared" si="6"/>
        <v>0</v>
      </c>
      <c r="AG41" s="198" t="s">
        <v>189</v>
      </c>
      <c r="AH41" s="258">
        <f t="shared" si="4"/>
        <v>0</v>
      </c>
      <c r="AI41" s="256">
        <f t="shared" si="7"/>
        <v>0</v>
      </c>
      <c r="AJ41" s="198" t="s">
        <v>55</v>
      </c>
    </row>
    <row r="42" spans="1:36" ht="35.1" customHeight="1" x14ac:dyDescent="0.3">
      <c r="A42" s="244">
        <f>COUNT($A$3:$A41)+1</f>
        <v>40</v>
      </c>
      <c r="B42" s="244" t="s">
        <v>498</v>
      </c>
      <c r="C42" s="178" t="s">
        <v>931</v>
      </c>
      <c r="D42" s="271"/>
      <c r="E42" s="263">
        <v>44005</v>
      </c>
      <c r="F42" s="198" t="s">
        <v>1165</v>
      </c>
      <c r="G42" s="198" t="s">
        <v>175</v>
      </c>
      <c r="H42" s="198" t="s">
        <v>92</v>
      </c>
      <c r="I42" s="251" t="s">
        <v>1162</v>
      </c>
      <c r="J42" s="178" t="s">
        <v>833</v>
      </c>
      <c r="K42" s="249" t="s">
        <v>1014</v>
      </c>
      <c r="L42" s="249" t="s">
        <v>1015</v>
      </c>
      <c r="M42" s="178" t="s">
        <v>1016</v>
      </c>
      <c r="N42" s="178"/>
      <c r="O42" s="252"/>
      <c r="P42" s="252"/>
      <c r="Q42" s="253"/>
      <c r="R42" s="254"/>
      <c r="S42" s="254"/>
      <c r="T42" s="254"/>
      <c r="U42" s="254"/>
      <c r="V42" s="262"/>
      <c r="W42" s="198"/>
      <c r="X42" s="256">
        <v>5</v>
      </c>
      <c r="Y42" s="256">
        <v>0</v>
      </c>
      <c r="Z42" s="198" t="s">
        <v>498</v>
      </c>
      <c r="AA42" s="256">
        <f t="shared" si="5"/>
        <v>0</v>
      </c>
      <c r="AB42" s="256"/>
      <c r="AC42" s="256">
        <v>0</v>
      </c>
      <c r="AD42" s="256">
        <f t="shared" si="3"/>
        <v>0</v>
      </c>
      <c r="AE42" s="257">
        <v>1</v>
      </c>
      <c r="AF42" s="256">
        <f t="shared" si="6"/>
        <v>0</v>
      </c>
      <c r="AG42" s="198" t="s">
        <v>189</v>
      </c>
      <c r="AH42" s="258">
        <f t="shared" si="4"/>
        <v>0</v>
      </c>
      <c r="AI42" s="256">
        <f t="shared" si="7"/>
        <v>0</v>
      </c>
      <c r="AJ42" s="198" t="s">
        <v>55</v>
      </c>
    </row>
    <row r="43" spans="1:36" ht="35.1" customHeight="1" x14ac:dyDescent="0.3">
      <c r="A43" s="244">
        <f>COUNT($A$3:$A42)+1</f>
        <v>41</v>
      </c>
      <c r="B43" s="244" t="s">
        <v>498</v>
      </c>
      <c r="C43" s="178" t="s">
        <v>931</v>
      </c>
      <c r="D43" s="263">
        <v>39609</v>
      </c>
      <c r="E43" s="271"/>
      <c r="F43" s="198" t="s">
        <v>1165</v>
      </c>
      <c r="G43" s="198" t="s">
        <v>175</v>
      </c>
      <c r="H43" s="198" t="s">
        <v>726</v>
      </c>
      <c r="I43" s="251" t="s">
        <v>1162</v>
      </c>
      <c r="J43" s="178" t="s">
        <v>833</v>
      </c>
      <c r="K43" s="249" t="s">
        <v>1017</v>
      </c>
      <c r="L43" s="251" t="s">
        <v>1162</v>
      </c>
      <c r="M43" s="178" t="s">
        <v>1018</v>
      </c>
      <c r="N43" s="178"/>
      <c r="O43" s="252"/>
      <c r="P43" s="252"/>
      <c r="Q43" s="253"/>
      <c r="R43" s="254"/>
      <c r="S43" s="254"/>
      <c r="T43" s="254"/>
      <c r="U43" s="254"/>
      <c r="V43" s="262"/>
      <c r="W43" s="198"/>
      <c r="X43" s="256">
        <v>5</v>
      </c>
      <c r="Y43" s="256">
        <v>0</v>
      </c>
      <c r="Z43" s="198" t="s">
        <v>498</v>
      </c>
      <c r="AA43" s="256">
        <f t="shared" si="5"/>
        <v>0</v>
      </c>
      <c r="AB43" s="256"/>
      <c r="AC43" s="256">
        <v>0</v>
      </c>
      <c r="AD43" s="256">
        <f t="shared" si="3"/>
        <v>0</v>
      </c>
      <c r="AE43" s="257">
        <v>1</v>
      </c>
      <c r="AF43" s="256">
        <f t="shared" si="6"/>
        <v>0</v>
      </c>
      <c r="AG43" s="198" t="s">
        <v>189</v>
      </c>
      <c r="AH43" s="258">
        <f t="shared" si="4"/>
        <v>0</v>
      </c>
      <c r="AI43" s="256">
        <f t="shared" si="7"/>
        <v>0</v>
      </c>
      <c r="AJ43" s="198" t="s">
        <v>55</v>
      </c>
    </row>
    <row r="44" spans="1:36" ht="35.1" customHeight="1" x14ac:dyDescent="0.3">
      <c r="A44" s="244">
        <f>COUNT($A$3:$A43)+1</f>
        <v>42</v>
      </c>
      <c r="B44" s="244" t="s">
        <v>498</v>
      </c>
      <c r="C44" s="178" t="s">
        <v>931</v>
      </c>
      <c r="D44" s="271"/>
      <c r="E44" s="263">
        <v>43277</v>
      </c>
      <c r="F44" s="198" t="s">
        <v>1165</v>
      </c>
      <c r="G44" s="198" t="s">
        <v>175</v>
      </c>
      <c r="H44" s="198" t="s">
        <v>1184</v>
      </c>
      <c r="I44" s="251" t="s">
        <v>1162</v>
      </c>
      <c r="J44" s="178" t="s">
        <v>833</v>
      </c>
      <c r="K44" s="249" t="s">
        <v>1019</v>
      </c>
      <c r="L44" s="251" t="s">
        <v>1162</v>
      </c>
      <c r="M44" s="178" t="s">
        <v>1020</v>
      </c>
      <c r="N44" s="178"/>
      <c r="O44" s="252"/>
      <c r="P44" s="252"/>
      <c r="Q44" s="253"/>
      <c r="R44" s="254"/>
      <c r="S44" s="254"/>
      <c r="T44" s="254"/>
      <c r="U44" s="254"/>
      <c r="V44" s="262"/>
      <c r="W44" s="198"/>
      <c r="X44" s="256">
        <v>5</v>
      </c>
      <c r="Y44" s="256">
        <v>0</v>
      </c>
      <c r="Z44" s="198" t="s">
        <v>498</v>
      </c>
      <c r="AA44" s="256">
        <f t="shared" si="5"/>
        <v>0</v>
      </c>
      <c r="AB44" s="256"/>
      <c r="AC44" s="256">
        <v>0</v>
      </c>
      <c r="AD44" s="256">
        <f t="shared" si="3"/>
        <v>0</v>
      </c>
      <c r="AE44" s="257">
        <v>1</v>
      </c>
      <c r="AF44" s="256">
        <f t="shared" si="6"/>
        <v>0</v>
      </c>
      <c r="AG44" s="198" t="s">
        <v>189</v>
      </c>
      <c r="AH44" s="258">
        <f t="shared" si="4"/>
        <v>0</v>
      </c>
      <c r="AI44" s="256">
        <f t="shared" si="7"/>
        <v>0</v>
      </c>
      <c r="AJ44" s="198" t="s">
        <v>55</v>
      </c>
    </row>
    <row r="45" spans="1:36" ht="35.1" customHeight="1" x14ac:dyDescent="0.3">
      <c r="A45" s="244">
        <f>COUNT($A$3:$A44)+1</f>
        <v>43</v>
      </c>
      <c r="B45" s="244" t="s">
        <v>498</v>
      </c>
      <c r="C45" s="178" t="s">
        <v>931</v>
      </c>
      <c r="D45" s="271"/>
      <c r="E45" s="263">
        <v>44005</v>
      </c>
      <c r="F45" s="198" t="s">
        <v>1165</v>
      </c>
      <c r="G45" s="198" t="s">
        <v>175</v>
      </c>
      <c r="H45" s="198" t="s">
        <v>92</v>
      </c>
      <c r="I45" s="251" t="s">
        <v>1162</v>
      </c>
      <c r="J45" s="178" t="s">
        <v>833</v>
      </c>
      <c r="K45" s="249" t="s">
        <v>27</v>
      </c>
      <c r="L45" s="251" t="s">
        <v>1162</v>
      </c>
      <c r="M45" s="178" t="s">
        <v>1021</v>
      </c>
      <c r="N45" s="178"/>
      <c r="O45" s="252"/>
      <c r="P45" s="252"/>
      <c r="Q45" s="253"/>
      <c r="R45" s="254"/>
      <c r="S45" s="254"/>
      <c r="T45" s="254"/>
      <c r="U45" s="254"/>
      <c r="V45" s="262"/>
      <c r="W45" s="198"/>
      <c r="X45" s="256">
        <v>5</v>
      </c>
      <c r="Y45" s="256">
        <v>0</v>
      </c>
      <c r="Z45" s="198" t="s">
        <v>498</v>
      </c>
      <c r="AA45" s="256">
        <f t="shared" si="5"/>
        <v>0</v>
      </c>
      <c r="AB45" s="256"/>
      <c r="AC45" s="256">
        <v>0</v>
      </c>
      <c r="AD45" s="256">
        <f t="shared" si="3"/>
        <v>0</v>
      </c>
      <c r="AE45" s="257">
        <v>1</v>
      </c>
      <c r="AF45" s="256">
        <f t="shared" si="6"/>
        <v>0</v>
      </c>
      <c r="AG45" s="198" t="s">
        <v>189</v>
      </c>
      <c r="AH45" s="258">
        <f t="shared" si="4"/>
        <v>0</v>
      </c>
      <c r="AI45" s="256">
        <f t="shared" si="7"/>
        <v>0</v>
      </c>
      <c r="AJ45" s="198" t="s">
        <v>55</v>
      </c>
    </row>
    <row r="46" spans="1:36" ht="35.1" customHeight="1" x14ac:dyDescent="0.3">
      <c r="A46" s="244">
        <f>COUNT($A$3:$A45)+1</f>
        <v>44</v>
      </c>
      <c r="B46" s="244" t="s">
        <v>498</v>
      </c>
      <c r="C46" s="178" t="s">
        <v>839</v>
      </c>
      <c r="D46" s="263">
        <v>43277</v>
      </c>
      <c r="E46" s="271"/>
      <c r="F46" s="198" t="s">
        <v>1165</v>
      </c>
      <c r="G46" s="198" t="s">
        <v>175</v>
      </c>
      <c r="H46" s="198" t="s">
        <v>1184</v>
      </c>
      <c r="I46" s="251" t="s">
        <v>1162</v>
      </c>
      <c r="J46" s="178" t="s">
        <v>833</v>
      </c>
      <c r="K46" s="249" t="s">
        <v>1022</v>
      </c>
      <c r="L46" s="251" t="s">
        <v>1162</v>
      </c>
      <c r="M46" s="178" t="s">
        <v>1023</v>
      </c>
      <c r="N46" s="178"/>
      <c r="O46" s="252"/>
      <c r="P46" s="252"/>
      <c r="Q46" s="253"/>
      <c r="R46" s="254"/>
      <c r="S46" s="254"/>
      <c r="T46" s="254"/>
      <c r="U46" s="254"/>
      <c r="V46" s="262"/>
      <c r="W46" s="198"/>
      <c r="X46" s="256">
        <v>5</v>
      </c>
      <c r="Y46" s="256">
        <v>0</v>
      </c>
      <c r="Z46" s="198" t="s">
        <v>498</v>
      </c>
      <c r="AA46" s="256">
        <f t="shared" si="5"/>
        <v>0</v>
      </c>
      <c r="AB46" s="256"/>
      <c r="AC46" s="256">
        <v>0</v>
      </c>
      <c r="AD46" s="256">
        <f t="shared" si="3"/>
        <v>0</v>
      </c>
      <c r="AE46" s="257">
        <v>1</v>
      </c>
      <c r="AF46" s="256">
        <f t="shared" si="6"/>
        <v>0</v>
      </c>
      <c r="AG46" s="198" t="s">
        <v>189</v>
      </c>
      <c r="AH46" s="258">
        <f t="shared" si="4"/>
        <v>0</v>
      </c>
      <c r="AI46" s="256">
        <f t="shared" si="7"/>
        <v>0</v>
      </c>
      <c r="AJ46" s="198" t="s">
        <v>55</v>
      </c>
    </row>
    <row r="47" spans="1:36" ht="35.1" customHeight="1" x14ac:dyDescent="0.3">
      <c r="A47" s="244">
        <f>COUNT($A$3:$A46)+1</f>
        <v>45</v>
      </c>
      <c r="B47" s="244" t="s">
        <v>498</v>
      </c>
      <c r="C47" s="178" t="s">
        <v>931</v>
      </c>
      <c r="D47" s="263">
        <v>39238</v>
      </c>
      <c r="E47" s="263">
        <v>40680</v>
      </c>
      <c r="F47" s="198" t="s">
        <v>1165</v>
      </c>
      <c r="G47" s="198" t="s">
        <v>175</v>
      </c>
      <c r="H47" s="198" t="s">
        <v>92</v>
      </c>
      <c r="I47" s="251" t="s">
        <v>1162</v>
      </c>
      <c r="J47" s="178" t="s">
        <v>833</v>
      </c>
      <c r="K47" s="249" t="s">
        <v>1024</v>
      </c>
      <c r="L47" s="249" t="s">
        <v>1025</v>
      </c>
      <c r="M47" s="178" t="s">
        <v>1026</v>
      </c>
      <c r="N47" s="178"/>
      <c r="O47" s="252"/>
      <c r="P47" s="252"/>
      <c r="Q47" s="253"/>
      <c r="R47" s="254"/>
      <c r="S47" s="254"/>
      <c r="T47" s="254"/>
      <c r="U47" s="254"/>
      <c r="V47" s="262"/>
      <c r="W47" s="198"/>
      <c r="X47" s="256">
        <v>5</v>
      </c>
      <c r="Y47" s="256">
        <v>0</v>
      </c>
      <c r="Z47" s="198" t="s">
        <v>498</v>
      </c>
      <c r="AA47" s="256">
        <f t="shared" si="5"/>
        <v>0</v>
      </c>
      <c r="AB47" s="256"/>
      <c r="AC47" s="256">
        <v>0</v>
      </c>
      <c r="AD47" s="256">
        <f t="shared" si="3"/>
        <v>0</v>
      </c>
      <c r="AE47" s="257">
        <v>1</v>
      </c>
      <c r="AF47" s="256">
        <f t="shared" si="6"/>
        <v>0</v>
      </c>
      <c r="AG47" s="198" t="s">
        <v>189</v>
      </c>
      <c r="AH47" s="258">
        <f t="shared" si="4"/>
        <v>0</v>
      </c>
      <c r="AI47" s="256">
        <f t="shared" si="7"/>
        <v>0</v>
      </c>
      <c r="AJ47" s="198" t="s">
        <v>55</v>
      </c>
    </row>
    <row r="48" spans="1:36" ht="35.1" customHeight="1" x14ac:dyDescent="0.3">
      <c r="A48" s="244">
        <f>COUNT($A$3:$A47)+1</f>
        <v>46</v>
      </c>
      <c r="B48" s="244" t="s">
        <v>498</v>
      </c>
      <c r="C48" s="178" t="s">
        <v>1030</v>
      </c>
      <c r="D48" s="271"/>
      <c r="E48" s="263">
        <v>43277</v>
      </c>
      <c r="F48" s="198" t="s">
        <v>1165</v>
      </c>
      <c r="G48" s="198" t="s">
        <v>175</v>
      </c>
      <c r="H48" s="198" t="s">
        <v>92</v>
      </c>
      <c r="I48" s="251" t="s">
        <v>1162</v>
      </c>
      <c r="J48" s="178" t="s">
        <v>833</v>
      </c>
      <c r="K48" s="249" t="s">
        <v>1027</v>
      </c>
      <c r="L48" s="249" t="s">
        <v>1028</v>
      </c>
      <c r="M48" s="178" t="s">
        <v>1029</v>
      </c>
      <c r="N48" s="178"/>
      <c r="O48" s="252"/>
      <c r="P48" s="252"/>
      <c r="Q48" s="253"/>
      <c r="R48" s="254"/>
      <c r="S48" s="254"/>
      <c r="T48" s="254"/>
      <c r="U48" s="254"/>
      <c r="V48" s="262"/>
      <c r="W48" s="198"/>
      <c r="X48" s="256">
        <v>5</v>
      </c>
      <c r="Y48" s="256">
        <v>0</v>
      </c>
      <c r="Z48" s="198" t="s">
        <v>498</v>
      </c>
      <c r="AA48" s="256">
        <f t="shared" si="5"/>
        <v>0</v>
      </c>
      <c r="AB48" s="256"/>
      <c r="AC48" s="256">
        <v>0</v>
      </c>
      <c r="AD48" s="256">
        <f t="shared" si="3"/>
        <v>0</v>
      </c>
      <c r="AE48" s="257">
        <v>1</v>
      </c>
      <c r="AF48" s="256">
        <f t="shared" si="6"/>
        <v>0</v>
      </c>
      <c r="AG48" s="198" t="s">
        <v>189</v>
      </c>
      <c r="AH48" s="258">
        <f t="shared" si="4"/>
        <v>0</v>
      </c>
      <c r="AI48" s="256">
        <f t="shared" si="7"/>
        <v>0</v>
      </c>
      <c r="AJ48" s="198" t="s">
        <v>55</v>
      </c>
    </row>
    <row r="49" spans="1:36" ht="35.1" customHeight="1" x14ac:dyDescent="0.3">
      <c r="A49" s="244">
        <f>COUNT($A$3:$A48)+1</f>
        <v>47</v>
      </c>
      <c r="B49" s="244" t="s">
        <v>498</v>
      </c>
      <c r="C49" s="178" t="s">
        <v>931</v>
      </c>
      <c r="D49" s="271"/>
      <c r="E49" s="263">
        <v>43277</v>
      </c>
      <c r="F49" s="198" t="s">
        <v>1165</v>
      </c>
      <c r="G49" s="198" t="s">
        <v>175</v>
      </c>
      <c r="H49" s="198" t="s">
        <v>92</v>
      </c>
      <c r="I49" s="251" t="s">
        <v>1162</v>
      </c>
      <c r="J49" s="178" t="s">
        <v>833</v>
      </c>
      <c r="K49" s="280" t="s">
        <v>1031</v>
      </c>
      <c r="L49" s="249" t="s">
        <v>981</v>
      </c>
      <c r="M49" s="178" t="s">
        <v>942</v>
      </c>
      <c r="N49" s="178" t="s">
        <v>1032</v>
      </c>
      <c r="O49" s="252"/>
      <c r="P49" s="252"/>
      <c r="Q49" s="253"/>
      <c r="R49" s="254"/>
      <c r="S49" s="254"/>
      <c r="T49" s="254"/>
      <c r="U49" s="254"/>
      <c r="V49" s="262"/>
      <c r="W49" s="198"/>
      <c r="X49" s="256">
        <v>5</v>
      </c>
      <c r="Y49" s="256">
        <v>0</v>
      </c>
      <c r="Z49" s="198" t="s">
        <v>498</v>
      </c>
      <c r="AA49" s="256">
        <f t="shared" si="5"/>
        <v>0</v>
      </c>
      <c r="AB49" s="256"/>
      <c r="AC49" s="256">
        <v>0</v>
      </c>
      <c r="AD49" s="256">
        <f t="shared" si="3"/>
        <v>0</v>
      </c>
      <c r="AE49" s="257">
        <v>1</v>
      </c>
      <c r="AF49" s="256">
        <f t="shared" si="6"/>
        <v>0</v>
      </c>
      <c r="AG49" s="198" t="s">
        <v>189</v>
      </c>
      <c r="AH49" s="258">
        <f t="shared" si="4"/>
        <v>0</v>
      </c>
      <c r="AI49" s="256">
        <f t="shared" si="7"/>
        <v>0</v>
      </c>
      <c r="AJ49" s="198" t="s">
        <v>55</v>
      </c>
    </row>
    <row r="50" spans="1:36" ht="35.1" customHeight="1" x14ac:dyDescent="0.3">
      <c r="A50" s="244">
        <f>COUNT($A$3:$A49)+1</f>
        <v>48</v>
      </c>
      <c r="B50" s="244" t="s">
        <v>498</v>
      </c>
      <c r="C50" s="178" t="s">
        <v>931</v>
      </c>
      <c r="D50" s="271"/>
      <c r="E50" s="263">
        <v>44005</v>
      </c>
      <c r="F50" s="198" t="s">
        <v>1165</v>
      </c>
      <c r="G50" s="198" t="s">
        <v>175</v>
      </c>
      <c r="H50" s="198" t="s">
        <v>92</v>
      </c>
      <c r="I50" s="251" t="s">
        <v>1162</v>
      </c>
      <c r="J50" s="178" t="s">
        <v>833</v>
      </c>
      <c r="K50" s="280" t="s">
        <v>1033</v>
      </c>
      <c r="L50" s="249" t="s">
        <v>981</v>
      </c>
      <c r="M50" s="178" t="s">
        <v>942</v>
      </c>
      <c r="N50" s="178" t="s">
        <v>1032</v>
      </c>
      <c r="O50" s="252"/>
      <c r="P50" s="252"/>
      <c r="Q50" s="253"/>
      <c r="R50" s="254"/>
      <c r="S50" s="254"/>
      <c r="T50" s="254"/>
      <c r="U50" s="254"/>
      <c r="V50" s="262"/>
      <c r="W50" s="198"/>
      <c r="X50" s="256">
        <v>5</v>
      </c>
      <c r="Y50" s="256">
        <v>0</v>
      </c>
      <c r="Z50" s="198" t="s">
        <v>498</v>
      </c>
      <c r="AA50" s="256">
        <f t="shared" si="5"/>
        <v>0</v>
      </c>
      <c r="AB50" s="256"/>
      <c r="AC50" s="256">
        <v>0</v>
      </c>
      <c r="AD50" s="256">
        <f t="shared" si="3"/>
        <v>0</v>
      </c>
      <c r="AE50" s="257">
        <v>1</v>
      </c>
      <c r="AF50" s="256">
        <f t="shared" si="6"/>
        <v>0</v>
      </c>
      <c r="AG50" s="198" t="s">
        <v>189</v>
      </c>
      <c r="AH50" s="258">
        <f t="shared" si="4"/>
        <v>0</v>
      </c>
      <c r="AI50" s="256">
        <f t="shared" si="7"/>
        <v>0</v>
      </c>
      <c r="AJ50" s="198" t="s">
        <v>55</v>
      </c>
    </row>
    <row r="51" spans="1:36" ht="35.1" customHeight="1" x14ac:dyDescent="0.3">
      <c r="A51" s="244">
        <f>COUNT($A$3:$A50)+1</f>
        <v>49</v>
      </c>
      <c r="B51" s="244" t="s">
        <v>498</v>
      </c>
      <c r="C51" s="178" t="s">
        <v>931</v>
      </c>
      <c r="D51" s="271"/>
      <c r="E51" s="263">
        <v>43277</v>
      </c>
      <c r="F51" s="198" t="s">
        <v>1165</v>
      </c>
      <c r="G51" s="198" t="s">
        <v>175</v>
      </c>
      <c r="H51" s="198" t="s">
        <v>1184</v>
      </c>
      <c r="I51" s="251" t="s">
        <v>1162</v>
      </c>
      <c r="J51" s="178" t="s">
        <v>833</v>
      </c>
      <c r="K51" s="280" t="s">
        <v>1034</v>
      </c>
      <c r="L51" s="249" t="s">
        <v>981</v>
      </c>
      <c r="M51" s="178" t="s">
        <v>1035</v>
      </c>
      <c r="N51" s="178" t="s">
        <v>1036</v>
      </c>
      <c r="O51" s="252"/>
      <c r="P51" s="252"/>
      <c r="Q51" s="253"/>
      <c r="R51" s="254"/>
      <c r="S51" s="254"/>
      <c r="T51" s="254"/>
      <c r="U51" s="254"/>
      <c r="V51" s="262"/>
      <c r="W51" s="198"/>
      <c r="X51" s="256">
        <v>5</v>
      </c>
      <c r="Y51" s="256">
        <v>0</v>
      </c>
      <c r="Z51" s="198" t="s">
        <v>498</v>
      </c>
      <c r="AA51" s="256">
        <f t="shared" si="5"/>
        <v>0</v>
      </c>
      <c r="AB51" s="256"/>
      <c r="AC51" s="256">
        <v>0</v>
      </c>
      <c r="AD51" s="256">
        <f t="shared" si="3"/>
        <v>0</v>
      </c>
      <c r="AE51" s="257">
        <v>1</v>
      </c>
      <c r="AF51" s="256">
        <f t="shared" si="6"/>
        <v>0</v>
      </c>
      <c r="AG51" s="198" t="s">
        <v>189</v>
      </c>
      <c r="AH51" s="258">
        <f t="shared" si="4"/>
        <v>0</v>
      </c>
      <c r="AI51" s="256">
        <f t="shared" si="7"/>
        <v>0</v>
      </c>
      <c r="AJ51" s="198" t="s">
        <v>55</v>
      </c>
    </row>
    <row r="52" spans="1:36" ht="35.1" customHeight="1" x14ac:dyDescent="0.3">
      <c r="A52" s="244">
        <f>COUNT($A$3:$A51)+1</f>
        <v>50</v>
      </c>
      <c r="B52" s="244" t="s">
        <v>498</v>
      </c>
      <c r="C52" s="178" t="s">
        <v>1040</v>
      </c>
      <c r="D52" s="271"/>
      <c r="E52" s="263">
        <v>43277</v>
      </c>
      <c r="F52" s="198" t="s">
        <v>1165</v>
      </c>
      <c r="G52" s="198" t="s">
        <v>175</v>
      </c>
      <c r="H52" s="198" t="s">
        <v>1184</v>
      </c>
      <c r="I52" s="251" t="s">
        <v>1162</v>
      </c>
      <c r="J52" s="178" t="s">
        <v>833</v>
      </c>
      <c r="K52" s="249" t="s">
        <v>1037</v>
      </c>
      <c r="L52" s="249" t="s">
        <v>1038</v>
      </c>
      <c r="M52" s="178" t="s">
        <v>1039</v>
      </c>
      <c r="N52" s="178"/>
      <c r="O52" s="252"/>
      <c r="P52" s="252"/>
      <c r="Q52" s="253"/>
      <c r="R52" s="254"/>
      <c r="S52" s="254"/>
      <c r="T52" s="254"/>
      <c r="U52" s="254"/>
      <c r="V52" s="262"/>
      <c r="W52" s="198"/>
      <c r="X52" s="256">
        <v>5</v>
      </c>
      <c r="Y52" s="256">
        <v>0</v>
      </c>
      <c r="Z52" s="198" t="s">
        <v>498</v>
      </c>
      <c r="AA52" s="256">
        <f t="shared" si="5"/>
        <v>0</v>
      </c>
      <c r="AB52" s="256"/>
      <c r="AC52" s="256">
        <v>0</v>
      </c>
      <c r="AD52" s="256">
        <f t="shared" si="3"/>
        <v>0</v>
      </c>
      <c r="AE52" s="257">
        <v>1</v>
      </c>
      <c r="AF52" s="256">
        <f t="shared" si="6"/>
        <v>0</v>
      </c>
      <c r="AG52" s="198" t="s">
        <v>189</v>
      </c>
      <c r="AH52" s="258">
        <f t="shared" si="4"/>
        <v>0</v>
      </c>
      <c r="AI52" s="256">
        <f t="shared" si="7"/>
        <v>0</v>
      </c>
      <c r="AJ52" s="198" t="s">
        <v>55</v>
      </c>
    </row>
    <row r="53" spans="1:36" ht="35.1" customHeight="1" x14ac:dyDescent="0.3">
      <c r="A53" s="244">
        <f>COUNT($A$3:$A52)+1</f>
        <v>51</v>
      </c>
      <c r="B53" s="244" t="s">
        <v>498</v>
      </c>
      <c r="C53" s="178" t="s">
        <v>931</v>
      </c>
      <c r="D53" s="271"/>
      <c r="E53" s="263">
        <v>43277</v>
      </c>
      <c r="F53" s="198" t="s">
        <v>1165</v>
      </c>
      <c r="G53" s="198" t="s">
        <v>175</v>
      </c>
      <c r="H53" s="198" t="s">
        <v>1184</v>
      </c>
      <c r="I53" s="251" t="s">
        <v>1162</v>
      </c>
      <c r="J53" s="178" t="s">
        <v>833</v>
      </c>
      <c r="K53" s="280" t="s">
        <v>1041</v>
      </c>
      <c r="L53" s="249" t="s">
        <v>981</v>
      </c>
      <c r="M53" s="178" t="s">
        <v>1042</v>
      </c>
      <c r="N53" s="178" t="s">
        <v>1043</v>
      </c>
      <c r="O53" s="252"/>
      <c r="P53" s="252"/>
      <c r="Q53" s="253"/>
      <c r="R53" s="254"/>
      <c r="S53" s="254"/>
      <c r="T53" s="254"/>
      <c r="U53" s="254"/>
      <c r="V53" s="262"/>
      <c r="W53" s="198"/>
      <c r="X53" s="256">
        <v>5</v>
      </c>
      <c r="Y53" s="256">
        <v>0</v>
      </c>
      <c r="Z53" s="198" t="s">
        <v>498</v>
      </c>
      <c r="AA53" s="256">
        <f t="shared" si="5"/>
        <v>0</v>
      </c>
      <c r="AB53" s="256"/>
      <c r="AC53" s="256">
        <v>0</v>
      </c>
      <c r="AD53" s="256">
        <f t="shared" si="3"/>
        <v>0</v>
      </c>
      <c r="AE53" s="257">
        <v>1</v>
      </c>
      <c r="AF53" s="256">
        <f t="shared" si="6"/>
        <v>0</v>
      </c>
      <c r="AG53" s="198" t="s">
        <v>189</v>
      </c>
      <c r="AH53" s="258">
        <f t="shared" si="4"/>
        <v>0</v>
      </c>
      <c r="AI53" s="256">
        <f t="shared" si="7"/>
        <v>0</v>
      </c>
      <c r="AJ53" s="198" t="s">
        <v>55</v>
      </c>
    </row>
    <row r="54" spans="1:36" ht="35.1" customHeight="1" x14ac:dyDescent="0.3">
      <c r="A54" s="244">
        <f>COUNT($A$3:$A53)+1</f>
        <v>52</v>
      </c>
      <c r="B54" s="244" t="s">
        <v>498</v>
      </c>
      <c r="C54" s="178" t="s">
        <v>1030</v>
      </c>
      <c r="D54" s="271"/>
      <c r="E54" s="263">
        <v>43277</v>
      </c>
      <c r="F54" s="198" t="s">
        <v>1165</v>
      </c>
      <c r="G54" s="198" t="s">
        <v>175</v>
      </c>
      <c r="H54" s="198" t="s">
        <v>1184</v>
      </c>
      <c r="I54" s="251" t="s">
        <v>1162</v>
      </c>
      <c r="J54" s="178" t="s">
        <v>833</v>
      </c>
      <c r="K54" s="280" t="s">
        <v>1044</v>
      </c>
      <c r="L54" s="249" t="s">
        <v>981</v>
      </c>
      <c r="M54" s="178" t="s">
        <v>1045</v>
      </c>
      <c r="N54" s="178" t="s">
        <v>1043</v>
      </c>
      <c r="O54" s="252"/>
      <c r="P54" s="252"/>
      <c r="Q54" s="253"/>
      <c r="R54" s="254"/>
      <c r="S54" s="254"/>
      <c r="T54" s="254"/>
      <c r="U54" s="254"/>
      <c r="V54" s="262"/>
      <c r="W54" s="198"/>
      <c r="X54" s="256">
        <v>5</v>
      </c>
      <c r="Y54" s="256">
        <v>0</v>
      </c>
      <c r="Z54" s="198" t="s">
        <v>498</v>
      </c>
      <c r="AA54" s="256">
        <f t="shared" si="5"/>
        <v>0</v>
      </c>
      <c r="AB54" s="256"/>
      <c r="AC54" s="256">
        <v>0</v>
      </c>
      <c r="AD54" s="256">
        <f t="shared" si="3"/>
        <v>0</v>
      </c>
      <c r="AE54" s="257">
        <v>1</v>
      </c>
      <c r="AF54" s="256">
        <f t="shared" si="6"/>
        <v>0</v>
      </c>
      <c r="AG54" s="198" t="s">
        <v>189</v>
      </c>
      <c r="AH54" s="258">
        <f t="shared" si="4"/>
        <v>0</v>
      </c>
      <c r="AI54" s="256">
        <f t="shared" si="7"/>
        <v>0</v>
      </c>
      <c r="AJ54" s="198" t="s">
        <v>55</v>
      </c>
    </row>
    <row r="55" spans="1:36" ht="35.1" customHeight="1" x14ac:dyDescent="0.3">
      <c r="A55" s="244">
        <f>COUNT($A$3:$A54)+1</f>
        <v>53</v>
      </c>
      <c r="B55" s="244" t="s">
        <v>498</v>
      </c>
      <c r="C55" s="178" t="s">
        <v>839</v>
      </c>
      <c r="D55" s="263">
        <v>31079</v>
      </c>
      <c r="E55" s="263">
        <v>38531</v>
      </c>
      <c r="F55" s="198" t="s">
        <v>1165</v>
      </c>
      <c r="G55" s="198" t="s">
        <v>175</v>
      </c>
      <c r="H55" s="198" t="s">
        <v>1184</v>
      </c>
      <c r="I55" s="251" t="s">
        <v>1162</v>
      </c>
      <c r="J55" s="178" t="s">
        <v>833</v>
      </c>
      <c r="K55" s="249" t="s">
        <v>1046</v>
      </c>
      <c r="L55" s="249" t="s">
        <v>1047</v>
      </c>
      <c r="M55" s="178" t="s">
        <v>1048</v>
      </c>
      <c r="N55" s="178"/>
      <c r="O55" s="252"/>
      <c r="P55" s="252"/>
      <c r="Q55" s="253"/>
      <c r="R55" s="254"/>
      <c r="S55" s="254"/>
      <c r="T55" s="254"/>
      <c r="U55" s="254"/>
      <c r="V55" s="262"/>
      <c r="W55" s="198"/>
      <c r="X55" s="256">
        <v>5</v>
      </c>
      <c r="Y55" s="256">
        <v>0</v>
      </c>
      <c r="Z55" s="198" t="s">
        <v>498</v>
      </c>
      <c r="AA55" s="256">
        <f t="shared" si="5"/>
        <v>0</v>
      </c>
      <c r="AB55" s="256"/>
      <c r="AC55" s="256">
        <v>0</v>
      </c>
      <c r="AD55" s="256">
        <f t="shared" si="3"/>
        <v>0</v>
      </c>
      <c r="AE55" s="257">
        <v>1</v>
      </c>
      <c r="AF55" s="256">
        <f t="shared" si="6"/>
        <v>0</v>
      </c>
      <c r="AG55" s="198" t="s">
        <v>189</v>
      </c>
      <c r="AH55" s="258">
        <f t="shared" si="4"/>
        <v>0</v>
      </c>
      <c r="AI55" s="256">
        <f t="shared" si="7"/>
        <v>0</v>
      </c>
      <c r="AJ55" s="198" t="s">
        <v>55</v>
      </c>
    </row>
    <row r="56" spans="1:36" ht="35.1" customHeight="1" x14ac:dyDescent="0.3">
      <c r="A56" s="244">
        <f>COUNT($A$3:$A55)+1</f>
        <v>54</v>
      </c>
      <c r="B56" s="244" t="s">
        <v>498</v>
      </c>
      <c r="C56" s="178" t="s">
        <v>839</v>
      </c>
      <c r="D56" s="263">
        <v>43277</v>
      </c>
      <c r="E56" s="271"/>
      <c r="F56" s="198" t="s">
        <v>1165</v>
      </c>
      <c r="G56" s="198" t="s">
        <v>175</v>
      </c>
      <c r="H56" s="198" t="s">
        <v>1184</v>
      </c>
      <c r="I56" s="251" t="s">
        <v>1162</v>
      </c>
      <c r="J56" s="178" t="s">
        <v>833</v>
      </c>
      <c r="K56" s="249" t="s">
        <v>1049</v>
      </c>
      <c r="L56" s="251" t="s">
        <v>1162</v>
      </c>
      <c r="M56" s="178" t="s">
        <v>1050</v>
      </c>
      <c r="N56" s="178"/>
      <c r="O56" s="252"/>
      <c r="P56" s="252"/>
      <c r="Q56" s="253"/>
      <c r="R56" s="254"/>
      <c r="S56" s="254"/>
      <c r="T56" s="254"/>
      <c r="U56" s="254"/>
      <c r="V56" s="262"/>
      <c r="W56" s="198"/>
      <c r="X56" s="256">
        <v>5</v>
      </c>
      <c r="Y56" s="256">
        <v>0</v>
      </c>
      <c r="Z56" s="198" t="s">
        <v>498</v>
      </c>
      <c r="AA56" s="256">
        <f t="shared" si="5"/>
        <v>0</v>
      </c>
      <c r="AB56" s="256"/>
      <c r="AC56" s="256">
        <v>0</v>
      </c>
      <c r="AD56" s="256">
        <f t="shared" si="3"/>
        <v>0</v>
      </c>
      <c r="AE56" s="257">
        <v>1</v>
      </c>
      <c r="AF56" s="256">
        <f t="shared" si="6"/>
        <v>0</v>
      </c>
      <c r="AG56" s="198" t="s">
        <v>189</v>
      </c>
      <c r="AH56" s="258">
        <f t="shared" si="4"/>
        <v>0</v>
      </c>
      <c r="AI56" s="256">
        <f t="shared" si="7"/>
        <v>0</v>
      </c>
      <c r="AJ56" s="198" t="s">
        <v>55</v>
      </c>
    </row>
    <row r="57" spans="1:36" ht="35.1" customHeight="1" x14ac:dyDescent="0.3">
      <c r="A57" s="244">
        <f>COUNT($A$3:$A56)+1</f>
        <v>55</v>
      </c>
      <c r="B57" s="244" t="s">
        <v>498</v>
      </c>
      <c r="C57" s="178" t="s">
        <v>1030</v>
      </c>
      <c r="D57" s="271"/>
      <c r="E57" s="263">
        <v>43277</v>
      </c>
      <c r="F57" s="198" t="s">
        <v>1165</v>
      </c>
      <c r="G57" s="198" t="s">
        <v>175</v>
      </c>
      <c r="H57" s="198" t="s">
        <v>92</v>
      </c>
      <c r="I57" s="251" t="s">
        <v>1162</v>
      </c>
      <c r="J57" s="178" t="s">
        <v>833</v>
      </c>
      <c r="K57" s="249" t="s">
        <v>1051</v>
      </c>
      <c r="L57" s="249" t="s">
        <v>1052</v>
      </c>
      <c r="M57" s="178" t="s">
        <v>1053</v>
      </c>
      <c r="N57" s="178"/>
      <c r="O57" s="252"/>
      <c r="P57" s="252"/>
      <c r="Q57" s="253"/>
      <c r="R57" s="254"/>
      <c r="S57" s="254"/>
      <c r="T57" s="254"/>
      <c r="U57" s="254"/>
      <c r="V57" s="262"/>
      <c r="W57" s="198"/>
      <c r="X57" s="256">
        <v>5</v>
      </c>
      <c r="Y57" s="256">
        <v>0</v>
      </c>
      <c r="Z57" s="198" t="s">
        <v>498</v>
      </c>
      <c r="AA57" s="256">
        <f t="shared" si="5"/>
        <v>0</v>
      </c>
      <c r="AB57" s="256"/>
      <c r="AC57" s="256">
        <v>0</v>
      </c>
      <c r="AD57" s="256">
        <f t="shared" si="3"/>
        <v>0</v>
      </c>
      <c r="AE57" s="257">
        <v>1</v>
      </c>
      <c r="AF57" s="256">
        <f t="shared" si="6"/>
        <v>0</v>
      </c>
      <c r="AG57" s="198" t="s">
        <v>189</v>
      </c>
      <c r="AH57" s="258">
        <f t="shared" si="4"/>
        <v>0</v>
      </c>
      <c r="AI57" s="256">
        <f t="shared" si="7"/>
        <v>0</v>
      </c>
      <c r="AJ57" s="198" t="s">
        <v>55</v>
      </c>
    </row>
    <row r="58" spans="1:36" ht="35.1" customHeight="1" x14ac:dyDescent="0.3">
      <c r="A58" s="244">
        <f>COUNT($A$3:$A57)+1</f>
        <v>56</v>
      </c>
      <c r="B58" s="244" t="s">
        <v>498</v>
      </c>
      <c r="C58" s="178" t="s">
        <v>839</v>
      </c>
      <c r="D58" s="263">
        <v>43277</v>
      </c>
      <c r="E58" s="271"/>
      <c r="F58" s="198" t="s">
        <v>1165</v>
      </c>
      <c r="G58" s="198" t="s">
        <v>175</v>
      </c>
      <c r="H58" s="198" t="s">
        <v>1184</v>
      </c>
      <c r="I58" s="251" t="s">
        <v>1162</v>
      </c>
      <c r="J58" s="178" t="s">
        <v>833</v>
      </c>
      <c r="K58" s="280" t="s">
        <v>1054</v>
      </c>
      <c r="L58" s="249" t="s">
        <v>981</v>
      </c>
      <c r="M58" s="178" t="s">
        <v>1055</v>
      </c>
      <c r="N58" s="178" t="s">
        <v>1043</v>
      </c>
      <c r="O58" s="252"/>
      <c r="P58" s="252"/>
      <c r="Q58" s="253"/>
      <c r="R58" s="254"/>
      <c r="S58" s="254"/>
      <c r="T58" s="254"/>
      <c r="U58" s="254"/>
      <c r="V58" s="262"/>
      <c r="W58" s="198"/>
      <c r="X58" s="256">
        <v>5</v>
      </c>
      <c r="Y58" s="256">
        <v>0</v>
      </c>
      <c r="Z58" s="198" t="s">
        <v>498</v>
      </c>
      <c r="AA58" s="256">
        <f t="shared" si="5"/>
        <v>0</v>
      </c>
      <c r="AB58" s="256"/>
      <c r="AC58" s="256">
        <v>0</v>
      </c>
      <c r="AD58" s="256">
        <f t="shared" si="3"/>
        <v>0</v>
      </c>
      <c r="AE58" s="257">
        <v>1</v>
      </c>
      <c r="AF58" s="256">
        <f t="shared" si="6"/>
        <v>0</v>
      </c>
      <c r="AG58" s="198" t="s">
        <v>189</v>
      </c>
      <c r="AH58" s="258">
        <f t="shared" si="4"/>
        <v>0</v>
      </c>
      <c r="AI58" s="256">
        <f t="shared" si="7"/>
        <v>0</v>
      </c>
      <c r="AJ58" s="198" t="s">
        <v>55</v>
      </c>
    </row>
    <row r="59" spans="1:36" ht="35.1" customHeight="1" x14ac:dyDescent="0.3">
      <c r="A59" s="244">
        <f>COUNT($A$3:$A58)+1</f>
        <v>57</v>
      </c>
      <c r="B59" s="244" t="s">
        <v>498</v>
      </c>
      <c r="C59" s="178" t="s">
        <v>931</v>
      </c>
      <c r="D59" s="271"/>
      <c r="E59" s="263">
        <v>44005</v>
      </c>
      <c r="F59" s="198" t="s">
        <v>1165</v>
      </c>
      <c r="G59" s="198" t="s">
        <v>175</v>
      </c>
      <c r="H59" s="198" t="s">
        <v>92</v>
      </c>
      <c r="I59" s="251" t="s">
        <v>1162</v>
      </c>
      <c r="J59" s="178" t="s">
        <v>833</v>
      </c>
      <c r="K59" s="249" t="s">
        <v>1056</v>
      </c>
      <c r="L59" s="249" t="s">
        <v>1057</v>
      </c>
      <c r="M59" s="178" t="s">
        <v>1021</v>
      </c>
      <c r="N59" s="178" t="s">
        <v>1032</v>
      </c>
      <c r="O59" s="252"/>
      <c r="P59" s="252"/>
      <c r="Q59" s="253"/>
      <c r="R59" s="254"/>
      <c r="S59" s="254"/>
      <c r="T59" s="254"/>
      <c r="U59" s="254"/>
      <c r="V59" s="262"/>
      <c r="W59" s="198"/>
      <c r="X59" s="256">
        <v>5</v>
      </c>
      <c r="Y59" s="256">
        <v>0</v>
      </c>
      <c r="Z59" s="198" t="s">
        <v>498</v>
      </c>
      <c r="AA59" s="256">
        <f t="shared" si="5"/>
        <v>0</v>
      </c>
      <c r="AB59" s="256"/>
      <c r="AC59" s="256">
        <v>0</v>
      </c>
      <c r="AD59" s="256">
        <f t="shared" si="3"/>
        <v>0</v>
      </c>
      <c r="AE59" s="257">
        <v>1</v>
      </c>
      <c r="AF59" s="256">
        <f t="shared" si="6"/>
        <v>0</v>
      </c>
      <c r="AG59" s="198" t="s">
        <v>189</v>
      </c>
      <c r="AH59" s="258">
        <f t="shared" si="4"/>
        <v>0</v>
      </c>
      <c r="AI59" s="256">
        <f t="shared" si="7"/>
        <v>0</v>
      </c>
      <c r="AJ59" s="198" t="s">
        <v>55</v>
      </c>
    </row>
    <row r="60" spans="1:36" ht="35.1" customHeight="1" x14ac:dyDescent="0.3">
      <c r="A60" s="244">
        <f>COUNT($A$3:$A59)+1</f>
        <v>58</v>
      </c>
      <c r="B60" s="244" t="s">
        <v>498</v>
      </c>
      <c r="C60" s="178" t="s">
        <v>931</v>
      </c>
      <c r="D60" s="271"/>
      <c r="E60" s="263">
        <v>43277</v>
      </c>
      <c r="F60" s="198" t="s">
        <v>1165</v>
      </c>
      <c r="G60" s="198" t="s">
        <v>175</v>
      </c>
      <c r="H60" s="198" t="s">
        <v>726</v>
      </c>
      <c r="I60" s="251" t="s">
        <v>1162</v>
      </c>
      <c r="J60" s="178" t="s">
        <v>833</v>
      </c>
      <c r="K60" s="249" t="s">
        <v>1058</v>
      </c>
      <c r="L60" s="251" t="s">
        <v>1162</v>
      </c>
      <c r="M60" s="178" t="s">
        <v>902</v>
      </c>
      <c r="N60" s="178"/>
      <c r="O60" s="252"/>
      <c r="P60" s="252"/>
      <c r="Q60" s="253"/>
      <c r="R60" s="254"/>
      <c r="S60" s="254"/>
      <c r="T60" s="254"/>
      <c r="U60" s="254"/>
      <c r="V60" s="262"/>
      <c r="W60" s="198"/>
      <c r="X60" s="256">
        <v>5</v>
      </c>
      <c r="Y60" s="256">
        <v>0</v>
      </c>
      <c r="Z60" s="198" t="s">
        <v>498</v>
      </c>
      <c r="AA60" s="256">
        <f t="shared" si="5"/>
        <v>0</v>
      </c>
      <c r="AB60" s="256"/>
      <c r="AC60" s="256">
        <v>0</v>
      </c>
      <c r="AD60" s="256">
        <f t="shared" si="3"/>
        <v>0</v>
      </c>
      <c r="AE60" s="257">
        <v>1</v>
      </c>
      <c r="AF60" s="256">
        <f t="shared" si="6"/>
        <v>0</v>
      </c>
      <c r="AG60" s="198" t="s">
        <v>189</v>
      </c>
      <c r="AH60" s="258">
        <f t="shared" si="4"/>
        <v>0</v>
      </c>
      <c r="AI60" s="256">
        <f t="shared" si="7"/>
        <v>0</v>
      </c>
      <c r="AJ60" s="198" t="s">
        <v>55</v>
      </c>
    </row>
    <row r="61" spans="1:36" ht="35.1" customHeight="1" x14ac:dyDescent="0.3">
      <c r="A61" s="244">
        <f>COUNT($A$3:$A60)+1</f>
        <v>59</v>
      </c>
      <c r="B61" s="244" t="s">
        <v>498</v>
      </c>
      <c r="C61" s="178" t="s">
        <v>931</v>
      </c>
      <c r="D61" s="271"/>
      <c r="E61" s="263">
        <v>43277</v>
      </c>
      <c r="F61" s="198" t="s">
        <v>1165</v>
      </c>
      <c r="G61" s="198" t="s">
        <v>175</v>
      </c>
      <c r="H61" s="198" t="s">
        <v>92</v>
      </c>
      <c r="I61" s="251" t="s">
        <v>1162</v>
      </c>
      <c r="J61" s="178" t="s">
        <v>833</v>
      </c>
      <c r="K61" s="280" t="s">
        <v>1059</v>
      </c>
      <c r="L61" s="249" t="s">
        <v>981</v>
      </c>
      <c r="M61" s="178" t="s">
        <v>902</v>
      </c>
      <c r="N61" s="178" t="s">
        <v>1036</v>
      </c>
      <c r="O61" s="252"/>
      <c r="P61" s="252"/>
      <c r="Q61" s="253"/>
      <c r="R61" s="254"/>
      <c r="S61" s="254"/>
      <c r="T61" s="254"/>
      <c r="U61" s="254"/>
      <c r="V61" s="262"/>
      <c r="W61" s="198"/>
      <c r="X61" s="256">
        <v>5</v>
      </c>
      <c r="Y61" s="256">
        <v>0</v>
      </c>
      <c r="Z61" s="198" t="s">
        <v>498</v>
      </c>
      <c r="AA61" s="256">
        <f t="shared" si="5"/>
        <v>0</v>
      </c>
      <c r="AB61" s="256"/>
      <c r="AC61" s="256">
        <v>0</v>
      </c>
      <c r="AD61" s="256">
        <f t="shared" si="3"/>
        <v>0</v>
      </c>
      <c r="AE61" s="257">
        <v>1</v>
      </c>
      <c r="AF61" s="256">
        <f t="shared" si="6"/>
        <v>0</v>
      </c>
      <c r="AG61" s="198" t="s">
        <v>189</v>
      </c>
      <c r="AH61" s="258">
        <f t="shared" si="4"/>
        <v>0</v>
      </c>
      <c r="AI61" s="256">
        <f t="shared" si="7"/>
        <v>0</v>
      </c>
      <c r="AJ61" s="198" t="s">
        <v>55</v>
      </c>
    </row>
    <row r="62" spans="1:36" ht="35.1" customHeight="1" x14ac:dyDescent="0.3">
      <c r="A62" s="244">
        <f>COUNT($A$3:$A61)+1</f>
        <v>60</v>
      </c>
      <c r="B62" s="244" t="s">
        <v>498</v>
      </c>
      <c r="C62" s="178" t="s">
        <v>931</v>
      </c>
      <c r="D62" s="271"/>
      <c r="E62" s="263">
        <v>43277</v>
      </c>
      <c r="F62" s="198" t="s">
        <v>1165</v>
      </c>
      <c r="G62" s="198" t="s">
        <v>175</v>
      </c>
      <c r="H62" s="198" t="s">
        <v>1184</v>
      </c>
      <c r="I62" s="251" t="s">
        <v>1162</v>
      </c>
      <c r="J62" s="178" t="s">
        <v>833</v>
      </c>
      <c r="K62" s="249" t="s">
        <v>1060</v>
      </c>
      <c r="L62" s="251" t="s">
        <v>1162</v>
      </c>
      <c r="M62" s="178" t="s">
        <v>902</v>
      </c>
      <c r="N62" s="178"/>
      <c r="O62" s="252"/>
      <c r="P62" s="252"/>
      <c r="Q62" s="253"/>
      <c r="R62" s="254"/>
      <c r="S62" s="254"/>
      <c r="T62" s="254"/>
      <c r="U62" s="254"/>
      <c r="V62" s="262"/>
      <c r="W62" s="198"/>
      <c r="X62" s="256">
        <v>5</v>
      </c>
      <c r="Y62" s="256">
        <v>0</v>
      </c>
      <c r="Z62" s="198" t="s">
        <v>498</v>
      </c>
      <c r="AA62" s="256">
        <f t="shared" si="5"/>
        <v>0</v>
      </c>
      <c r="AB62" s="256"/>
      <c r="AC62" s="256">
        <v>0</v>
      </c>
      <c r="AD62" s="256">
        <f t="shared" si="3"/>
        <v>0</v>
      </c>
      <c r="AE62" s="257">
        <v>1</v>
      </c>
      <c r="AF62" s="256">
        <f t="shared" si="6"/>
        <v>0</v>
      </c>
      <c r="AG62" s="198" t="s">
        <v>189</v>
      </c>
      <c r="AH62" s="258">
        <f t="shared" si="4"/>
        <v>0</v>
      </c>
      <c r="AI62" s="256">
        <f t="shared" si="7"/>
        <v>0</v>
      </c>
      <c r="AJ62" s="198" t="s">
        <v>55</v>
      </c>
    </row>
    <row r="63" spans="1:36" ht="35.1" customHeight="1" x14ac:dyDescent="0.3">
      <c r="A63" s="244">
        <f>COUNT($A$3:$A62)+1</f>
        <v>61</v>
      </c>
      <c r="B63" s="244" t="s">
        <v>498</v>
      </c>
      <c r="C63" s="178" t="s">
        <v>931</v>
      </c>
      <c r="D63" s="271"/>
      <c r="E63" s="263">
        <v>43277</v>
      </c>
      <c r="F63" s="198" t="s">
        <v>1165</v>
      </c>
      <c r="G63" s="198" t="s">
        <v>175</v>
      </c>
      <c r="H63" s="198" t="s">
        <v>92</v>
      </c>
      <c r="I63" s="251" t="s">
        <v>1162</v>
      </c>
      <c r="J63" s="178" t="s">
        <v>833</v>
      </c>
      <c r="K63" s="280" t="s">
        <v>1061</v>
      </c>
      <c r="L63" s="249" t="s">
        <v>981</v>
      </c>
      <c r="M63" s="178" t="s">
        <v>1062</v>
      </c>
      <c r="N63" s="178" t="s">
        <v>1036</v>
      </c>
      <c r="O63" s="252"/>
      <c r="P63" s="252"/>
      <c r="Q63" s="253"/>
      <c r="R63" s="254"/>
      <c r="S63" s="254"/>
      <c r="T63" s="254"/>
      <c r="U63" s="254"/>
      <c r="V63" s="262"/>
      <c r="W63" s="198"/>
      <c r="X63" s="256">
        <v>5</v>
      </c>
      <c r="Y63" s="256">
        <v>0</v>
      </c>
      <c r="Z63" s="198" t="s">
        <v>498</v>
      </c>
      <c r="AA63" s="256">
        <f t="shared" si="5"/>
        <v>0</v>
      </c>
      <c r="AB63" s="256"/>
      <c r="AC63" s="256">
        <v>0</v>
      </c>
      <c r="AD63" s="256">
        <f t="shared" si="3"/>
        <v>0</v>
      </c>
      <c r="AE63" s="257">
        <v>1</v>
      </c>
      <c r="AF63" s="256">
        <f t="shared" si="6"/>
        <v>0</v>
      </c>
      <c r="AG63" s="198" t="s">
        <v>189</v>
      </c>
      <c r="AH63" s="258">
        <f t="shared" si="4"/>
        <v>0</v>
      </c>
      <c r="AI63" s="256">
        <f t="shared" si="7"/>
        <v>0</v>
      </c>
      <c r="AJ63" s="198" t="s">
        <v>55</v>
      </c>
    </row>
    <row r="64" spans="1:36" ht="35.1" customHeight="1" x14ac:dyDescent="0.3">
      <c r="A64" s="244">
        <f>COUNT($A$3:$A63)+1</f>
        <v>62</v>
      </c>
      <c r="B64" s="244" t="s">
        <v>498</v>
      </c>
      <c r="C64" s="178" t="s">
        <v>979</v>
      </c>
      <c r="D64" s="271"/>
      <c r="E64" s="263">
        <v>44005</v>
      </c>
      <c r="F64" s="198" t="s">
        <v>1165</v>
      </c>
      <c r="G64" s="198" t="s">
        <v>175</v>
      </c>
      <c r="H64" s="198" t="s">
        <v>92</v>
      </c>
      <c r="I64" s="251" t="s">
        <v>1162</v>
      </c>
      <c r="J64" s="178" t="s">
        <v>833</v>
      </c>
      <c r="K64" s="280" t="s">
        <v>1063</v>
      </c>
      <c r="L64" s="249" t="s">
        <v>981</v>
      </c>
      <c r="M64" s="178" t="s">
        <v>1064</v>
      </c>
      <c r="N64" s="178" t="s">
        <v>1036</v>
      </c>
      <c r="O64" s="252"/>
      <c r="P64" s="252"/>
      <c r="Q64" s="253"/>
      <c r="R64" s="254"/>
      <c r="S64" s="254"/>
      <c r="T64" s="254"/>
      <c r="U64" s="254"/>
      <c r="V64" s="262"/>
      <c r="W64" s="198"/>
      <c r="X64" s="256">
        <v>5</v>
      </c>
      <c r="Y64" s="256">
        <v>0</v>
      </c>
      <c r="Z64" s="198" t="s">
        <v>498</v>
      </c>
      <c r="AA64" s="256">
        <f t="shared" si="5"/>
        <v>0</v>
      </c>
      <c r="AB64" s="256"/>
      <c r="AC64" s="256">
        <v>0</v>
      </c>
      <c r="AD64" s="256">
        <f t="shared" si="3"/>
        <v>0</v>
      </c>
      <c r="AE64" s="257">
        <v>1</v>
      </c>
      <c r="AF64" s="256">
        <f t="shared" si="6"/>
        <v>0</v>
      </c>
      <c r="AG64" s="198" t="s">
        <v>189</v>
      </c>
      <c r="AH64" s="258">
        <f t="shared" si="4"/>
        <v>0</v>
      </c>
      <c r="AI64" s="256">
        <f t="shared" si="7"/>
        <v>0</v>
      </c>
      <c r="AJ64" s="198" t="s">
        <v>55</v>
      </c>
    </row>
    <row r="65" spans="1:36" ht="35.1" customHeight="1" x14ac:dyDescent="0.3">
      <c r="A65" s="244">
        <f>COUNT($A$3:$A64)+1</f>
        <v>63</v>
      </c>
      <c r="B65" s="244" t="s">
        <v>498</v>
      </c>
      <c r="C65" s="178" t="s">
        <v>931</v>
      </c>
      <c r="D65" s="271"/>
      <c r="E65" s="263">
        <v>43277</v>
      </c>
      <c r="F65" s="198" t="s">
        <v>1165</v>
      </c>
      <c r="G65" s="198" t="s">
        <v>175</v>
      </c>
      <c r="H65" s="198" t="s">
        <v>92</v>
      </c>
      <c r="I65" s="251" t="s">
        <v>1162</v>
      </c>
      <c r="J65" s="178" t="s">
        <v>833</v>
      </c>
      <c r="K65" s="249" t="s">
        <v>1065</v>
      </c>
      <c r="L65" s="251" t="s">
        <v>1162</v>
      </c>
      <c r="M65" s="178" t="s">
        <v>1066</v>
      </c>
      <c r="N65" s="178"/>
      <c r="O65" s="252"/>
      <c r="P65" s="252"/>
      <c r="Q65" s="253"/>
      <c r="R65" s="254"/>
      <c r="S65" s="254"/>
      <c r="T65" s="254"/>
      <c r="U65" s="254"/>
      <c r="V65" s="262"/>
      <c r="W65" s="198"/>
      <c r="X65" s="256">
        <v>5</v>
      </c>
      <c r="Y65" s="256">
        <v>0</v>
      </c>
      <c r="Z65" s="198" t="s">
        <v>498</v>
      </c>
      <c r="AA65" s="256">
        <f t="shared" si="5"/>
        <v>0</v>
      </c>
      <c r="AB65" s="256"/>
      <c r="AC65" s="256">
        <v>0</v>
      </c>
      <c r="AD65" s="256">
        <f t="shared" si="3"/>
        <v>0</v>
      </c>
      <c r="AE65" s="257">
        <v>1</v>
      </c>
      <c r="AF65" s="256">
        <f t="shared" si="6"/>
        <v>0</v>
      </c>
      <c r="AG65" s="198" t="s">
        <v>189</v>
      </c>
      <c r="AH65" s="258">
        <f t="shared" si="4"/>
        <v>0</v>
      </c>
      <c r="AI65" s="256">
        <f t="shared" si="7"/>
        <v>0</v>
      </c>
      <c r="AJ65" s="198" t="s">
        <v>55</v>
      </c>
    </row>
    <row r="66" spans="1:36" ht="35.1" customHeight="1" x14ac:dyDescent="0.3">
      <c r="A66" s="244">
        <f>COUNT($A$3:$A65)+1</f>
        <v>64</v>
      </c>
      <c r="B66" s="244" t="s">
        <v>498</v>
      </c>
      <c r="C66" s="178" t="s">
        <v>839</v>
      </c>
      <c r="D66" s="271"/>
      <c r="E66" s="263">
        <v>44005</v>
      </c>
      <c r="F66" s="198" t="s">
        <v>1165</v>
      </c>
      <c r="G66" s="198" t="s">
        <v>175</v>
      </c>
      <c r="H66" s="198" t="s">
        <v>92</v>
      </c>
      <c r="I66" s="251" t="s">
        <v>1162</v>
      </c>
      <c r="J66" s="178" t="s">
        <v>1067</v>
      </c>
      <c r="K66" s="280" t="s">
        <v>1068</v>
      </c>
      <c r="L66" s="249" t="s">
        <v>981</v>
      </c>
      <c r="M66" s="178" t="s">
        <v>948</v>
      </c>
      <c r="N66" s="178" t="s">
        <v>1069</v>
      </c>
      <c r="O66" s="252"/>
      <c r="P66" s="252"/>
      <c r="Q66" s="253"/>
      <c r="R66" s="254"/>
      <c r="S66" s="254"/>
      <c r="T66" s="254"/>
      <c r="U66" s="254"/>
      <c r="V66" s="262"/>
      <c r="W66" s="198"/>
      <c r="X66" s="256">
        <v>5</v>
      </c>
      <c r="Y66" s="256">
        <v>0</v>
      </c>
      <c r="Z66" s="198" t="s">
        <v>498</v>
      </c>
      <c r="AA66" s="256">
        <f t="shared" si="5"/>
        <v>0</v>
      </c>
      <c r="AB66" s="256"/>
      <c r="AC66" s="256">
        <v>0</v>
      </c>
      <c r="AD66" s="256">
        <f t="shared" si="3"/>
        <v>0</v>
      </c>
      <c r="AE66" s="257">
        <v>1</v>
      </c>
      <c r="AF66" s="256">
        <f t="shared" si="6"/>
        <v>0</v>
      </c>
      <c r="AG66" s="198" t="s">
        <v>189</v>
      </c>
      <c r="AH66" s="258">
        <f t="shared" si="4"/>
        <v>0</v>
      </c>
      <c r="AI66" s="256">
        <f t="shared" si="7"/>
        <v>0</v>
      </c>
      <c r="AJ66" s="198" t="s">
        <v>55</v>
      </c>
    </row>
    <row r="67" spans="1:36" ht="35.1" customHeight="1" x14ac:dyDescent="0.3">
      <c r="A67" s="244">
        <f>COUNT($A$3:$A66)+1</f>
        <v>65</v>
      </c>
      <c r="B67" s="244" t="s">
        <v>498</v>
      </c>
      <c r="C67" s="178" t="s">
        <v>839</v>
      </c>
      <c r="D67" s="271"/>
      <c r="E67" s="263">
        <v>44005</v>
      </c>
      <c r="F67" s="198" t="s">
        <v>1165</v>
      </c>
      <c r="G67" s="198" t="s">
        <v>175</v>
      </c>
      <c r="H67" s="198" t="s">
        <v>92</v>
      </c>
      <c r="I67" s="251" t="s">
        <v>1162</v>
      </c>
      <c r="J67" s="178" t="s">
        <v>1067</v>
      </c>
      <c r="K67" s="280" t="s">
        <v>1070</v>
      </c>
      <c r="L67" s="249" t="s">
        <v>1189</v>
      </c>
      <c r="M67" s="178" t="s">
        <v>1071</v>
      </c>
      <c r="N67" s="198"/>
      <c r="O67" s="252"/>
      <c r="P67" s="252"/>
      <c r="Q67" s="253"/>
      <c r="R67" s="254"/>
      <c r="S67" s="254"/>
      <c r="T67" s="254"/>
      <c r="U67" s="254"/>
      <c r="V67" s="262"/>
      <c r="W67" s="198"/>
      <c r="X67" s="256">
        <v>5</v>
      </c>
      <c r="Y67" s="256">
        <v>0</v>
      </c>
      <c r="Z67" s="198" t="s">
        <v>498</v>
      </c>
      <c r="AA67" s="256">
        <f t="shared" si="5"/>
        <v>0</v>
      </c>
      <c r="AB67" s="256"/>
      <c r="AC67" s="256">
        <v>0</v>
      </c>
      <c r="AD67" s="256">
        <f t="shared" si="3"/>
        <v>0</v>
      </c>
      <c r="AE67" s="257">
        <v>1</v>
      </c>
      <c r="AF67" s="256">
        <f t="shared" ref="AF67:AF98" si="8">AE67*AA67</f>
        <v>0</v>
      </c>
      <c r="AG67" s="198" t="s">
        <v>189</v>
      </c>
      <c r="AH67" s="258">
        <f t="shared" si="4"/>
        <v>0</v>
      </c>
      <c r="AI67" s="256">
        <f t="shared" ref="AI67:AI98" si="9">AH67*AA67</f>
        <v>0</v>
      </c>
      <c r="AJ67" s="198" t="s">
        <v>55</v>
      </c>
    </row>
    <row r="68" spans="1:36" ht="35.1" customHeight="1" x14ac:dyDescent="0.3">
      <c r="A68" s="244">
        <f>COUNT($A$3:$A67)+1</f>
        <v>66</v>
      </c>
      <c r="B68" s="244" t="s">
        <v>498</v>
      </c>
      <c r="C68" s="178" t="s">
        <v>839</v>
      </c>
      <c r="D68" s="271"/>
      <c r="E68" s="263">
        <v>44005</v>
      </c>
      <c r="F68" s="198" t="s">
        <v>1165</v>
      </c>
      <c r="G68" s="198" t="s">
        <v>175</v>
      </c>
      <c r="H68" s="198" t="s">
        <v>92</v>
      </c>
      <c r="I68" s="251" t="s">
        <v>1162</v>
      </c>
      <c r="J68" s="178" t="s">
        <v>1067</v>
      </c>
      <c r="K68" s="280" t="s">
        <v>1072</v>
      </c>
      <c r="L68" s="249" t="s">
        <v>1190</v>
      </c>
      <c r="M68" s="178" t="s">
        <v>948</v>
      </c>
      <c r="N68" s="178"/>
      <c r="O68" s="252"/>
      <c r="P68" s="252"/>
      <c r="Q68" s="253"/>
      <c r="R68" s="254"/>
      <c r="S68" s="254"/>
      <c r="T68" s="254"/>
      <c r="U68" s="254"/>
      <c r="V68" s="262"/>
      <c r="W68" s="198"/>
      <c r="X68" s="256">
        <v>5</v>
      </c>
      <c r="Y68" s="256">
        <v>0</v>
      </c>
      <c r="Z68" s="198" t="s">
        <v>498</v>
      </c>
      <c r="AA68" s="256">
        <f t="shared" si="5"/>
        <v>0</v>
      </c>
      <c r="AB68" s="256"/>
      <c r="AC68" s="256">
        <v>0</v>
      </c>
      <c r="AD68" s="256">
        <f t="shared" si="3"/>
        <v>0</v>
      </c>
      <c r="AE68" s="257">
        <v>1</v>
      </c>
      <c r="AF68" s="256">
        <f t="shared" si="8"/>
        <v>0</v>
      </c>
      <c r="AG68" s="198" t="s">
        <v>189</v>
      </c>
      <c r="AH68" s="258">
        <f t="shared" si="4"/>
        <v>0</v>
      </c>
      <c r="AI68" s="256">
        <f t="shared" si="9"/>
        <v>0</v>
      </c>
      <c r="AJ68" s="198" t="s">
        <v>55</v>
      </c>
    </row>
    <row r="69" spans="1:36" ht="35.1" customHeight="1" x14ac:dyDescent="0.3">
      <c r="A69" s="244">
        <f>COUNT($A$3:$A68)+1</f>
        <v>67</v>
      </c>
      <c r="B69" s="244" t="s">
        <v>498</v>
      </c>
      <c r="C69" s="178" t="s">
        <v>931</v>
      </c>
      <c r="D69" s="271"/>
      <c r="E69" s="263">
        <v>43277</v>
      </c>
      <c r="F69" s="198" t="s">
        <v>1165</v>
      </c>
      <c r="G69" s="198" t="s">
        <v>175</v>
      </c>
      <c r="H69" s="198" t="s">
        <v>92</v>
      </c>
      <c r="I69" s="251" t="s">
        <v>1162</v>
      </c>
      <c r="J69" s="178" t="s">
        <v>1067</v>
      </c>
      <c r="K69" s="280" t="s">
        <v>1073</v>
      </c>
      <c r="L69" s="249" t="s">
        <v>1074</v>
      </c>
      <c r="M69" s="178" t="s">
        <v>1075</v>
      </c>
      <c r="N69" s="178"/>
      <c r="O69" s="252"/>
      <c r="P69" s="252"/>
      <c r="Q69" s="253"/>
      <c r="R69" s="254"/>
      <c r="S69" s="254"/>
      <c r="T69" s="254"/>
      <c r="U69" s="254"/>
      <c r="V69" s="262"/>
      <c r="W69" s="198"/>
      <c r="X69" s="256">
        <v>5</v>
      </c>
      <c r="Y69" s="256">
        <v>0</v>
      </c>
      <c r="Z69" s="198" t="s">
        <v>498</v>
      </c>
      <c r="AA69" s="256">
        <f t="shared" si="5"/>
        <v>0</v>
      </c>
      <c r="AB69" s="256"/>
      <c r="AC69" s="256">
        <v>0</v>
      </c>
      <c r="AD69" s="256">
        <f t="shared" si="3"/>
        <v>0</v>
      </c>
      <c r="AE69" s="257">
        <v>1</v>
      </c>
      <c r="AF69" s="256">
        <f t="shared" si="8"/>
        <v>0</v>
      </c>
      <c r="AG69" s="198" t="s">
        <v>189</v>
      </c>
      <c r="AH69" s="258">
        <f t="shared" si="4"/>
        <v>0</v>
      </c>
      <c r="AI69" s="256">
        <f t="shared" si="9"/>
        <v>0</v>
      </c>
      <c r="AJ69" s="198" t="s">
        <v>55</v>
      </c>
    </row>
    <row r="70" spans="1:36" ht="35.1" customHeight="1" x14ac:dyDescent="0.3">
      <c r="A70" s="244">
        <f>COUNT($A$3:$A69)+1</f>
        <v>68</v>
      </c>
      <c r="B70" s="244" t="s">
        <v>498</v>
      </c>
      <c r="C70" s="178" t="s">
        <v>931</v>
      </c>
      <c r="D70" s="271"/>
      <c r="E70" s="263">
        <v>43277</v>
      </c>
      <c r="F70" s="198" t="s">
        <v>1165</v>
      </c>
      <c r="G70" s="198" t="s">
        <v>175</v>
      </c>
      <c r="H70" s="198" t="s">
        <v>92</v>
      </c>
      <c r="I70" s="251" t="s">
        <v>1162</v>
      </c>
      <c r="J70" s="178" t="s">
        <v>1067</v>
      </c>
      <c r="K70" s="280" t="s">
        <v>1076</v>
      </c>
      <c r="L70" s="249" t="s">
        <v>1077</v>
      </c>
      <c r="M70" s="178" t="s">
        <v>942</v>
      </c>
      <c r="N70" s="178"/>
      <c r="O70" s="252"/>
      <c r="P70" s="252"/>
      <c r="Q70" s="253"/>
      <c r="R70" s="254"/>
      <c r="S70" s="254"/>
      <c r="T70" s="254"/>
      <c r="U70" s="254"/>
      <c r="V70" s="262"/>
      <c r="W70" s="198"/>
      <c r="X70" s="256">
        <v>5</v>
      </c>
      <c r="Y70" s="256">
        <v>0</v>
      </c>
      <c r="Z70" s="198" t="s">
        <v>498</v>
      </c>
      <c r="AA70" s="256">
        <f t="shared" si="5"/>
        <v>0</v>
      </c>
      <c r="AB70" s="256"/>
      <c r="AC70" s="256">
        <v>0</v>
      </c>
      <c r="AD70" s="256">
        <f t="shared" si="3"/>
        <v>0</v>
      </c>
      <c r="AE70" s="257">
        <v>1</v>
      </c>
      <c r="AF70" s="256">
        <f t="shared" si="8"/>
        <v>0</v>
      </c>
      <c r="AG70" s="198" t="s">
        <v>189</v>
      </c>
      <c r="AH70" s="258">
        <f t="shared" si="4"/>
        <v>0</v>
      </c>
      <c r="AI70" s="256">
        <f t="shared" si="9"/>
        <v>0</v>
      </c>
      <c r="AJ70" s="198" t="s">
        <v>55</v>
      </c>
    </row>
    <row r="71" spans="1:36" ht="35.1" customHeight="1" x14ac:dyDescent="0.3">
      <c r="A71" s="244">
        <f>COUNT($A$3:$A70)+1</f>
        <v>69</v>
      </c>
      <c r="B71" s="244" t="s">
        <v>498</v>
      </c>
      <c r="C71" s="178" t="s">
        <v>931</v>
      </c>
      <c r="D71" s="271"/>
      <c r="E71" s="263">
        <v>43277</v>
      </c>
      <c r="F71" s="198" t="s">
        <v>1165</v>
      </c>
      <c r="G71" s="198" t="s">
        <v>175</v>
      </c>
      <c r="H71" s="198" t="s">
        <v>92</v>
      </c>
      <c r="I71" s="251" t="s">
        <v>1162</v>
      </c>
      <c r="J71" s="178" t="s">
        <v>1067</v>
      </c>
      <c r="K71" s="280" t="s">
        <v>1078</v>
      </c>
      <c r="L71" s="249" t="s">
        <v>1079</v>
      </c>
      <c r="M71" s="178" t="s">
        <v>1080</v>
      </c>
      <c r="N71" s="178"/>
      <c r="O71" s="252"/>
      <c r="P71" s="252"/>
      <c r="Q71" s="253"/>
      <c r="R71" s="254"/>
      <c r="S71" s="254"/>
      <c r="T71" s="254"/>
      <c r="U71" s="254"/>
      <c r="V71" s="262"/>
      <c r="W71" s="198"/>
      <c r="X71" s="256">
        <v>5</v>
      </c>
      <c r="Y71" s="256">
        <v>0</v>
      </c>
      <c r="Z71" s="198" t="s">
        <v>498</v>
      </c>
      <c r="AA71" s="256">
        <f t="shared" si="5"/>
        <v>0</v>
      </c>
      <c r="AB71" s="256"/>
      <c r="AC71" s="256">
        <v>0</v>
      </c>
      <c r="AD71" s="256">
        <f t="shared" si="3"/>
        <v>0</v>
      </c>
      <c r="AE71" s="257">
        <v>1</v>
      </c>
      <c r="AF71" s="256">
        <f t="shared" si="8"/>
        <v>0</v>
      </c>
      <c r="AG71" s="198" t="s">
        <v>189</v>
      </c>
      <c r="AH71" s="258">
        <f t="shared" ref="AH71:AH102" si="10">1-AE71</f>
        <v>0</v>
      </c>
      <c r="AI71" s="256">
        <f t="shared" si="9"/>
        <v>0</v>
      </c>
      <c r="AJ71" s="198" t="s">
        <v>55</v>
      </c>
    </row>
    <row r="72" spans="1:36" ht="35.1" customHeight="1" x14ac:dyDescent="0.3">
      <c r="A72" s="244">
        <f>COUNT($A$3:$A71)+1</f>
        <v>70</v>
      </c>
      <c r="B72" s="244" t="s">
        <v>498</v>
      </c>
      <c r="C72" s="178" t="s">
        <v>931</v>
      </c>
      <c r="D72" s="271"/>
      <c r="E72" s="263">
        <v>43305</v>
      </c>
      <c r="F72" s="198" t="s">
        <v>1165</v>
      </c>
      <c r="G72" s="198" t="s">
        <v>175</v>
      </c>
      <c r="H72" s="198" t="s">
        <v>92</v>
      </c>
      <c r="I72" s="251" t="s">
        <v>1162</v>
      </c>
      <c r="J72" s="178" t="s">
        <v>1067</v>
      </c>
      <c r="K72" s="280" t="s">
        <v>1081</v>
      </c>
      <c r="L72" s="249" t="s">
        <v>1082</v>
      </c>
      <c r="M72" s="178" t="s">
        <v>1083</v>
      </c>
      <c r="N72" s="178"/>
      <c r="O72" s="252"/>
      <c r="P72" s="252"/>
      <c r="Q72" s="253"/>
      <c r="R72" s="254"/>
      <c r="S72" s="254"/>
      <c r="T72" s="254"/>
      <c r="U72" s="254"/>
      <c r="V72" s="262"/>
      <c r="W72" s="198"/>
      <c r="X72" s="256">
        <v>5</v>
      </c>
      <c r="Y72" s="256">
        <v>0</v>
      </c>
      <c r="Z72" s="198" t="s">
        <v>498</v>
      </c>
      <c r="AA72" s="256">
        <f t="shared" si="5"/>
        <v>0</v>
      </c>
      <c r="AB72" s="256"/>
      <c r="AC72" s="256">
        <v>0</v>
      </c>
      <c r="AD72" s="256">
        <f t="shared" si="3"/>
        <v>0</v>
      </c>
      <c r="AE72" s="257">
        <v>1</v>
      </c>
      <c r="AF72" s="256">
        <f t="shared" si="8"/>
        <v>0</v>
      </c>
      <c r="AG72" s="198" t="s">
        <v>189</v>
      </c>
      <c r="AH72" s="258">
        <f t="shared" si="10"/>
        <v>0</v>
      </c>
      <c r="AI72" s="256">
        <f t="shared" si="9"/>
        <v>0</v>
      </c>
      <c r="AJ72" s="198" t="s">
        <v>55</v>
      </c>
    </row>
    <row r="73" spans="1:36" ht="35.1" customHeight="1" x14ac:dyDescent="0.3">
      <c r="A73" s="244">
        <f>COUNT($A$3:$A72)+1</f>
        <v>71</v>
      </c>
      <c r="B73" s="244" t="s">
        <v>498</v>
      </c>
      <c r="C73" s="178" t="s">
        <v>931</v>
      </c>
      <c r="D73" s="271"/>
      <c r="E73" s="263">
        <v>43277</v>
      </c>
      <c r="F73" s="198" t="s">
        <v>1165</v>
      </c>
      <c r="G73" s="198" t="s">
        <v>175</v>
      </c>
      <c r="H73" s="198" t="s">
        <v>92</v>
      </c>
      <c r="I73" s="251" t="s">
        <v>1162</v>
      </c>
      <c r="J73" s="178" t="s">
        <v>1067</v>
      </c>
      <c r="K73" s="280" t="s">
        <v>1084</v>
      </c>
      <c r="L73" s="249" t="s">
        <v>981</v>
      </c>
      <c r="M73" s="178" t="s">
        <v>951</v>
      </c>
      <c r="N73" s="178" t="s">
        <v>1085</v>
      </c>
      <c r="O73" s="252"/>
      <c r="P73" s="252"/>
      <c r="Q73" s="253"/>
      <c r="R73" s="254"/>
      <c r="S73" s="254"/>
      <c r="T73" s="254"/>
      <c r="U73" s="254"/>
      <c r="V73" s="262"/>
      <c r="W73" s="198"/>
      <c r="X73" s="256">
        <v>5</v>
      </c>
      <c r="Y73" s="256">
        <v>0</v>
      </c>
      <c r="Z73" s="198" t="s">
        <v>498</v>
      </c>
      <c r="AA73" s="256">
        <f t="shared" si="5"/>
        <v>0</v>
      </c>
      <c r="AB73" s="256"/>
      <c r="AC73" s="256">
        <v>0</v>
      </c>
      <c r="AD73" s="256">
        <f t="shared" si="3"/>
        <v>0</v>
      </c>
      <c r="AE73" s="257">
        <v>1</v>
      </c>
      <c r="AF73" s="256">
        <f t="shared" si="8"/>
        <v>0</v>
      </c>
      <c r="AG73" s="198" t="s">
        <v>189</v>
      </c>
      <c r="AH73" s="258">
        <f t="shared" si="10"/>
        <v>0</v>
      </c>
      <c r="AI73" s="256">
        <f t="shared" si="9"/>
        <v>0</v>
      </c>
      <c r="AJ73" s="198" t="s">
        <v>55</v>
      </c>
    </row>
    <row r="74" spans="1:36" ht="35.1" customHeight="1" x14ac:dyDescent="0.3">
      <c r="A74" s="244">
        <f>COUNT($A$3:$A73)+1</f>
        <v>72</v>
      </c>
      <c r="B74" s="244" t="s">
        <v>498</v>
      </c>
      <c r="C74" s="178" t="s">
        <v>1089</v>
      </c>
      <c r="D74" s="271"/>
      <c r="E74" s="263">
        <v>43277</v>
      </c>
      <c r="F74" s="198" t="s">
        <v>1165</v>
      </c>
      <c r="G74" s="198" t="s">
        <v>175</v>
      </c>
      <c r="H74" s="198" t="s">
        <v>92</v>
      </c>
      <c r="I74" s="251" t="s">
        <v>1162</v>
      </c>
      <c r="J74" s="178" t="s">
        <v>1086</v>
      </c>
      <c r="K74" s="249" t="s">
        <v>1087</v>
      </c>
      <c r="L74" s="281"/>
      <c r="M74" s="178" t="s">
        <v>1088</v>
      </c>
      <c r="N74" s="178"/>
      <c r="O74" s="252"/>
      <c r="P74" s="252"/>
      <c r="Q74" s="253"/>
      <c r="R74" s="254"/>
      <c r="S74" s="254"/>
      <c r="T74" s="254"/>
      <c r="U74" s="254"/>
      <c r="V74" s="262"/>
      <c r="W74" s="198"/>
      <c r="X74" s="256">
        <v>5</v>
      </c>
      <c r="Y74" s="256">
        <v>0</v>
      </c>
      <c r="Z74" s="198" t="s">
        <v>498</v>
      </c>
      <c r="AA74" s="256">
        <f t="shared" ref="AA74:AA109" si="11">AD74*IF(Z74="Yes",1,0)</f>
        <v>0</v>
      </c>
      <c r="AB74" s="256"/>
      <c r="AC74" s="256">
        <v>0</v>
      </c>
      <c r="AD74" s="256">
        <f t="shared" si="3"/>
        <v>0</v>
      </c>
      <c r="AE74" s="257">
        <v>1</v>
      </c>
      <c r="AF74" s="256">
        <f t="shared" si="8"/>
        <v>0</v>
      </c>
      <c r="AG74" s="198" t="s">
        <v>189</v>
      </c>
      <c r="AH74" s="258">
        <f t="shared" si="10"/>
        <v>0</v>
      </c>
      <c r="AI74" s="256">
        <f t="shared" si="9"/>
        <v>0</v>
      </c>
      <c r="AJ74" s="198" t="s">
        <v>55</v>
      </c>
    </row>
    <row r="75" spans="1:36" ht="35.1" customHeight="1" x14ac:dyDescent="0.3">
      <c r="A75" s="244">
        <f>COUNT($A$3:$A74)+1</f>
        <v>73</v>
      </c>
      <c r="B75" s="244" t="s">
        <v>498</v>
      </c>
      <c r="C75" s="178" t="s">
        <v>1089</v>
      </c>
      <c r="D75" s="271"/>
      <c r="E75" s="263">
        <v>43277</v>
      </c>
      <c r="F75" s="198" t="s">
        <v>1165</v>
      </c>
      <c r="G75" s="198" t="s">
        <v>175</v>
      </c>
      <c r="H75" s="198" t="s">
        <v>1184</v>
      </c>
      <c r="I75" s="251" t="s">
        <v>1162</v>
      </c>
      <c r="J75" s="178" t="s">
        <v>1086</v>
      </c>
      <c r="K75" s="249" t="s">
        <v>1090</v>
      </c>
      <c r="L75" s="281"/>
      <c r="M75" s="178" t="s">
        <v>1091</v>
      </c>
      <c r="N75" s="178"/>
      <c r="O75" s="252"/>
      <c r="P75" s="252"/>
      <c r="Q75" s="253"/>
      <c r="R75" s="254"/>
      <c r="S75" s="254"/>
      <c r="T75" s="254"/>
      <c r="U75" s="254"/>
      <c r="V75" s="262"/>
      <c r="W75" s="198"/>
      <c r="X75" s="256">
        <v>5</v>
      </c>
      <c r="Y75" s="256">
        <v>0</v>
      </c>
      <c r="Z75" s="198" t="s">
        <v>498</v>
      </c>
      <c r="AA75" s="256">
        <f t="shared" si="11"/>
        <v>0</v>
      </c>
      <c r="AB75" s="256"/>
      <c r="AC75" s="256">
        <v>0</v>
      </c>
      <c r="AD75" s="256">
        <f t="shared" si="3"/>
        <v>0</v>
      </c>
      <c r="AE75" s="257">
        <v>1</v>
      </c>
      <c r="AF75" s="256">
        <f t="shared" si="8"/>
        <v>0</v>
      </c>
      <c r="AG75" s="198" t="s">
        <v>189</v>
      </c>
      <c r="AH75" s="258">
        <f t="shared" si="10"/>
        <v>0</v>
      </c>
      <c r="AI75" s="256">
        <f t="shared" si="9"/>
        <v>0</v>
      </c>
      <c r="AJ75" s="198" t="s">
        <v>55</v>
      </c>
    </row>
    <row r="76" spans="1:36" ht="35.1" customHeight="1" x14ac:dyDescent="0.3">
      <c r="A76" s="244">
        <f>COUNT($A$3:$A75)+1</f>
        <v>74</v>
      </c>
      <c r="B76" s="244" t="s">
        <v>498</v>
      </c>
      <c r="C76" s="178" t="s">
        <v>1089</v>
      </c>
      <c r="D76" s="271"/>
      <c r="E76" s="263">
        <v>43277</v>
      </c>
      <c r="F76" s="198" t="s">
        <v>1165</v>
      </c>
      <c r="G76" s="198" t="s">
        <v>175</v>
      </c>
      <c r="H76" s="198" t="s">
        <v>92</v>
      </c>
      <c r="I76" s="251" t="s">
        <v>1162</v>
      </c>
      <c r="J76" s="178" t="s">
        <v>1086</v>
      </c>
      <c r="K76" s="249" t="s">
        <v>1092</v>
      </c>
      <c r="L76" s="281"/>
      <c r="M76" s="178" t="s">
        <v>1093</v>
      </c>
      <c r="N76" s="178"/>
      <c r="O76" s="252"/>
      <c r="P76" s="252"/>
      <c r="Q76" s="253"/>
      <c r="R76" s="254"/>
      <c r="S76" s="254"/>
      <c r="T76" s="254"/>
      <c r="U76" s="254"/>
      <c r="V76" s="262"/>
      <c r="W76" s="198"/>
      <c r="X76" s="256">
        <v>5</v>
      </c>
      <c r="Y76" s="256">
        <v>0</v>
      </c>
      <c r="Z76" s="198" t="s">
        <v>498</v>
      </c>
      <c r="AA76" s="256">
        <f t="shared" si="11"/>
        <v>0</v>
      </c>
      <c r="AB76" s="256"/>
      <c r="AC76" s="256">
        <v>0</v>
      </c>
      <c r="AD76" s="256">
        <f t="shared" si="3"/>
        <v>0</v>
      </c>
      <c r="AE76" s="257">
        <v>1</v>
      </c>
      <c r="AF76" s="256">
        <f t="shared" si="8"/>
        <v>0</v>
      </c>
      <c r="AG76" s="198" t="s">
        <v>189</v>
      </c>
      <c r="AH76" s="258">
        <f t="shared" si="10"/>
        <v>0</v>
      </c>
      <c r="AI76" s="256">
        <f t="shared" si="9"/>
        <v>0</v>
      </c>
      <c r="AJ76" s="198" t="s">
        <v>55</v>
      </c>
    </row>
    <row r="77" spans="1:36" ht="35.1" customHeight="1" x14ac:dyDescent="0.3">
      <c r="A77" s="244">
        <f>COUNT($A$3:$A76)+1</f>
        <v>75</v>
      </c>
      <c r="B77" s="244" t="s">
        <v>498</v>
      </c>
      <c r="C77" s="178" t="s">
        <v>1089</v>
      </c>
      <c r="D77" s="271"/>
      <c r="E77" s="263">
        <v>44005</v>
      </c>
      <c r="F77" s="198" t="s">
        <v>1165</v>
      </c>
      <c r="G77" s="198" t="s">
        <v>175</v>
      </c>
      <c r="H77" s="198" t="s">
        <v>92</v>
      </c>
      <c r="I77" s="251" t="s">
        <v>1162</v>
      </c>
      <c r="J77" s="178" t="s">
        <v>1086</v>
      </c>
      <c r="K77" s="249" t="s">
        <v>1094</v>
      </c>
      <c r="L77" s="281"/>
      <c r="M77" s="178" t="s">
        <v>1095</v>
      </c>
      <c r="N77" s="178"/>
      <c r="O77" s="252"/>
      <c r="P77" s="252"/>
      <c r="Q77" s="253"/>
      <c r="R77" s="254"/>
      <c r="S77" s="254"/>
      <c r="T77" s="254"/>
      <c r="U77" s="254"/>
      <c r="V77" s="262"/>
      <c r="W77" s="198"/>
      <c r="X77" s="256">
        <v>5</v>
      </c>
      <c r="Y77" s="256">
        <v>0</v>
      </c>
      <c r="Z77" s="198" t="s">
        <v>498</v>
      </c>
      <c r="AA77" s="256">
        <f t="shared" si="11"/>
        <v>0</v>
      </c>
      <c r="AB77" s="256"/>
      <c r="AC77" s="256">
        <v>0</v>
      </c>
      <c r="AD77" s="256">
        <f t="shared" si="3"/>
        <v>0</v>
      </c>
      <c r="AE77" s="257">
        <v>1</v>
      </c>
      <c r="AF77" s="256">
        <f t="shared" si="8"/>
        <v>0</v>
      </c>
      <c r="AG77" s="198" t="s">
        <v>189</v>
      </c>
      <c r="AH77" s="258">
        <f t="shared" si="10"/>
        <v>0</v>
      </c>
      <c r="AI77" s="256">
        <f t="shared" si="9"/>
        <v>0</v>
      </c>
      <c r="AJ77" s="198" t="s">
        <v>55</v>
      </c>
    </row>
    <row r="78" spans="1:36" ht="35.1" customHeight="1" x14ac:dyDescent="0.3">
      <c r="A78" s="244">
        <f>COUNT($A$3:$A77)+1</f>
        <v>76</v>
      </c>
      <c r="B78" s="244" t="s">
        <v>498</v>
      </c>
      <c r="C78" s="178" t="s">
        <v>1089</v>
      </c>
      <c r="D78" s="263">
        <v>43277</v>
      </c>
      <c r="E78" s="271"/>
      <c r="F78" s="198" t="s">
        <v>1165</v>
      </c>
      <c r="G78" s="198" t="s">
        <v>175</v>
      </c>
      <c r="H78" s="198" t="s">
        <v>92</v>
      </c>
      <c r="I78" s="251" t="s">
        <v>1162</v>
      </c>
      <c r="J78" s="178" t="s">
        <v>1086</v>
      </c>
      <c r="K78" s="249" t="s">
        <v>1096</v>
      </c>
      <c r="L78" s="281"/>
      <c r="M78" s="178" t="s">
        <v>1093</v>
      </c>
      <c r="N78" s="178"/>
      <c r="O78" s="252"/>
      <c r="P78" s="252"/>
      <c r="Q78" s="253"/>
      <c r="R78" s="254"/>
      <c r="S78" s="254"/>
      <c r="T78" s="254"/>
      <c r="U78" s="254"/>
      <c r="V78" s="262"/>
      <c r="W78" s="198"/>
      <c r="X78" s="256">
        <v>5</v>
      </c>
      <c r="Y78" s="256">
        <v>0</v>
      </c>
      <c r="Z78" s="198" t="s">
        <v>498</v>
      </c>
      <c r="AA78" s="256">
        <f t="shared" si="11"/>
        <v>0</v>
      </c>
      <c r="AB78" s="256"/>
      <c r="AC78" s="256">
        <v>0</v>
      </c>
      <c r="AD78" s="256">
        <f t="shared" si="3"/>
        <v>0</v>
      </c>
      <c r="AE78" s="257">
        <v>1</v>
      </c>
      <c r="AF78" s="256">
        <f t="shared" si="8"/>
        <v>0</v>
      </c>
      <c r="AG78" s="198" t="s">
        <v>189</v>
      </c>
      <c r="AH78" s="258">
        <f t="shared" si="10"/>
        <v>0</v>
      </c>
      <c r="AI78" s="256">
        <f t="shared" si="9"/>
        <v>0</v>
      </c>
      <c r="AJ78" s="198" t="s">
        <v>55</v>
      </c>
    </row>
    <row r="79" spans="1:36" ht="35.1" customHeight="1" x14ac:dyDescent="0.3">
      <c r="A79" s="244">
        <f>COUNT($A$3:$A78)+1</f>
        <v>77</v>
      </c>
      <c r="B79" s="244" t="s">
        <v>498</v>
      </c>
      <c r="C79" s="178" t="s">
        <v>1089</v>
      </c>
      <c r="D79" s="271"/>
      <c r="E79" s="263">
        <v>43277</v>
      </c>
      <c r="F79" s="198" t="s">
        <v>1165</v>
      </c>
      <c r="G79" s="198" t="s">
        <v>175</v>
      </c>
      <c r="H79" s="198" t="s">
        <v>1184</v>
      </c>
      <c r="I79" s="251" t="s">
        <v>1162</v>
      </c>
      <c r="J79" s="178" t="s">
        <v>1086</v>
      </c>
      <c r="K79" s="249" t="s">
        <v>1097</v>
      </c>
      <c r="L79" s="281"/>
      <c r="M79" s="178" t="s">
        <v>1098</v>
      </c>
      <c r="N79" s="178"/>
      <c r="O79" s="252"/>
      <c r="P79" s="252"/>
      <c r="Q79" s="253"/>
      <c r="R79" s="254"/>
      <c r="S79" s="254"/>
      <c r="T79" s="254"/>
      <c r="U79" s="254"/>
      <c r="V79" s="262"/>
      <c r="W79" s="198"/>
      <c r="X79" s="256">
        <v>5</v>
      </c>
      <c r="Y79" s="256">
        <v>0</v>
      </c>
      <c r="Z79" s="198" t="s">
        <v>498</v>
      </c>
      <c r="AA79" s="256">
        <f t="shared" si="11"/>
        <v>0</v>
      </c>
      <c r="AB79" s="256"/>
      <c r="AC79" s="256">
        <v>0</v>
      </c>
      <c r="AD79" s="256">
        <f t="shared" si="3"/>
        <v>0</v>
      </c>
      <c r="AE79" s="257">
        <v>1</v>
      </c>
      <c r="AF79" s="256">
        <f t="shared" si="8"/>
        <v>0</v>
      </c>
      <c r="AG79" s="198" t="s">
        <v>189</v>
      </c>
      <c r="AH79" s="258">
        <f t="shared" si="10"/>
        <v>0</v>
      </c>
      <c r="AI79" s="256">
        <f t="shared" si="9"/>
        <v>0</v>
      </c>
      <c r="AJ79" s="198" t="s">
        <v>55</v>
      </c>
    </row>
    <row r="80" spans="1:36" ht="35.1" customHeight="1" x14ac:dyDescent="0.3">
      <c r="A80" s="244">
        <f>COUNT($A$3:$A79)+1</f>
        <v>78</v>
      </c>
      <c r="B80" s="244" t="s">
        <v>498</v>
      </c>
      <c r="C80" s="178" t="s">
        <v>1089</v>
      </c>
      <c r="D80" s="271"/>
      <c r="E80" s="263">
        <v>43277</v>
      </c>
      <c r="F80" s="198" t="s">
        <v>1165</v>
      </c>
      <c r="G80" s="198" t="s">
        <v>175</v>
      </c>
      <c r="H80" s="198" t="s">
        <v>1184</v>
      </c>
      <c r="I80" s="251" t="s">
        <v>1162</v>
      </c>
      <c r="J80" s="178" t="s">
        <v>1086</v>
      </c>
      <c r="K80" s="249" t="s">
        <v>1099</v>
      </c>
      <c r="L80" s="281"/>
      <c r="M80" s="178" t="s">
        <v>1093</v>
      </c>
      <c r="N80" s="178"/>
      <c r="O80" s="252"/>
      <c r="P80" s="252"/>
      <c r="Q80" s="253"/>
      <c r="R80" s="254"/>
      <c r="S80" s="254"/>
      <c r="T80" s="254"/>
      <c r="U80" s="254"/>
      <c r="V80" s="262"/>
      <c r="W80" s="198"/>
      <c r="X80" s="256">
        <v>5</v>
      </c>
      <c r="Y80" s="256">
        <v>0</v>
      </c>
      <c r="Z80" s="198" t="s">
        <v>498</v>
      </c>
      <c r="AA80" s="256">
        <f t="shared" si="11"/>
        <v>0</v>
      </c>
      <c r="AB80" s="256"/>
      <c r="AC80" s="256">
        <v>0</v>
      </c>
      <c r="AD80" s="256">
        <f t="shared" si="3"/>
        <v>0</v>
      </c>
      <c r="AE80" s="257">
        <v>1</v>
      </c>
      <c r="AF80" s="256">
        <f t="shared" si="8"/>
        <v>0</v>
      </c>
      <c r="AG80" s="198" t="s">
        <v>189</v>
      </c>
      <c r="AH80" s="258">
        <f t="shared" si="10"/>
        <v>0</v>
      </c>
      <c r="AI80" s="256">
        <f t="shared" si="9"/>
        <v>0</v>
      </c>
      <c r="AJ80" s="198" t="s">
        <v>55</v>
      </c>
    </row>
    <row r="81" spans="1:36" ht="35.1" customHeight="1" x14ac:dyDescent="0.3">
      <c r="A81" s="244">
        <f>COUNT($A$3:$A80)+1</f>
        <v>79</v>
      </c>
      <c r="B81" s="244" t="s">
        <v>498</v>
      </c>
      <c r="C81" s="178" t="s">
        <v>1089</v>
      </c>
      <c r="D81" s="271"/>
      <c r="E81" s="263">
        <v>44005</v>
      </c>
      <c r="F81" s="198" t="s">
        <v>1165</v>
      </c>
      <c r="G81" s="198" t="s">
        <v>175</v>
      </c>
      <c r="H81" s="198" t="s">
        <v>92</v>
      </c>
      <c r="I81" s="251" t="s">
        <v>1162</v>
      </c>
      <c r="J81" s="178" t="s">
        <v>1086</v>
      </c>
      <c r="K81" s="249" t="s">
        <v>1100</v>
      </c>
      <c r="L81" s="281"/>
      <c r="M81" s="178" t="s">
        <v>1101</v>
      </c>
      <c r="N81" s="178"/>
      <c r="O81" s="252"/>
      <c r="P81" s="252"/>
      <c r="Q81" s="253"/>
      <c r="R81" s="254"/>
      <c r="S81" s="254"/>
      <c r="T81" s="254"/>
      <c r="U81" s="254"/>
      <c r="V81" s="262"/>
      <c r="W81" s="198"/>
      <c r="X81" s="256">
        <v>5</v>
      </c>
      <c r="Y81" s="256">
        <v>0</v>
      </c>
      <c r="Z81" s="198" t="s">
        <v>498</v>
      </c>
      <c r="AA81" s="256">
        <f t="shared" si="11"/>
        <v>0</v>
      </c>
      <c r="AB81" s="256"/>
      <c r="AC81" s="256">
        <v>0</v>
      </c>
      <c r="AD81" s="256">
        <f t="shared" si="3"/>
        <v>0</v>
      </c>
      <c r="AE81" s="257">
        <v>1</v>
      </c>
      <c r="AF81" s="256">
        <f t="shared" si="8"/>
        <v>0</v>
      </c>
      <c r="AG81" s="198" t="s">
        <v>189</v>
      </c>
      <c r="AH81" s="258">
        <f t="shared" si="10"/>
        <v>0</v>
      </c>
      <c r="AI81" s="256">
        <f t="shared" si="9"/>
        <v>0</v>
      </c>
      <c r="AJ81" s="198" t="s">
        <v>55</v>
      </c>
    </row>
    <row r="82" spans="1:36" ht="35.1" customHeight="1" x14ac:dyDescent="0.3">
      <c r="A82" s="244">
        <f>COUNT($A$3:$A81)+1</f>
        <v>80</v>
      </c>
      <c r="B82" s="244" t="s">
        <v>498</v>
      </c>
      <c r="C82" s="178" t="s">
        <v>1089</v>
      </c>
      <c r="D82" s="263">
        <v>43277</v>
      </c>
      <c r="E82" s="271"/>
      <c r="F82" s="198" t="s">
        <v>1165</v>
      </c>
      <c r="G82" s="198" t="s">
        <v>175</v>
      </c>
      <c r="H82" s="198" t="s">
        <v>92</v>
      </c>
      <c r="I82" s="251" t="s">
        <v>1162</v>
      </c>
      <c r="J82" s="178" t="s">
        <v>1086</v>
      </c>
      <c r="K82" s="249" t="s">
        <v>1102</v>
      </c>
      <c r="L82" s="281"/>
      <c r="M82" s="178" t="s">
        <v>1098</v>
      </c>
      <c r="N82" s="178"/>
      <c r="O82" s="252"/>
      <c r="P82" s="252"/>
      <c r="Q82" s="253"/>
      <c r="R82" s="254"/>
      <c r="S82" s="254"/>
      <c r="T82" s="254"/>
      <c r="U82" s="254"/>
      <c r="V82" s="262"/>
      <c r="W82" s="198"/>
      <c r="X82" s="256">
        <v>5</v>
      </c>
      <c r="Y82" s="256">
        <v>0</v>
      </c>
      <c r="Z82" s="198" t="s">
        <v>498</v>
      </c>
      <c r="AA82" s="256">
        <f t="shared" si="11"/>
        <v>0</v>
      </c>
      <c r="AB82" s="256"/>
      <c r="AC82" s="256">
        <v>0</v>
      </c>
      <c r="AD82" s="256">
        <f t="shared" si="3"/>
        <v>0</v>
      </c>
      <c r="AE82" s="257">
        <v>1</v>
      </c>
      <c r="AF82" s="256">
        <f t="shared" si="8"/>
        <v>0</v>
      </c>
      <c r="AG82" s="198" t="s">
        <v>189</v>
      </c>
      <c r="AH82" s="258">
        <f t="shared" si="10"/>
        <v>0</v>
      </c>
      <c r="AI82" s="256">
        <f t="shared" si="9"/>
        <v>0</v>
      </c>
      <c r="AJ82" s="198" t="s">
        <v>55</v>
      </c>
    </row>
    <row r="83" spans="1:36" ht="35.1" customHeight="1" x14ac:dyDescent="0.3">
      <c r="A83" s="244">
        <f>COUNT($A$3:$A82)+1</f>
        <v>81</v>
      </c>
      <c r="B83" s="244" t="s">
        <v>498</v>
      </c>
      <c r="C83" s="178" t="s">
        <v>1089</v>
      </c>
      <c r="D83" s="271"/>
      <c r="E83" s="263">
        <v>43277</v>
      </c>
      <c r="F83" s="198" t="s">
        <v>1165</v>
      </c>
      <c r="G83" s="198" t="s">
        <v>175</v>
      </c>
      <c r="H83" s="198" t="s">
        <v>92</v>
      </c>
      <c r="I83" s="251" t="s">
        <v>1162</v>
      </c>
      <c r="J83" s="178" t="s">
        <v>1086</v>
      </c>
      <c r="K83" s="249" t="s">
        <v>1103</v>
      </c>
      <c r="L83" s="281"/>
      <c r="M83" s="178" t="s">
        <v>1098</v>
      </c>
      <c r="N83" s="178"/>
      <c r="O83" s="252"/>
      <c r="P83" s="252"/>
      <c r="Q83" s="253"/>
      <c r="R83" s="254"/>
      <c r="S83" s="254"/>
      <c r="T83" s="254"/>
      <c r="U83" s="254"/>
      <c r="V83" s="262"/>
      <c r="W83" s="198"/>
      <c r="X83" s="256">
        <v>5</v>
      </c>
      <c r="Y83" s="256">
        <v>0</v>
      </c>
      <c r="Z83" s="198" t="s">
        <v>498</v>
      </c>
      <c r="AA83" s="256">
        <f t="shared" si="11"/>
        <v>0</v>
      </c>
      <c r="AB83" s="256"/>
      <c r="AC83" s="256">
        <v>0</v>
      </c>
      <c r="AD83" s="256">
        <f t="shared" si="3"/>
        <v>0</v>
      </c>
      <c r="AE83" s="257">
        <v>1</v>
      </c>
      <c r="AF83" s="256">
        <f t="shared" si="8"/>
        <v>0</v>
      </c>
      <c r="AG83" s="198" t="s">
        <v>189</v>
      </c>
      <c r="AH83" s="258">
        <f t="shared" si="10"/>
        <v>0</v>
      </c>
      <c r="AI83" s="256">
        <f t="shared" si="9"/>
        <v>0</v>
      </c>
      <c r="AJ83" s="198" t="s">
        <v>55</v>
      </c>
    </row>
    <row r="84" spans="1:36" ht="35.1" customHeight="1" x14ac:dyDescent="0.3">
      <c r="A84" s="244">
        <f>COUNT($A$3:$A83)+1</f>
        <v>82</v>
      </c>
      <c r="B84" s="244" t="s">
        <v>498</v>
      </c>
      <c r="C84" s="178" t="s">
        <v>1089</v>
      </c>
      <c r="D84" s="271"/>
      <c r="E84" s="263">
        <v>43277</v>
      </c>
      <c r="F84" s="198" t="s">
        <v>1165</v>
      </c>
      <c r="G84" s="198" t="s">
        <v>175</v>
      </c>
      <c r="H84" s="198" t="s">
        <v>92</v>
      </c>
      <c r="I84" s="251" t="s">
        <v>1162</v>
      </c>
      <c r="J84" s="178" t="s">
        <v>1086</v>
      </c>
      <c r="K84" s="249" t="s">
        <v>1104</v>
      </c>
      <c r="L84" s="281"/>
      <c r="M84" s="178" t="s">
        <v>1098</v>
      </c>
      <c r="N84" s="178"/>
      <c r="O84" s="252"/>
      <c r="P84" s="252"/>
      <c r="Q84" s="253"/>
      <c r="R84" s="254"/>
      <c r="S84" s="254"/>
      <c r="T84" s="254"/>
      <c r="U84" s="254"/>
      <c r="V84" s="262"/>
      <c r="W84" s="198"/>
      <c r="X84" s="256">
        <v>5</v>
      </c>
      <c r="Y84" s="256">
        <v>0</v>
      </c>
      <c r="Z84" s="198" t="s">
        <v>498</v>
      </c>
      <c r="AA84" s="256">
        <f t="shared" si="11"/>
        <v>0</v>
      </c>
      <c r="AB84" s="256"/>
      <c r="AC84" s="256">
        <v>0</v>
      </c>
      <c r="AD84" s="256">
        <f t="shared" si="3"/>
        <v>0</v>
      </c>
      <c r="AE84" s="257">
        <v>1</v>
      </c>
      <c r="AF84" s="256">
        <f t="shared" si="8"/>
        <v>0</v>
      </c>
      <c r="AG84" s="198" t="s">
        <v>189</v>
      </c>
      <c r="AH84" s="258">
        <f t="shared" si="10"/>
        <v>0</v>
      </c>
      <c r="AI84" s="256">
        <f t="shared" si="9"/>
        <v>0</v>
      </c>
      <c r="AJ84" s="198" t="s">
        <v>55</v>
      </c>
    </row>
    <row r="85" spans="1:36" ht="35.1" customHeight="1" x14ac:dyDescent="0.3">
      <c r="A85" s="244">
        <f>COUNT($A$3:$A84)+1</f>
        <v>83</v>
      </c>
      <c r="B85" s="244" t="s">
        <v>498</v>
      </c>
      <c r="C85" s="178" t="s">
        <v>931</v>
      </c>
      <c r="D85" s="271"/>
      <c r="E85" s="263">
        <v>43277</v>
      </c>
      <c r="F85" s="198" t="s">
        <v>1165</v>
      </c>
      <c r="G85" s="198" t="s">
        <v>175</v>
      </c>
      <c r="H85" s="198" t="s">
        <v>37</v>
      </c>
      <c r="I85" s="251" t="s">
        <v>1162</v>
      </c>
      <c r="J85" s="178" t="s">
        <v>1105</v>
      </c>
      <c r="K85" s="249" t="s">
        <v>1106</v>
      </c>
      <c r="L85" s="251" t="s">
        <v>1162</v>
      </c>
      <c r="M85" s="178" t="s">
        <v>1083</v>
      </c>
      <c r="N85" s="178"/>
      <c r="O85" s="252"/>
      <c r="P85" s="252"/>
      <c r="Q85" s="253"/>
      <c r="R85" s="254"/>
      <c r="S85" s="254"/>
      <c r="T85" s="254"/>
      <c r="U85" s="254"/>
      <c r="V85" s="262"/>
      <c r="W85" s="198"/>
      <c r="X85" s="256">
        <v>5</v>
      </c>
      <c r="Y85" s="256">
        <v>0</v>
      </c>
      <c r="Z85" s="198" t="s">
        <v>498</v>
      </c>
      <c r="AA85" s="256">
        <f t="shared" si="11"/>
        <v>0</v>
      </c>
      <c r="AB85" s="256"/>
      <c r="AC85" s="256">
        <v>0</v>
      </c>
      <c r="AD85" s="256">
        <f t="shared" si="3"/>
        <v>0</v>
      </c>
      <c r="AE85" s="257">
        <v>1</v>
      </c>
      <c r="AF85" s="256">
        <f t="shared" si="8"/>
        <v>0</v>
      </c>
      <c r="AG85" s="198" t="s">
        <v>189</v>
      </c>
      <c r="AH85" s="258">
        <f t="shared" si="10"/>
        <v>0</v>
      </c>
      <c r="AI85" s="256">
        <f t="shared" si="9"/>
        <v>0</v>
      </c>
      <c r="AJ85" s="198" t="s">
        <v>55</v>
      </c>
    </row>
    <row r="86" spans="1:36" ht="35.1" customHeight="1" x14ac:dyDescent="0.3">
      <c r="A86" s="244">
        <f>COUNT($A$3:$A85)+1</f>
        <v>84</v>
      </c>
      <c r="B86" s="244" t="s">
        <v>498</v>
      </c>
      <c r="C86" s="178" t="s">
        <v>931</v>
      </c>
      <c r="D86" s="271"/>
      <c r="E86" s="263">
        <v>43277</v>
      </c>
      <c r="F86" s="198" t="s">
        <v>1165</v>
      </c>
      <c r="G86" s="198" t="s">
        <v>175</v>
      </c>
      <c r="H86" s="198" t="s">
        <v>37</v>
      </c>
      <c r="I86" s="251" t="s">
        <v>1162</v>
      </c>
      <c r="J86" s="178" t="s">
        <v>1105</v>
      </c>
      <c r="K86" s="249" t="s">
        <v>1107</v>
      </c>
      <c r="L86" s="251" t="s">
        <v>1162</v>
      </c>
      <c r="M86" s="178" t="s">
        <v>942</v>
      </c>
      <c r="N86" s="178"/>
      <c r="O86" s="252"/>
      <c r="P86" s="252"/>
      <c r="Q86" s="253"/>
      <c r="R86" s="254"/>
      <c r="S86" s="254"/>
      <c r="T86" s="254"/>
      <c r="U86" s="254"/>
      <c r="V86" s="262"/>
      <c r="W86" s="198"/>
      <c r="X86" s="256">
        <v>5</v>
      </c>
      <c r="Y86" s="256">
        <v>0</v>
      </c>
      <c r="Z86" s="198" t="s">
        <v>498</v>
      </c>
      <c r="AA86" s="256">
        <f t="shared" si="11"/>
        <v>0</v>
      </c>
      <c r="AB86" s="256"/>
      <c r="AC86" s="256">
        <v>0</v>
      </c>
      <c r="AD86" s="256">
        <f t="shared" si="3"/>
        <v>0</v>
      </c>
      <c r="AE86" s="257">
        <v>1</v>
      </c>
      <c r="AF86" s="256">
        <f t="shared" si="8"/>
        <v>0</v>
      </c>
      <c r="AG86" s="198" t="s">
        <v>189</v>
      </c>
      <c r="AH86" s="258">
        <f t="shared" si="10"/>
        <v>0</v>
      </c>
      <c r="AI86" s="256">
        <f t="shared" si="9"/>
        <v>0</v>
      </c>
      <c r="AJ86" s="198" t="s">
        <v>55</v>
      </c>
    </row>
    <row r="87" spans="1:36" ht="35.1" customHeight="1" x14ac:dyDescent="0.3">
      <c r="A87" s="244">
        <f>COUNT($A$3:$A86)+1</f>
        <v>85</v>
      </c>
      <c r="B87" s="244" t="s">
        <v>498</v>
      </c>
      <c r="C87" s="178" t="s">
        <v>931</v>
      </c>
      <c r="D87" s="271"/>
      <c r="E87" s="263">
        <v>44005</v>
      </c>
      <c r="F87" s="198" t="s">
        <v>1165</v>
      </c>
      <c r="G87" s="198" t="s">
        <v>175</v>
      </c>
      <c r="H87" s="198" t="s">
        <v>37</v>
      </c>
      <c r="I87" s="251" t="s">
        <v>1162</v>
      </c>
      <c r="J87" s="178" t="s">
        <v>1105</v>
      </c>
      <c r="K87" s="249" t="s">
        <v>1108</v>
      </c>
      <c r="L87" s="251" t="s">
        <v>1162</v>
      </c>
      <c r="M87" s="178" t="s">
        <v>1109</v>
      </c>
      <c r="N87" s="178"/>
      <c r="O87" s="252"/>
      <c r="P87" s="252"/>
      <c r="Q87" s="253"/>
      <c r="R87" s="254"/>
      <c r="S87" s="254"/>
      <c r="T87" s="254"/>
      <c r="U87" s="254"/>
      <c r="V87" s="262"/>
      <c r="W87" s="198"/>
      <c r="X87" s="256">
        <v>5</v>
      </c>
      <c r="Y87" s="256">
        <v>0</v>
      </c>
      <c r="Z87" s="198" t="s">
        <v>498</v>
      </c>
      <c r="AA87" s="256">
        <f t="shared" si="11"/>
        <v>0</v>
      </c>
      <c r="AB87" s="256"/>
      <c r="AC87" s="256">
        <v>0</v>
      </c>
      <c r="AD87" s="256">
        <f t="shared" si="3"/>
        <v>0</v>
      </c>
      <c r="AE87" s="257">
        <v>1</v>
      </c>
      <c r="AF87" s="256">
        <f t="shared" si="8"/>
        <v>0</v>
      </c>
      <c r="AG87" s="198" t="s">
        <v>189</v>
      </c>
      <c r="AH87" s="258">
        <f t="shared" si="10"/>
        <v>0</v>
      </c>
      <c r="AI87" s="256">
        <f t="shared" si="9"/>
        <v>0</v>
      </c>
      <c r="AJ87" s="198" t="s">
        <v>55</v>
      </c>
    </row>
    <row r="88" spans="1:36" ht="35.1" customHeight="1" x14ac:dyDescent="0.3">
      <c r="A88" s="244">
        <f>COUNT($A$3:$A87)+1</f>
        <v>86</v>
      </c>
      <c r="B88" s="244" t="s">
        <v>498</v>
      </c>
      <c r="C88" s="178" t="s">
        <v>839</v>
      </c>
      <c r="D88" s="271"/>
      <c r="E88" s="263">
        <v>43277</v>
      </c>
      <c r="F88" s="198" t="s">
        <v>1165</v>
      </c>
      <c r="G88" s="198" t="s">
        <v>175</v>
      </c>
      <c r="H88" s="198" t="s">
        <v>1150</v>
      </c>
      <c r="I88" s="251" t="s">
        <v>1162</v>
      </c>
      <c r="J88" s="178" t="s">
        <v>1110</v>
      </c>
      <c r="K88" s="249" t="s">
        <v>1111</v>
      </c>
      <c r="L88" s="251" t="s">
        <v>1162</v>
      </c>
      <c r="M88" s="178" t="s">
        <v>951</v>
      </c>
      <c r="N88" s="178"/>
      <c r="O88" s="252"/>
      <c r="P88" s="252"/>
      <c r="Q88" s="253"/>
      <c r="R88" s="254"/>
      <c r="S88" s="254"/>
      <c r="T88" s="254"/>
      <c r="U88" s="254"/>
      <c r="V88" s="262"/>
      <c r="W88" s="198"/>
      <c r="X88" s="256">
        <v>5</v>
      </c>
      <c r="Y88" s="256">
        <v>0</v>
      </c>
      <c r="Z88" s="198" t="s">
        <v>498</v>
      </c>
      <c r="AA88" s="256">
        <f t="shared" si="11"/>
        <v>0</v>
      </c>
      <c r="AB88" s="256"/>
      <c r="AC88" s="256">
        <v>0</v>
      </c>
      <c r="AD88" s="256">
        <f t="shared" si="3"/>
        <v>0</v>
      </c>
      <c r="AE88" s="257">
        <v>1</v>
      </c>
      <c r="AF88" s="256">
        <f t="shared" si="8"/>
        <v>0</v>
      </c>
      <c r="AG88" s="198" t="s">
        <v>189</v>
      </c>
      <c r="AH88" s="258">
        <f t="shared" si="10"/>
        <v>0</v>
      </c>
      <c r="AI88" s="256">
        <f t="shared" si="9"/>
        <v>0</v>
      </c>
      <c r="AJ88" s="198" t="s">
        <v>55</v>
      </c>
    </row>
    <row r="89" spans="1:36" ht="35.1" customHeight="1" x14ac:dyDescent="0.3">
      <c r="A89" s="244">
        <f>COUNT($A$3:$A88)+1</f>
        <v>87</v>
      </c>
      <c r="B89" s="244" t="s">
        <v>498</v>
      </c>
      <c r="C89" s="178" t="s">
        <v>839</v>
      </c>
      <c r="D89" s="271"/>
      <c r="E89" s="263">
        <v>43277</v>
      </c>
      <c r="F89" s="198" t="s">
        <v>1165</v>
      </c>
      <c r="G89" s="198" t="s">
        <v>175</v>
      </c>
      <c r="H89" s="198" t="s">
        <v>1150</v>
      </c>
      <c r="I89" s="251" t="s">
        <v>1162</v>
      </c>
      <c r="J89" s="178" t="s">
        <v>1110</v>
      </c>
      <c r="K89" s="249" t="s">
        <v>1112</v>
      </c>
      <c r="L89" s="251" t="s">
        <v>1162</v>
      </c>
      <c r="M89" s="178" t="s">
        <v>951</v>
      </c>
      <c r="N89" s="178"/>
      <c r="O89" s="252"/>
      <c r="P89" s="252"/>
      <c r="Q89" s="253"/>
      <c r="R89" s="254"/>
      <c r="S89" s="254"/>
      <c r="T89" s="254"/>
      <c r="U89" s="254"/>
      <c r="V89" s="262"/>
      <c r="W89" s="198"/>
      <c r="X89" s="256">
        <v>5</v>
      </c>
      <c r="Y89" s="256">
        <v>0</v>
      </c>
      <c r="Z89" s="198" t="s">
        <v>498</v>
      </c>
      <c r="AA89" s="256">
        <f t="shared" si="11"/>
        <v>0</v>
      </c>
      <c r="AB89" s="256"/>
      <c r="AC89" s="256">
        <v>0</v>
      </c>
      <c r="AD89" s="256">
        <f t="shared" si="3"/>
        <v>0</v>
      </c>
      <c r="AE89" s="257">
        <v>1</v>
      </c>
      <c r="AF89" s="256">
        <f t="shared" si="8"/>
        <v>0</v>
      </c>
      <c r="AG89" s="198" t="s">
        <v>189</v>
      </c>
      <c r="AH89" s="258">
        <f t="shared" si="10"/>
        <v>0</v>
      </c>
      <c r="AI89" s="256">
        <f t="shared" si="9"/>
        <v>0</v>
      </c>
      <c r="AJ89" s="198" t="s">
        <v>55</v>
      </c>
    </row>
    <row r="90" spans="1:36" ht="35.1" customHeight="1" x14ac:dyDescent="0.3">
      <c r="A90" s="244">
        <f>COUNT($A$3:$A89)+1</f>
        <v>88</v>
      </c>
      <c r="B90" s="244" t="s">
        <v>498</v>
      </c>
      <c r="C90" s="178" t="s">
        <v>931</v>
      </c>
      <c r="D90" s="271"/>
      <c r="E90" s="263">
        <v>43277</v>
      </c>
      <c r="F90" s="198" t="s">
        <v>1165</v>
      </c>
      <c r="G90" s="198" t="s">
        <v>175</v>
      </c>
      <c r="H90" s="198" t="s">
        <v>1150</v>
      </c>
      <c r="I90" s="251" t="s">
        <v>1162</v>
      </c>
      <c r="J90" s="178" t="s">
        <v>1110</v>
      </c>
      <c r="K90" s="280" t="s">
        <v>1113</v>
      </c>
      <c r="L90" s="249" t="s">
        <v>981</v>
      </c>
      <c r="M90" s="178" t="s">
        <v>1114</v>
      </c>
      <c r="N90" s="178"/>
      <c r="O90" s="252"/>
      <c r="P90" s="252"/>
      <c r="Q90" s="253"/>
      <c r="R90" s="254"/>
      <c r="S90" s="254"/>
      <c r="T90" s="254"/>
      <c r="U90" s="254"/>
      <c r="V90" s="262"/>
      <c r="W90" s="198"/>
      <c r="X90" s="256">
        <v>5</v>
      </c>
      <c r="Y90" s="256">
        <v>0</v>
      </c>
      <c r="Z90" s="198" t="s">
        <v>498</v>
      </c>
      <c r="AA90" s="256">
        <f t="shared" si="11"/>
        <v>0</v>
      </c>
      <c r="AB90" s="256"/>
      <c r="AC90" s="256">
        <v>0</v>
      </c>
      <c r="AD90" s="256">
        <f t="shared" si="3"/>
        <v>0</v>
      </c>
      <c r="AE90" s="257">
        <v>1</v>
      </c>
      <c r="AF90" s="256">
        <f t="shared" si="8"/>
        <v>0</v>
      </c>
      <c r="AG90" s="198" t="s">
        <v>189</v>
      </c>
      <c r="AH90" s="258">
        <f t="shared" si="10"/>
        <v>0</v>
      </c>
      <c r="AI90" s="256">
        <f t="shared" si="9"/>
        <v>0</v>
      </c>
      <c r="AJ90" s="198" t="s">
        <v>55</v>
      </c>
    </row>
    <row r="91" spans="1:36" ht="35.1" customHeight="1" x14ac:dyDescent="0.3">
      <c r="A91" s="244">
        <f>COUNT($A$3:$A90)+1</f>
        <v>89</v>
      </c>
      <c r="B91" s="244" t="s">
        <v>498</v>
      </c>
      <c r="C91" s="178" t="s">
        <v>931</v>
      </c>
      <c r="D91" s="271"/>
      <c r="E91" s="263">
        <v>43277</v>
      </c>
      <c r="F91" s="198" t="s">
        <v>1165</v>
      </c>
      <c r="G91" s="198" t="s">
        <v>175</v>
      </c>
      <c r="H91" s="198" t="s">
        <v>1150</v>
      </c>
      <c r="I91" s="251" t="s">
        <v>1162</v>
      </c>
      <c r="J91" s="178" t="s">
        <v>1110</v>
      </c>
      <c r="K91" s="280" t="s">
        <v>1115</v>
      </c>
      <c r="L91" s="249" t="s">
        <v>981</v>
      </c>
      <c r="M91" s="178" t="s">
        <v>948</v>
      </c>
      <c r="N91" s="178"/>
      <c r="O91" s="252"/>
      <c r="P91" s="252"/>
      <c r="Q91" s="253"/>
      <c r="R91" s="254"/>
      <c r="S91" s="254"/>
      <c r="T91" s="254"/>
      <c r="U91" s="254"/>
      <c r="V91" s="262"/>
      <c r="W91" s="198"/>
      <c r="X91" s="256">
        <v>5</v>
      </c>
      <c r="Y91" s="256">
        <v>0</v>
      </c>
      <c r="Z91" s="198" t="s">
        <v>498</v>
      </c>
      <c r="AA91" s="256">
        <f t="shared" si="11"/>
        <v>0</v>
      </c>
      <c r="AB91" s="256"/>
      <c r="AC91" s="256">
        <v>0</v>
      </c>
      <c r="AD91" s="256">
        <f t="shared" si="3"/>
        <v>0</v>
      </c>
      <c r="AE91" s="257">
        <v>1</v>
      </c>
      <c r="AF91" s="256">
        <f t="shared" si="8"/>
        <v>0</v>
      </c>
      <c r="AG91" s="198" t="s">
        <v>189</v>
      </c>
      <c r="AH91" s="258">
        <f t="shared" si="10"/>
        <v>0</v>
      </c>
      <c r="AI91" s="256">
        <f t="shared" si="9"/>
        <v>0</v>
      </c>
      <c r="AJ91" s="198" t="s">
        <v>55</v>
      </c>
    </row>
    <row r="92" spans="1:36" ht="35.1" customHeight="1" x14ac:dyDescent="0.3">
      <c r="A92" s="244">
        <f>COUNT($A$3:$A91)+1</f>
        <v>90</v>
      </c>
      <c r="B92" s="244" t="s">
        <v>498</v>
      </c>
      <c r="C92" s="178" t="s">
        <v>931</v>
      </c>
      <c r="D92" s="271"/>
      <c r="E92" s="263">
        <v>43277</v>
      </c>
      <c r="F92" s="198" t="s">
        <v>1165</v>
      </c>
      <c r="G92" s="198" t="s">
        <v>175</v>
      </c>
      <c r="H92" s="198" t="s">
        <v>1150</v>
      </c>
      <c r="I92" s="251" t="s">
        <v>1162</v>
      </c>
      <c r="J92" s="178" t="s">
        <v>1110</v>
      </c>
      <c r="K92" s="249" t="s">
        <v>1116</v>
      </c>
      <c r="L92" s="249" t="s">
        <v>1191</v>
      </c>
      <c r="M92" s="178" t="s">
        <v>951</v>
      </c>
      <c r="N92" s="178"/>
      <c r="O92" s="252"/>
      <c r="P92" s="252"/>
      <c r="Q92" s="253"/>
      <c r="R92" s="254"/>
      <c r="S92" s="254"/>
      <c r="T92" s="254"/>
      <c r="U92" s="254"/>
      <c r="V92" s="262"/>
      <c r="W92" s="198"/>
      <c r="X92" s="256">
        <v>5</v>
      </c>
      <c r="Y92" s="256">
        <v>0</v>
      </c>
      <c r="Z92" s="198" t="s">
        <v>498</v>
      </c>
      <c r="AA92" s="256">
        <f t="shared" si="11"/>
        <v>0</v>
      </c>
      <c r="AB92" s="256"/>
      <c r="AC92" s="256">
        <v>0</v>
      </c>
      <c r="AD92" s="256">
        <f t="shared" si="3"/>
        <v>0</v>
      </c>
      <c r="AE92" s="257">
        <v>1</v>
      </c>
      <c r="AF92" s="256">
        <f t="shared" si="8"/>
        <v>0</v>
      </c>
      <c r="AG92" s="198" t="s">
        <v>189</v>
      </c>
      <c r="AH92" s="258">
        <f t="shared" si="10"/>
        <v>0</v>
      </c>
      <c r="AI92" s="256">
        <f t="shared" si="9"/>
        <v>0</v>
      </c>
      <c r="AJ92" s="198" t="s">
        <v>55</v>
      </c>
    </row>
    <row r="93" spans="1:36" ht="35.1" customHeight="1" x14ac:dyDescent="0.3">
      <c r="A93" s="244">
        <f>COUNT($A$3:$A92)+1</f>
        <v>91</v>
      </c>
      <c r="B93" s="244" t="s">
        <v>498</v>
      </c>
      <c r="C93" s="178" t="s">
        <v>931</v>
      </c>
      <c r="D93" s="271"/>
      <c r="E93" s="263">
        <v>44005</v>
      </c>
      <c r="F93" s="198" t="s">
        <v>1165</v>
      </c>
      <c r="G93" s="198" t="s">
        <v>175</v>
      </c>
      <c r="H93" s="198" t="s">
        <v>1150</v>
      </c>
      <c r="I93" s="251" t="s">
        <v>1162</v>
      </c>
      <c r="J93" s="178" t="s">
        <v>1110</v>
      </c>
      <c r="K93" s="249" t="s">
        <v>1117</v>
      </c>
      <c r="L93" s="251" t="s">
        <v>1162</v>
      </c>
      <c r="M93" s="178" t="s">
        <v>948</v>
      </c>
      <c r="N93" s="178"/>
      <c r="O93" s="252"/>
      <c r="P93" s="252"/>
      <c r="Q93" s="253"/>
      <c r="R93" s="254"/>
      <c r="S93" s="254"/>
      <c r="T93" s="254"/>
      <c r="U93" s="254"/>
      <c r="V93" s="262"/>
      <c r="W93" s="198"/>
      <c r="X93" s="256">
        <v>5</v>
      </c>
      <c r="Y93" s="256">
        <v>0</v>
      </c>
      <c r="Z93" s="198" t="s">
        <v>498</v>
      </c>
      <c r="AA93" s="256">
        <f t="shared" si="11"/>
        <v>0</v>
      </c>
      <c r="AB93" s="256"/>
      <c r="AC93" s="256">
        <v>0</v>
      </c>
      <c r="AD93" s="256">
        <f t="shared" si="3"/>
        <v>0</v>
      </c>
      <c r="AE93" s="257">
        <v>1</v>
      </c>
      <c r="AF93" s="256">
        <f t="shared" si="8"/>
        <v>0</v>
      </c>
      <c r="AG93" s="198" t="s">
        <v>189</v>
      </c>
      <c r="AH93" s="258">
        <f t="shared" si="10"/>
        <v>0</v>
      </c>
      <c r="AI93" s="256">
        <f t="shared" si="9"/>
        <v>0</v>
      </c>
      <c r="AJ93" s="198" t="s">
        <v>55</v>
      </c>
    </row>
    <row r="94" spans="1:36" ht="35.1" customHeight="1" x14ac:dyDescent="0.3">
      <c r="A94" s="244">
        <f>COUNT($A$3:$A93)+1</f>
        <v>92</v>
      </c>
      <c r="B94" s="244" t="s">
        <v>498</v>
      </c>
      <c r="C94" s="178" t="s">
        <v>931</v>
      </c>
      <c r="D94" s="271"/>
      <c r="E94" s="263">
        <v>44005</v>
      </c>
      <c r="F94" s="198" t="s">
        <v>1165</v>
      </c>
      <c r="G94" s="198" t="s">
        <v>175</v>
      </c>
      <c r="H94" s="198" t="s">
        <v>1173</v>
      </c>
      <c r="I94" s="251" t="s">
        <v>1162</v>
      </c>
      <c r="J94" s="178" t="s">
        <v>1118</v>
      </c>
      <c r="K94" s="249" t="s">
        <v>1119</v>
      </c>
      <c r="L94" s="251" t="s">
        <v>1162</v>
      </c>
      <c r="M94" s="178" t="s">
        <v>948</v>
      </c>
      <c r="N94" s="178"/>
      <c r="O94" s="252"/>
      <c r="P94" s="252"/>
      <c r="Q94" s="253"/>
      <c r="R94" s="254"/>
      <c r="S94" s="254"/>
      <c r="T94" s="254"/>
      <c r="U94" s="254"/>
      <c r="V94" s="262"/>
      <c r="W94" s="198"/>
      <c r="X94" s="256">
        <v>5</v>
      </c>
      <c r="Y94" s="256">
        <v>0</v>
      </c>
      <c r="Z94" s="198" t="s">
        <v>498</v>
      </c>
      <c r="AA94" s="256">
        <f t="shared" si="11"/>
        <v>0</v>
      </c>
      <c r="AB94" s="256"/>
      <c r="AC94" s="256">
        <v>0</v>
      </c>
      <c r="AD94" s="256">
        <f t="shared" si="3"/>
        <v>0</v>
      </c>
      <c r="AE94" s="257">
        <v>1</v>
      </c>
      <c r="AF94" s="256">
        <f t="shared" si="8"/>
        <v>0</v>
      </c>
      <c r="AG94" s="198" t="s">
        <v>189</v>
      </c>
      <c r="AH94" s="258">
        <f t="shared" si="10"/>
        <v>0</v>
      </c>
      <c r="AI94" s="256">
        <f t="shared" si="9"/>
        <v>0</v>
      </c>
      <c r="AJ94" s="198" t="s">
        <v>55</v>
      </c>
    </row>
    <row r="95" spans="1:36" ht="35.1" customHeight="1" x14ac:dyDescent="0.3">
      <c r="A95" s="244">
        <f>COUNT($A$3:$A94)+1</f>
        <v>93</v>
      </c>
      <c r="B95" s="244" t="s">
        <v>498</v>
      </c>
      <c r="C95" s="178" t="s">
        <v>931</v>
      </c>
      <c r="D95" s="271"/>
      <c r="E95" s="263">
        <v>43277</v>
      </c>
      <c r="F95" s="198" t="s">
        <v>1165</v>
      </c>
      <c r="G95" s="198" t="s">
        <v>175</v>
      </c>
      <c r="H95" s="198" t="s">
        <v>1173</v>
      </c>
      <c r="I95" s="251" t="s">
        <v>1162</v>
      </c>
      <c r="J95" s="178" t="s">
        <v>1118</v>
      </c>
      <c r="K95" s="280" t="s">
        <v>811</v>
      </c>
      <c r="L95" s="249" t="s">
        <v>981</v>
      </c>
      <c r="M95" s="178" t="s">
        <v>951</v>
      </c>
      <c r="N95" s="178"/>
      <c r="O95" s="252"/>
      <c r="P95" s="252"/>
      <c r="Q95" s="253"/>
      <c r="R95" s="254"/>
      <c r="S95" s="254"/>
      <c r="T95" s="254"/>
      <c r="U95" s="254"/>
      <c r="V95" s="262"/>
      <c r="W95" s="198"/>
      <c r="X95" s="256">
        <v>5</v>
      </c>
      <c r="Y95" s="256">
        <v>0</v>
      </c>
      <c r="Z95" s="198" t="s">
        <v>498</v>
      </c>
      <c r="AA95" s="256">
        <f t="shared" si="11"/>
        <v>0</v>
      </c>
      <c r="AB95" s="256"/>
      <c r="AC95" s="256">
        <v>0</v>
      </c>
      <c r="AD95" s="256">
        <f t="shared" si="3"/>
        <v>0</v>
      </c>
      <c r="AE95" s="257">
        <v>1</v>
      </c>
      <c r="AF95" s="256">
        <f t="shared" si="8"/>
        <v>0</v>
      </c>
      <c r="AG95" s="198" t="s">
        <v>189</v>
      </c>
      <c r="AH95" s="258">
        <f t="shared" si="10"/>
        <v>0</v>
      </c>
      <c r="AI95" s="256">
        <f t="shared" si="9"/>
        <v>0</v>
      </c>
      <c r="AJ95" s="198" t="s">
        <v>55</v>
      </c>
    </row>
    <row r="96" spans="1:36" ht="35.1" customHeight="1" x14ac:dyDescent="0.3">
      <c r="A96" s="244">
        <f>COUNT($A$3:$A95)+1</f>
        <v>94</v>
      </c>
      <c r="B96" s="244" t="s">
        <v>498</v>
      </c>
      <c r="C96" s="178" t="s">
        <v>931</v>
      </c>
      <c r="D96" s="271"/>
      <c r="E96" s="263">
        <v>43277</v>
      </c>
      <c r="F96" s="198" t="s">
        <v>1165</v>
      </c>
      <c r="G96" s="198" t="s">
        <v>175</v>
      </c>
      <c r="H96" s="198" t="s">
        <v>1173</v>
      </c>
      <c r="I96" s="251" t="s">
        <v>1162</v>
      </c>
      <c r="J96" s="178" t="s">
        <v>1118</v>
      </c>
      <c r="K96" s="280" t="s">
        <v>1120</v>
      </c>
      <c r="L96" s="249" t="s">
        <v>1121</v>
      </c>
      <c r="M96" s="178" t="s">
        <v>1122</v>
      </c>
      <c r="N96" s="178"/>
      <c r="O96" s="252"/>
      <c r="P96" s="252"/>
      <c r="Q96" s="253"/>
      <c r="R96" s="254"/>
      <c r="S96" s="254"/>
      <c r="T96" s="254"/>
      <c r="U96" s="254"/>
      <c r="V96" s="262"/>
      <c r="W96" s="198"/>
      <c r="X96" s="256">
        <v>5</v>
      </c>
      <c r="Y96" s="256">
        <v>0</v>
      </c>
      <c r="Z96" s="198" t="s">
        <v>498</v>
      </c>
      <c r="AA96" s="256">
        <f t="shared" si="11"/>
        <v>0</v>
      </c>
      <c r="AB96" s="256"/>
      <c r="AC96" s="256">
        <v>0</v>
      </c>
      <c r="AD96" s="256">
        <f t="shared" si="3"/>
        <v>0</v>
      </c>
      <c r="AE96" s="257">
        <v>1</v>
      </c>
      <c r="AF96" s="256">
        <f t="shared" si="8"/>
        <v>0</v>
      </c>
      <c r="AG96" s="198" t="s">
        <v>189</v>
      </c>
      <c r="AH96" s="258">
        <f t="shared" si="10"/>
        <v>0</v>
      </c>
      <c r="AI96" s="256">
        <f t="shared" si="9"/>
        <v>0</v>
      </c>
      <c r="AJ96" s="198" t="s">
        <v>55</v>
      </c>
    </row>
    <row r="97" spans="1:36" ht="35.1" customHeight="1" x14ac:dyDescent="0.3">
      <c r="A97" s="244">
        <f>COUNT($A$3:$A96)+1</f>
        <v>95</v>
      </c>
      <c r="B97" s="244" t="s">
        <v>498</v>
      </c>
      <c r="C97" s="178" t="s">
        <v>931</v>
      </c>
      <c r="D97" s="271"/>
      <c r="E97" s="263">
        <v>43277</v>
      </c>
      <c r="F97" s="198" t="s">
        <v>1165</v>
      </c>
      <c r="G97" s="198" t="s">
        <v>175</v>
      </c>
      <c r="H97" s="198" t="s">
        <v>685</v>
      </c>
      <c r="I97" s="251" t="s">
        <v>1162</v>
      </c>
      <c r="J97" s="178" t="s">
        <v>1123</v>
      </c>
      <c r="K97" s="249" t="s">
        <v>1124</v>
      </c>
      <c r="L97" s="251" t="s">
        <v>1162</v>
      </c>
      <c r="M97" s="178" t="s">
        <v>1125</v>
      </c>
      <c r="N97" s="178"/>
      <c r="O97" s="252"/>
      <c r="P97" s="252"/>
      <c r="Q97" s="253"/>
      <c r="R97" s="254"/>
      <c r="S97" s="254"/>
      <c r="T97" s="254"/>
      <c r="U97" s="254"/>
      <c r="V97" s="262"/>
      <c r="W97" s="198"/>
      <c r="X97" s="256">
        <v>5</v>
      </c>
      <c r="Y97" s="256">
        <v>0</v>
      </c>
      <c r="Z97" s="198" t="s">
        <v>498</v>
      </c>
      <c r="AA97" s="256">
        <f t="shared" si="11"/>
        <v>0</v>
      </c>
      <c r="AB97" s="256"/>
      <c r="AC97" s="256">
        <v>0</v>
      </c>
      <c r="AD97" s="256">
        <f t="shared" si="3"/>
        <v>0</v>
      </c>
      <c r="AE97" s="257">
        <v>1</v>
      </c>
      <c r="AF97" s="256">
        <f t="shared" si="8"/>
        <v>0</v>
      </c>
      <c r="AG97" s="198" t="s">
        <v>189</v>
      </c>
      <c r="AH97" s="258">
        <f t="shared" si="10"/>
        <v>0</v>
      </c>
      <c r="AI97" s="256">
        <f t="shared" si="9"/>
        <v>0</v>
      </c>
      <c r="AJ97" s="198" t="s">
        <v>55</v>
      </c>
    </row>
    <row r="98" spans="1:36" ht="35.1" customHeight="1" x14ac:dyDescent="0.3">
      <c r="A98" s="244">
        <f>COUNT($A$3:$A97)+1</f>
        <v>96</v>
      </c>
      <c r="B98" s="244" t="s">
        <v>498</v>
      </c>
      <c r="C98" s="178" t="s">
        <v>931</v>
      </c>
      <c r="D98" s="263">
        <v>43277</v>
      </c>
      <c r="E98" s="271"/>
      <c r="F98" s="198" t="s">
        <v>1165</v>
      </c>
      <c r="G98" s="198" t="s">
        <v>175</v>
      </c>
      <c r="H98" s="198" t="s">
        <v>685</v>
      </c>
      <c r="I98" s="251" t="s">
        <v>1162</v>
      </c>
      <c r="J98" s="178" t="s">
        <v>1123</v>
      </c>
      <c r="K98" s="249" t="s">
        <v>1126</v>
      </c>
      <c r="L98" s="251" t="s">
        <v>1162</v>
      </c>
      <c r="M98" s="178" t="s">
        <v>951</v>
      </c>
      <c r="N98" s="178"/>
      <c r="O98" s="252"/>
      <c r="P98" s="252"/>
      <c r="Q98" s="253"/>
      <c r="R98" s="254"/>
      <c r="S98" s="254"/>
      <c r="T98" s="254"/>
      <c r="U98" s="254"/>
      <c r="V98" s="262"/>
      <c r="W98" s="198"/>
      <c r="X98" s="256">
        <v>5</v>
      </c>
      <c r="Y98" s="256">
        <v>0</v>
      </c>
      <c r="Z98" s="198" t="s">
        <v>498</v>
      </c>
      <c r="AA98" s="256">
        <f t="shared" si="11"/>
        <v>0</v>
      </c>
      <c r="AB98" s="256"/>
      <c r="AC98" s="256">
        <v>0</v>
      </c>
      <c r="AD98" s="256">
        <f t="shared" si="3"/>
        <v>0</v>
      </c>
      <c r="AE98" s="257">
        <v>1</v>
      </c>
      <c r="AF98" s="256">
        <f t="shared" si="8"/>
        <v>0</v>
      </c>
      <c r="AG98" s="198" t="s">
        <v>189</v>
      </c>
      <c r="AH98" s="258">
        <f t="shared" si="10"/>
        <v>0</v>
      </c>
      <c r="AI98" s="256">
        <f t="shared" si="9"/>
        <v>0</v>
      </c>
      <c r="AJ98" s="198" t="s">
        <v>55</v>
      </c>
    </row>
    <row r="99" spans="1:36" ht="35.1" customHeight="1" x14ac:dyDescent="0.3">
      <c r="A99" s="244">
        <f>COUNT($A$3:$A98)+1</f>
        <v>97</v>
      </c>
      <c r="B99" s="244" t="s">
        <v>498</v>
      </c>
      <c r="C99" s="178" t="s">
        <v>931</v>
      </c>
      <c r="D99" s="271"/>
      <c r="E99" s="263">
        <v>44005</v>
      </c>
      <c r="F99" s="198" t="s">
        <v>1165</v>
      </c>
      <c r="G99" s="198" t="s">
        <v>175</v>
      </c>
      <c r="H99" s="198" t="s">
        <v>685</v>
      </c>
      <c r="I99" s="251" t="s">
        <v>1162</v>
      </c>
      <c r="J99" s="178" t="s">
        <v>1123</v>
      </c>
      <c r="K99" s="249" t="s">
        <v>1127</v>
      </c>
      <c r="L99" s="251" t="s">
        <v>1162</v>
      </c>
      <c r="M99" s="178" t="s">
        <v>948</v>
      </c>
      <c r="N99" s="178"/>
      <c r="O99" s="252"/>
      <c r="P99" s="252"/>
      <c r="Q99" s="253"/>
      <c r="R99" s="254"/>
      <c r="S99" s="254"/>
      <c r="T99" s="254"/>
      <c r="U99" s="254"/>
      <c r="V99" s="262"/>
      <c r="W99" s="198"/>
      <c r="X99" s="256">
        <v>5</v>
      </c>
      <c r="Y99" s="256">
        <v>0</v>
      </c>
      <c r="Z99" s="198" t="s">
        <v>498</v>
      </c>
      <c r="AA99" s="256">
        <f t="shared" si="11"/>
        <v>0</v>
      </c>
      <c r="AB99" s="256"/>
      <c r="AC99" s="256">
        <v>0</v>
      </c>
      <c r="AD99" s="256">
        <f t="shared" si="3"/>
        <v>0</v>
      </c>
      <c r="AE99" s="257">
        <v>1</v>
      </c>
      <c r="AF99" s="256">
        <f t="shared" ref="AF99:AF102" si="12">AE99*AA99</f>
        <v>0</v>
      </c>
      <c r="AG99" s="198" t="s">
        <v>189</v>
      </c>
      <c r="AH99" s="258">
        <f t="shared" si="10"/>
        <v>0</v>
      </c>
      <c r="AI99" s="256">
        <f t="shared" ref="AI99:AI102" si="13">AH99*AA99</f>
        <v>0</v>
      </c>
      <c r="AJ99" s="198" t="s">
        <v>55</v>
      </c>
    </row>
    <row r="100" spans="1:36" ht="35.1" customHeight="1" x14ac:dyDescent="0.3">
      <c r="A100" s="244">
        <f>COUNT($A$3:$A99)+1</f>
        <v>98</v>
      </c>
      <c r="B100" s="244" t="s">
        <v>498</v>
      </c>
      <c r="C100" s="178" t="s">
        <v>931</v>
      </c>
      <c r="D100" s="263">
        <v>43277</v>
      </c>
      <c r="E100" s="271"/>
      <c r="F100" s="198" t="s">
        <v>1165</v>
      </c>
      <c r="G100" s="198" t="s">
        <v>175</v>
      </c>
      <c r="H100" s="198" t="s">
        <v>685</v>
      </c>
      <c r="I100" s="251" t="s">
        <v>1162</v>
      </c>
      <c r="J100" s="178" t="s">
        <v>1123</v>
      </c>
      <c r="K100" s="249" t="s">
        <v>1128</v>
      </c>
      <c r="L100" s="251" t="s">
        <v>1162</v>
      </c>
      <c r="M100" s="178" t="s">
        <v>951</v>
      </c>
      <c r="N100" s="178"/>
      <c r="O100" s="252"/>
      <c r="P100" s="252"/>
      <c r="Q100" s="253"/>
      <c r="R100" s="254"/>
      <c r="S100" s="254"/>
      <c r="T100" s="254"/>
      <c r="U100" s="254"/>
      <c r="V100" s="262"/>
      <c r="W100" s="198"/>
      <c r="X100" s="256">
        <v>5</v>
      </c>
      <c r="Y100" s="256">
        <v>0</v>
      </c>
      <c r="Z100" s="198" t="s">
        <v>498</v>
      </c>
      <c r="AA100" s="256">
        <f t="shared" si="11"/>
        <v>0</v>
      </c>
      <c r="AB100" s="256"/>
      <c r="AC100" s="256">
        <v>0</v>
      </c>
      <c r="AD100" s="256">
        <f t="shared" si="3"/>
        <v>0</v>
      </c>
      <c r="AE100" s="257">
        <v>1</v>
      </c>
      <c r="AF100" s="256">
        <f t="shared" si="12"/>
        <v>0</v>
      </c>
      <c r="AG100" s="198" t="s">
        <v>189</v>
      </c>
      <c r="AH100" s="258">
        <f t="shared" si="10"/>
        <v>0</v>
      </c>
      <c r="AI100" s="256">
        <f t="shared" si="13"/>
        <v>0</v>
      </c>
      <c r="AJ100" s="198" t="s">
        <v>55</v>
      </c>
    </row>
    <row r="101" spans="1:36" ht="35.1" customHeight="1" x14ac:dyDescent="0.3">
      <c r="A101" s="244">
        <f>COUNT($A$3:$A100)+1</f>
        <v>99</v>
      </c>
      <c r="B101" s="244" t="s">
        <v>498</v>
      </c>
      <c r="C101" s="178" t="s">
        <v>931</v>
      </c>
      <c r="D101" s="271"/>
      <c r="E101" s="263">
        <v>44005</v>
      </c>
      <c r="F101" s="198" t="s">
        <v>1165</v>
      </c>
      <c r="G101" s="198" t="s">
        <v>175</v>
      </c>
      <c r="H101" s="198" t="s">
        <v>685</v>
      </c>
      <c r="I101" s="251" t="s">
        <v>1162</v>
      </c>
      <c r="J101" s="178" t="s">
        <v>1123</v>
      </c>
      <c r="K101" s="280" t="s">
        <v>1129</v>
      </c>
      <c r="L101" s="249" t="s">
        <v>1130</v>
      </c>
      <c r="M101" s="178" t="s">
        <v>948</v>
      </c>
      <c r="N101" s="178"/>
      <c r="O101" s="252"/>
      <c r="P101" s="252"/>
      <c r="Q101" s="253"/>
      <c r="R101" s="254"/>
      <c r="S101" s="254"/>
      <c r="T101" s="254"/>
      <c r="U101" s="254"/>
      <c r="V101" s="262"/>
      <c r="W101" s="198"/>
      <c r="X101" s="256">
        <v>5</v>
      </c>
      <c r="Y101" s="256">
        <v>0</v>
      </c>
      <c r="Z101" s="198" t="s">
        <v>498</v>
      </c>
      <c r="AA101" s="256">
        <f t="shared" si="11"/>
        <v>0</v>
      </c>
      <c r="AB101" s="256"/>
      <c r="AC101" s="256">
        <v>0</v>
      </c>
      <c r="AD101" s="256">
        <f t="shared" si="3"/>
        <v>0</v>
      </c>
      <c r="AE101" s="257">
        <v>1</v>
      </c>
      <c r="AF101" s="256">
        <f t="shared" si="12"/>
        <v>0</v>
      </c>
      <c r="AG101" s="198" t="s">
        <v>189</v>
      </c>
      <c r="AH101" s="258">
        <f t="shared" si="10"/>
        <v>0</v>
      </c>
      <c r="AI101" s="256">
        <f t="shared" si="13"/>
        <v>0</v>
      </c>
      <c r="AJ101" s="198" t="s">
        <v>55</v>
      </c>
    </row>
    <row r="102" spans="1:36" ht="35.1" customHeight="1" x14ac:dyDescent="0.3">
      <c r="A102" s="244">
        <f>COUNT($A$3:$A101)+1</f>
        <v>100</v>
      </c>
      <c r="B102" s="244" t="s">
        <v>498</v>
      </c>
      <c r="C102" s="178" t="s">
        <v>931</v>
      </c>
      <c r="D102" s="271"/>
      <c r="E102" s="263">
        <v>44005</v>
      </c>
      <c r="F102" s="198" t="s">
        <v>1165</v>
      </c>
      <c r="G102" s="198" t="s">
        <v>175</v>
      </c>
      <c r="H102" s="198" t="s">
        <v>685</v>
      </c>
      <c r="I102" s="251" t="s">
        <v>1162</v>
      </c>
      <c r="J102" s="178" t="s">
        <v>1123</v>
      </c>
      <c r="K102" s="249" t="s">
        <v>1131</v>
      </c>
      <c r="L102" s="249" t="s">
        <v>1132</v>
      </c>
      <c r="M102" s="178" t="s">
        <v>1016</v>
      </c>
      <c r="N102" s="178"/>
      <c r="O102" s="252"/>
      <c r="P102" s="252"/>
      <c r="Q102" s="253"/>
      <c r="R102" s="254"/>
      <c r="S102" s="254"/>
      <c r="T102" s="254"/>
      <c r="U102" s="254"/>
      <c r="V102" s="262"/>
      <c r="W102" s="198"/>
      <c r="X102" s="256">
        <v>5</v>
      </c>
      <c r="Y102" s="256">
        <v>0</v>
      </c>
      <c r="Z102" s="198" t="s">
        <v>498</v>
      </c>
      <c r="AA102" s="256">
        <f t="shared" si="11"/>
        <v>0</v>
      </c>
      <c r="AB102" s="256"/>
      <c r="AC102" s="256">
        <v>0</v>
      </c>
      <c r="AD102" s="256">
        <f t="shared" si="3"/>
        <v>0</v>
      </c>
      <c r="AE102" s="257">
        <v>1</v>
      </c>
      <c r="AF102" s="256">
        <f t="shared" si="12"/>
        <v>0</v>
      </c>
      <c r="AG102" s="198" t="s">
        <v>189</v>
      </c>
      <c r="AH102" s="258">
        <f t="shared" si="10"/>
        <v>0</v>
      </c>
      <c r="AI102" s="256">
        <f t="shared" si="13"/>
        <v>0</v>
      </c>
      <c r="AJ102" s="198" t="s">
        <v>55</v>
      </c>
    </row>
    <row r="103" spans="1:36" ht="35.1" customHeight="1" x14ac:dyDescent="0.3">
      <c r="A103" s="244">
        <f>COUNT($A$3:$A102)+1</f>
        <v>101</v>
      </c>
      <c r="B103" s="244" t="s">
        <v>498</v>
      </c>
      <c r="C103" s="178" t="s">
        <v>893</v>
      </c>
      <c r="D103" s="270">
        <v>44005</v>
      </c>
      <c r="E103" s="270"/>
      <c r="F103" s="198" t="s">
        <v>1165</v>
      </c>
      <c r="G103" s="198" t="s">
        <v>1167</v>
      </c>
      <c r="H103" s="198" t="s">
        <v>918</v>
      </c>
      <c r="I103" s="251" t="s">
        <v>1162</v>
      </c>
      <c r="J103" s="198" t="s">
        <v>890</v>
      </c>
      <c r="K103" s="249" t="s">
        <v>891</v>
      </c>
      <c r="L103" s="251" t="s">
        <v>1162</v>
      </c>
      <c r="M103" s="198" t="s">
        <v>892</v>
      </c>
      <c r="N103" s="198"/>
      <c r="O103" s="252"/>
      <c r="P103" s="252"/>
      <c r="Q103" s="198"/>
      <c r="R103" s="254"/>
      <c r="S103" s="254"/>
      <c r="T103" s="254"/>
      <c r="U103" s="254"/>
      <c r="V103" s="261"/>
      <c r="W103" s="198" t="s">
        <v>917</v>
      </c>
      <c r="X103" s="256"/>
      <c r="Y103" s="256">
        <v>0</v>
      </c>
      <c r="Z103" s="198" t="s">
        <v>498</v>
      </c>
      <c r="AA103" s="256">
        <f t="shared" si="11"/>
        <v>0</v>
      </c>
      <c r="AB103" s="256"/>
      <c r="AC103" s="256"/>
      <c r="AD103" s="256"/>
      <c r="AE103" s="257"/>
      <c r="AF103" s="256"/>
      <c r="AG103" s="198"/>
      <c r="AH103" s="258"/>
      <c r="AI103" s="256"/>
      <c r="AJ103" s="198"/>
    </row>
    <row r="104" spans="1:36" ht="35.1" customHeight="1" x14ac:dyDescent="0.3">
      <c r="A104" s="244">
        <f>COUNT($A$3:$A103)+1</f>
        <v>102</v>
      </c>
      <c r="B104" s="244" t="s">
        <v>498</v>
      </c>
      <c r="C104" s="178" t="s">
        <v>893</v>
      </c>
      <c r="D104" s="270">
        <v>44005</v>
      </c>
      <c r="E104" s="270"/>
      <c r="F104" s="198" t="s">
        <v>1165</v>
      </c>
      <c r="G104" s="198" t="s">
        <v>1167</v>
      </c>
      <c r="H104" s="198" t="s">
        <v>918</v>
      </c>
      <c r="I104" s="251" t="s">
        <v>1162</v>
      </c>
      <c r="J104" s="198" t="s">
        <v>890</v>
      </c>
      <c r="K104" s="249" t="s">
        <v>894</v>
      </c>
      <c r="L104" s="251" t="s">
        <v>1162</v>
      </c>
      <c r="M104" s="198" t="s">
        <v>892</v>
      </c>
      <c r="N104" s="198"/>
      <c r="O104" s="252"/>
      <c r="P104" s="252"/>
      <c r="Q104" s="198"/>
      <c r="R104" s="254"/>
      <c r="S104" s="254"/>
      <c r="T104" s="254"/>
      <c r="U104" s="254"/>
      <c r="V104" s="261"/>
      <c r="W104" s="198" t="s">
        <v>917</v>
      </c>
      <c r="X104" s="256"/>
      <c r="Y104" s="256">
        <v>0</v>
      </c>
      <c r="Z104" s="198" t="s">
        <v>498</v>
      </c>
      <c r="AA104" s="256">
        <f t="shared" si="11"/>
        <v>0</v>
      </c>
      <c r="AB104" s="256"/>
      <c r="AC104" s="256"/>
      <c r="AD104" s="256"/>
      <c r="AE104" s="257"/>
      <c r="AF104" s="256"/>
      <c r="AG104" s="198"/>
      <c r="AH104" s="258"/>
      <c r="AI104" s="256"/>
      <c r="AJ104" s="198"/>
    </row>
    <row r="105" spans="1:36" ht="35.1" customHeight="1" x14ac:dyDescent="0.3">
      <c r="A105" s="244">
        <f>COUNT($A$3:$A104)+1</f>
        <v>103</v>
      </c>
      <c r="B105" s="244" t="s">
        <v>498</v>
      </c>
      <c r="C105" s="178" t="s">
        <v>897</v>
      </c>
      <c r="D105" s="270">
        <v>38188</v>
      </c>
      <c r="E105" s="270">
        <v>40680</v>
      </c>
      <c r="F105" s="198" t="s">
        <v>1165</v>
      </c>
      <c r="G105" s="198" t="s">
        <v>1167</v>
      </c>
      <c r="H105" s="198" t="s">
        <v>1174</v>
      </c>
      <c r="I105" s="251" t="s">
        <v>1162</v>
      </c>
      <c r="J105" s="198" t="s">
        <v>890</v>
      </c>
      <c r="K105" s="249" t="s">
        <v>895</v>
      </c>
      <c r="L105" s="251" t="s">
        <v>1162</v>
      </c>
      <c r="M105" s="198" t="s">
        <v>896</v>
      </c>
      <c r="N105" s="198"/>
      <c r="O105" s="252"/>
      <c r="P105" s="252"/>
      <c r="Q105" s="198"/>
      <c r="R105" s="254"/>
      <c r="S105" s="254"/>
      <c r="T105" s="254"/>
      <c r="U105" s="254"/>
      <c r="V105" s="261"/>
      <c r="W105" s="198" t="s">
        <v>724</v>
      </c>
      <c r="X105" s="256"/>
      <c r="Y105" s="256">
        <v>0</v>
      </c>
      <c r="Z105" s="198" t="s">
        <v>498</v>
      </c>
      <c r="AA105" s="256">
        <f t="shared" si="11"/>
        <v>0</v>
      </c>
      <c r="AB105" s="256"/>
      <c r="AC105" s="256"/>
      <c r="AD105" s="256"/>
      <c r="AE105" s="257"/>
      <c r="AF105" s="256"/>
      <c r="AG105" s="198"/>
      <c r="AH105" s="258"/>
      <c r="AI105" s="256"/>
      <c r="AJ105" s="198"/>
    </row>
    <row r="106" spans="1:36" ht="35.1" customHeight="1" x14ac:dyDescent="0.3">
      <c r="A106" s="244">
        <f>COUNT($A$3:$A105)+1</f>
        <v>104</v>
      </c>
      <c r="B106" s="244" t="s">
        <v>498</v>
      </c>
      <c r="C106" s="178" t="s">
        <v>900</v>
      </c>
      <c r="D106" s="270">
        <v>43641</v>
      </c>
      <c r="E106" s="270"/>
      <c r="F106" s="198" t="s">
        <v>1165</v>
      </c>
      <c r="G106" s="198" t="s">
        <v>1167</v>
      </c>
      <c r="H106" s="198" t="s">
        <v>1175</v>
      </c>
      <c r="I106" s="251" t="s">
        <v>1162</v>
      </c>
      <c r="J106" s="198" t="s">
        <v>890</v>
      </c>
      <c r="K106" s="249" t="s">
        <v>898</v>
      </c>
      <c r="L106" s="251" t="s">
        <v>1162</v>
      </c>
      <c r="M106" s="198" t="s">
        <v>899</v>
      </c>
      <c r="N106" s="198"/>
      <c r="O106" s="252"/>
      <c r="P106" s="252"/>
      <c r="Q106" s="198"/>
      <c r="R106" s="254"/>
      <c r="S106" s="254"/>
      <c r="T106" s="254"/>
      <c r="U106" s="254"/>
      <c r="V106" s="261"/>
      <c r="W106" s="198" t="s">
        <v>920</v>
      </c>
      <c r="X106" s="256"/>
      <c r="Y106" s="256">
        <v>0</v>
      </c>
      <c r="Z106" s="198" t="s">
        <v>498</v>
      </c>
      <c r="AA106" s="256">
        <f t="shared" si="11"/>
        <v>0</v>
      </c>
      <c r="AB106" s="256"/>
      <c r="AC106" s="256"/>
      <c r="AD106" s="256"/>
      <c r="AE106" s="257"/>
      <c r="AF106" s="256"/>
      <c r="AG106" s="198"/>
      <c r="AH106" s="258"/>
      <c r="AI106" s="256"/>
      <c r="AJ106" s="198"/>
    </row>
    <row r="107" spans="1:36" ht="35.1" customHeight="1" x14ac:dyDescent="0.3">
      <c r="A107" s="244">
        <f>COUNT($A$3:$A106)+1</f>
        <v>105</v>
      </c>
      <c r="B107" s="244" t="s">
        <v>498</v>
      </c>
      <c r="C107" s="178" t="s">
        <v>903</v>
      </c>
      <c r="D107" s="270"/>
      <c r="E107" s="270">
        <v>43277</v>
      </c>
      <c r="F107" s="198" t="s">
        <v>1165</v>
      </c>
      <c r="G107" s="198" t="s">
        <v>1167</v>
      </c>
      <c r="H107" s="198" t="s">
        <v>172</v>
      </c>
      <c r="I107" s="251" t="s">
        <v>1162</v>
      </c>
      <c r="J107" s="198" t="s">
        <v>890</v>
      </c>
      <c r="K107" s="249" t="s">
        <v>901</v>
      </c>
      <c r="L107" s="251" t="s">
        <v>1162</v>
      </c>
      <c r="M107" s="198" t="s">
        <v>902</v>
      </c>
      <c r="N107" s="198"/>
      <c r="O107" s="252"/>
      <c r="P107" s="252"/>
      <c r="Q107" s="198"/>
      <c r="R107" s="254"/>
      <c r="S107" s="254"/>
      <c r="T107" s="254"/>
      <c r="U107" s="254"/>
      <c r="V107" s="261"/>
      <c r="W107" s="198" t="s">
        <v>725</v>
      </c>
      <c r="X107" s="256"/>
      <c r="Y107" s="256">
        <v>0</v>
      </c>
      <c r="Z107" s="198" t="s">
        <v>498</v>
      </c>
      <c r="AA107" s="256">
        <f t="shared" si="11"/>
        <v>0</v>
      </c>
      <c r="AB107" s="256"/>
      <c r="AC107" s="256"/>
      <c r="AD107" s="256"/>
      <c r="AE107" s="257"/>
      <c r="AF107" s="256"/>
      <c r="AG107" s="198"/>
      <c r="AH107" s="258"/>
      <c r="AI107" s="256"/>
      <c r="AJ107" s="198"/>
    </row>
    <row r="108" spans="1:36" ht="35.1" customHeight="1" x14ac:dyDescent="0.3">
      <c r="A108" s="244">
        <f>COUNT($A$3:$A107)+1</f>
        <v>106</v>
      </c>
      <c r="B108" s="244" t="s">
        <v>498</v>
      </c>
      <c r="C108" s="178" t="s">
        <v>893</v>
      </c>
      <c r="D108" s="270">
        <v>44005</v>
      </c>
      <c r="E108" s="270"/>
      <c r="F108" s="198" t="s">
        <v>1165</v>
      </c>
      <c r="G108" s="198" t="s">
        <v>1167</v>
      </c>
      <c r="H108" s="198" t="s">
        <v>918</v>
      </c>
      <c r="I108" s="251" t="s">
        <v>1162</v>
      </c>
      <c r="J108" s="198" t="s">
        <v>890</v>
      </c>
      <c r="K108" s="249" t="s">
        <v>904</v>
      </c>
      <c r="L108" s="251" t="s">
        <v>1162</v>
      </c>
      <c r="M108" s="198" t="s">
        <v>905</v>
      </c>
      <c r="N108" s="198"/>
      <c r="O108" s="252"/>
      <c r="P108" s="252"/>
      <c r="Q108" s="198"/>
      <c r="R108" s="254"/>
      <c r="S108" s="254"/>
      <c r="T108" s="254"/>
      <c r="U108" s="254"/>
      <c r="V108" s="261"/>
      <c r="W108" s="198" t="s">
        <v>917</v>
      </c>
      <c r="X108" s="256"/>
      <c r="Y108" s="256">
        <v>0</v>
      </c>
      <c r="Z108" s="198" t="s">
        <v>498</v>
      </c>
      <c r="AA108" s="256">
        <f t="shared" si="11"/>
        <v>0</v>
      </c>
      <c r="AB108" s="256"/>
      <c r="AC108" s="256"/>
      <c r="AD108" s="256"/>
      <c r="AE108" s="257"/>
      <c r="AF108" s="256"/>
      <c r="AG108" s="198"/>
      <c r="AH108" s="258"/>
      <c r="AI108" s="256"/>
      <c r="AJ108" s="198"/>
    </row>
    <row r="109" spans="1:36" ht="35.1" customHeight="1" x14ac:dyDescent="0.3">
      <c r="A109" s="244">
        <f>COUNT($A$3:$A108)+1</f>
        <v>107</v>
      </c>
      <c r="B109" s="244" t="s">
        <v>498</v>
      </c>
      <c r="C109" s="178" t="s">
        <v>900</v>
      </c>
      <c r="D109" s="270">
        <v>43641</v>
      </c>
      <c r="E109" s="270"/>
      <c r="F109" s="198" t="s">
        <v>1165</v>
      </c>
      <c r="G109" s="198" t="s">
        <v>1167</v>
      </c>
      <c r="H109" s="198" t="s">
        <v>1175</v>
      </c>
      <c r="I109" s="251" t="s">
        <v>1162</v>
      </c>
      <c r="J109" s="198" t="s">
        <v>890</v>
      </c>
      <c r="K109" s="249" t="s">
        <v>906</v>
      </c>
      <c r="L109" s="251" t="s">
        <v>1162</v>
      </c>
      <c r="M109" s="198" t="s">
        <v>907</v>
      </c>
      <c r="N109" s="198"/>
      <c r="O109" s="252"/>
      <c r="P109" s="252"/>
      <c r="Q109" s="198"/>
      <c r="R109" s="254"/>
      <c r="S109" s="254"/>
      <c r="T109" s="254"/>
      <c r="U109" s="254"/>
      <c r="V109" s="261"/>
      <c r="W109" s="198" t="s">
        <v>725</v>
      </c>
      <c r="X109" s="256"/>
      <c r="Y109" s="256">
        <v>0</v>
      </c>
      <c r="Z109" s="198" t="s">
        <v>498</v>
      </c>
      <c r="AA109" s="256">
        <f t="shared" si="11"/>
        <v>0</v>
      </c>
      <c r="AB109" s="256"/>
      <c r="AC109" s="256"/>
      <c r="AD109" s="256"/>
      <c r="AE109" s="257"/>
      <c r="AF109" s="256"/>
      <c r="AG109" s="198"/>
      <c r="AH109" s="258"/>
      <c r="AI109" s="256"/>
      <c r="AJ109" s="198"/>
    </row>
    <row r="110" spans="1:36" ht="35.1" customHeight="1" x14ac:dyDescent="0.3">
      <c r="A110" s="244">
        <f>COUNT($A$3:$A109)+1</f>
        <v>108</v>
      </c>
      <c r="B110" s="244" t="s">
        <v>498</v>
      </c>
      <c r="C110" s="178" t="s">
        <v>910</v>
      </c>
      <c r="D110" s="270"/>
      <c r="E110" s="270">
        <v>43277</v>
      </c>
      <c r="F110" s="198" t="s">
        <v>1165</v>
      </c>
      <c r="G110" s="198" t="s">
        <v>1167</v>
      </c>
      <c r="H110" s="198" t="s">
        <v>172</v>
      </c>
      <c r="I110" s="251" t="s">
        <v>1162</v>
      </c>
      <c r="J110" s="198" t="s">
        <v>890</v>
      </c>
      <c r="K110" s="249" t="s">
        <v>908</v>
      </c>
      <c r="L110" s="251" t="s">
        <v>1162</v>
      </c>
      <c r="M110" s="198" t="s">
        <v>909</v>
      </c>
      <c r="N110" s="198"/>
      <c r="O110" s="252"/>
      <c r="P110" s="252"/>
      <c r="Q110" s="198"/>
      <c r="R110" s="254"/>
      <c r="S110" s="254"/>
      <c r="T110" s="254"/>
      <c r="U110" s="254"/>
      <c r="V110" s="261"/>
      <c r="W110" s="198" t="s">
        <v>724</v>
      </c>
      <c r="X110" s="256"/>
      <c r="Y110" s="256">
        <v>0</v>
      </c>
      <c r="Z110" s="198" t="s">
        <v>498</v>
      </c>
      <c r="AA110" s="256">
        <f t="shared" ref="AA110:AA156" si="14">AD110*IF(Z110="Yes",1,0)</f>
        <v>0</v>
      </c>
      <c r="AB110" s="256"/>
      <c r="AC110" s="256"/>
      <c r="AD110" s="256"/>
      <c r="AE110" s="257"/>
      <c r="AF110" s="256"/>
      <c r="AG110" s="198"/>
      <c r="AH110" s="258"/>
      <c r="AI110" s="256"/>
      <c r="AJ110" s="198"/>
    </row>
    <row r="111" spans="1:36" ht="35.1" customHeight="1" x14ac:dyDescent="0.3">
      <c r="A111" s="244">
        <f>COUNT($A$3:$A110)+1</f>
        <v>109</v>
      </c>
      <c r="B111" s="244" t="s">
        <v>498</v>
      </c>
      <c r="C111" s="178" t="s">
        <v>913</v>
      </c>
      <c r="D111" s="270">
        <v>38188</v>
      </c>
      <c r="E111" s="270">
        <v>40680</v>
      </c>
      <c r="F111" s="198" t="s">
        <v>1165</v>
      </c>
      <c r="G111" s="198" t="s">
        <v>1167</v>
      </c>
      <c r="H111" s="198" t="s">
        <v>1174</v>
      </c>
      <c r="I111" s="251" t="s">
        <v>1162</v>
      </c>
      <c r="J111" s="198" t="s">
        <v>890</v>
      </c>
      <c r="K111" s="249" t="s">
        <v>911</v>
      </c>
      <c r="L111" s="251" t="s">
        <v>1162</v>
      </c>
      <c r="M111" s="198" t="s">
        <v>912</v>
      </c>
      <c r="N111" s="198"/>
      <c r="O111" s="252"/>
      <c r="P111" s="252"/>
      <c r="Q111" s="198"/>
      <c r="R111" s="254"/>
      <c r="S111" s="254"/>
      <c r="T111" s="254"/>
      <c r="U111" s="254"/>
      <c r="V111" s="261"/>
      <c r="W111" s="198" t="s">
        <v>724</v>
      </c>
      <c r="X111" s="256"/>
      <c r="Y111" s="256">
        <v>0</v>
      </c>
      <c r="Z111" s="198" t="s">
        <v>498</v>
      </c>
      <c r="AA111" s="256">
        <f t="shared" si="14"/>
        <v>0</v>
      </c>
      <c r="AB111" s="256"/>
      <c r="AC111" s="256"/>
      <c r="AD111" s="256"/>
      <c r="AE111" s="257"/>
      <c r="AF111" s="256"/>
      <c r="AG111" s="198"/>
      <c r="AH111" s="258"/>
      <c r="AI111" s="256"/>
      <c r="AJ111" s="198"/>
    </row>
    <row r="112" spans="1:36" ht="35.1" customHeight="1" x14ac:dyDescent="0.3">
      <c r="A112" s="244">
        <f>COUNT($A$3:$A111)+1</f>
        <v>110</v>
      </c>
      <c r="B112" s="244" t="s">
        <v>498</v>
      </c>
      <c r="C112" s="178" t="s">
        <v>916</v>
      </c>
      <c r="D112" s="270">
        <v>34244</v>
      </c>
      <c r="E112" s="270">
        <v>35340</v>
      </c>
      <c r="F112" s="198" t="s">
        <v>1165</v>
      </c>
      <c r="G112" s="198" t="s">
        <v>1167</v>
      </c>
      <c r="H112" s="198" t="s">
        <v>1174</v>
      </c>
      <c r="I112" s="251" t="s">
        <v>1162</v>
      </c>
      <c r="J112" s="198" t="s">
        <v>890</v>
      </c>
      <c r="K112" s="249" t="s">
        <v>914</v>
      </c>
      <c r="L112" s="251" t="s">
        <v>1162</v>
      </c>
      <c r="M112" s="198" t="s">
        <v>915</v>
      </c>
      <c r="N112" s="198"/>
      <c r="O112" s="252"/>
      <c r="P112" s="252"/>
      <c r="Q112" s="198"/>
      <c r="R112" s="254"/>
      <c r="S112" s="254"/>
      <c r="T112" s="254"/>
      <c r="U112" s="254"/>
      <c r="V112" s="261"/>
      <c r="W112" s="198" t="s">
        <v>917</v>
      </c>
      <c r="X112" s="256"/>
      <c r="Y112" s="256">
        <v>0</v>
      </c>
      <c r="Z112" s="198" t="s">
        <v>498</v>
      </c>
      <c r="AA112" s="256">
        <f t="shared" si="14"/>
        <v>0</v>
      </c>
      <c r="AB112" s="256"/>
      <c r="AC112" s="256"/>
      <c r="AD112" s="256"/>
      <c r="AE112" s="257"/>
      <c r="AF112" s="256"/>
      <c r="AG112" s="198"/>
      <c r="AH112" s="258"/>
      <c r="AI112" s="256"/>
      <c r="AJ112" s="198"/>
    </row>
    <row r="113" spans="1:36" ht="35.1" customHeight="1" x14ac:dyDescent="0.3">
      <c r="A113" s="244">
        <f>COUNT($A$3:$A112)+1</f>
        <v>111</v>
      </c>
      <c r="B113" s="244" t="s">
        <v>498</v>
      </c>
      <c r="C113" s="278"/>
      <c r="D113" s="274"/>
      <c r="E113" s="274"/>
      <c r="F113" s="198" t="s">
        <v>1165</v>
      </c>
      <c r="G113" s="198" t="s">
        <v>176</v>
      </c>
      <c r="H113" s="198" t="s">
        <v>497</v>
      </c>
      <c r="I113" s="251" t="s">
        <v>1162</v>
      </c>
      <c r="J113" s="273"/>
      <c r="K113" s="249"/>
      <c r="L113" s="279"/>
      <c r="M113" s="285"/>
      <c r="N113" s="198"/>
      <c r="O113" s="287"/>
      <c r="P113" s="287"/>
      <c r="Q113" s="288"/>
      <c r="R113" s="289"/>
      <c r="S113" s="289"/>
      <c r="T113" s="289"/>
      <c r="U113" s="289"/>
      <c r="V113" s="261"/>
      <c r="W113" s="198" t="s">
        <v>724</v>
      </c>
      <c r="X113" s="256">
        <v>500</v>
      </c>
      <c r="Y113" s="256">
        <v>0</v>
      </c>
      <c r="Z113" s="198" t="s">
        <v>498</v>
      </c>
      <c r="AA113" s="256">
        <f t="shared" si="14"/>
        <v>0</v>
      </c>
      <c r="AB113" s="256"/>
      <c r="AC113" s="256">
        <v>0</v>
      </c>
      <c r="AD113" s="256">
        <f t="shared" si="3"/>
        <v>0</v>
      </c>
      <c r="AE113" s="257">
        <v>1</v>
      </c>
      <c r="AF113" s="256">
        <f t="shared" ref="AF113:AF156" si="15">AE113*AA113</f>
        <v>0</v>
      </c>
      <c r="AG113" s="198" t="s">
        <v>176</v>
      </c>
      <c r="AH113" s="258">
        <f t="shared" ref="AH113:AH156" si="16">1-AE113</f>
        <v>0</v>
      </c>
      <c r="AI113" s="256">
        <f t="shared" ref="AI113:AI156" si="17">AH113*AA113</f>
        <v>0</v>
      </c>
      <c r="AJ113" s="198" t="s">
        <v>55</v>
      </c>
    </row>
    <row r="114" spans="1:36" ht="35.1" customHeight="1" x14ac:dyDescent="0.3">
      <c r="A114" s="244">
        <f>COUNT($A$3:$A113)+1</f>
        <v>112</v>
      </c>
      <c r="B114" s="244" t="s">
        <v>498</v>
      </c>
      <c r="C114" s="278"/>
      <c r="D114" s="274"/>
      <c r="E114" s="274"/>
      <c r="F114" s="198" t="s">
        <v>1165</v>
      </c>
      <c r="G114" s="198" t="s">
        <v>177</v>
      </c>
      <c r="H114" s="198" t="s">
        <v>497</v>
      </c>
      <c r="I114" s="251" t="s">
        <v>1162</v>
      </c>
      <c r="J114" s="273"/>
      <c r="K114" s="249"/>
      <c r="L114" s="279"/>
      <c r="M114" s="285"/>
      <c r="N114" s="198"/>
      <c r="O114" s="287"/>
      <c r="P114" s="287"/>
      <c r="Q114" s="288"/>
      <c r="R114" s="289"/>
      <c r="S114" s="289"/>
      <c r="T114" s="289"/>
      <c r="U114" s="289"/>
      <c r="V114" s="261"/>
      <c r="W114" s="198" t="s">
        <v>724</v>
      </c>
      <c r="X114" s="256">
        <v>200</v>
      </c>
      <c r="Y114" s="256">
        <v>0</v>
      </c>
      <c r="Z114" s="198" t="s">
        <v>498</v>
      </c>
      <c r="AA114" s="256">
        <f t="shared" si="14"/>
        <v>0</v>
      </c>
      <c r="AB114" s="256"/>
      <c r="AC114" s="256">
        <v>0</v>
      </c>
      <c r="AD114" s="256">
        <f t="shared" si="3"/>
        <v>0</v>
      </c>
      <c r="AE114" s="257">
        <v>1</v>
      </c>
      <c r="AF114" s="256">
        <f t="shared" si="15"/>
        <v>0</v>
      </c>
      <c r="AG114" s="198" t="s">
        <v>177</v>
      </c>
      <c r="AH114" s="258">
        <f t="shared" si="16"/>
        <v>0</v>
      </c>
      <c r="AI114" s="256">
        <f t="shared" si="17"/>
        <v>0</v>
      </c>
      <c r="AJ114" s="198" t="s">
        <v>55</v>
      </c>
    </row>
    <row r="115" spans="1:36" ht="35.1" customHeight="1" x14ac:dyDescent="0.3">
      <c r="A115" s="244">
        <f>COUNT($A$3:$A114)+1</f>
        <v>113</v>
      </c>
      <c r="B115" s="244" t="s">
        <v>498</v>
      </c>
      <c r="C115" s="278"/>
      <c r="D115" s="274"/>
      <c r="E115" s="274"/>
      <c r="F115" s="198" t="s">
        <v>1165</v>
      </c>
      <c r="G115" s="198" t="s">
        <v>241</v>
      </c>
      <c r="H115" s="198" t="s">
        <v>497</v>
      </c>
      <c r="I115" s="251" t="s">
        <v>1162</v>
      </c>
      <c r="J115" s="273"/>
      <c r="K115" s="249"/>
      <c r="L115" s="279"/>
      <c r="M115" s="285"/>
      <c r="N115" s="198"/>
      <c r="O115" s="287"/>
      <c r="P115" s="287"/>
      <c r="Q115" s="288"/>
      <c r="R115" s="289"/>
      <c r="S115" s="289"/>
      <c r="T115" s="289"/>
      <c r="U115" s="289"/>
      <c r="V115" s="261"/>
      <c r="W115" s="198" t="s">
        <v>724</v>
      </c>
      <c r="X115" s="256">
        <v>200</v>
      </c>
      <c r="Y115" s="256">
        <v>0</v>
      </c>
      <c r="Z115" s="198" t="s">
        <v>498</v>
      </c>
      <c r="AA115" s="256">
        <f t="shared" si="14"/>
        <v>0</v>
      </c>
      <c r="AB115" s="256"/>
      <c r="AC115" s="256">
        <v>0</v>
      </c>
      <c r="AD115" s="256">
        <f t="shared" si="3"/>
        <v>0</v>
      </c>
      <c r="AE115" s="257">
        <v>1</v>
      </c>
      <c r="AF115" s="256">
        <f t="shared" si="15"/>
        <v>0</v>
      </c>
      <c r="AG115" s="198" t="s">
        <v>241</v>
      </c>
      <c r="AH115" s="258">
        <f t="shared" si="16"/>
        <v>0</v>
      </c>
      <c r="AI115" s="256">
        <f t="shared" si="17"/>
        <v>0</v>
      </c>
      <c r="AJ115" s="198" t="s">
        <v>55</v>
      </c>
    </row>
    <row r="116" spans="1:36" ht="35.1" customHeight="1" x14ac:dyDescent="0.3">
      <c r="A116" s="244">
        <f>COUNT($A$3:$A115)+1</f>
        <v>114</v>
      </c>
      <c r="B116" s="244" t="s">
        <v>498</v>
      </c>
      <c r="C116" s="278"/>
      <c r="D116" s="274"/>
      <c r="E116" s="274"/>
      <c r="F116" s="198" t="s">
        <v>1165</v>
      </c>
      <c r="G116" s="198" t="s">
        <v>179</v>
      </c>
      <c r="H116" s="198" t="s">
        <v>497</v>
      </c>
      <c r="I116" s="251" t="s">
        <v>1162</v>
      </c>
      <c r="J116" s="273"/>
      <c r="K116" s="249"/>
      <c r="L116" s="279"/>
      <c r="M116" s="285"/>
      <c r="N116" s="198"/>
      <c r="O116" s="287"/>
      <c r="P116" s="287"/>
      <c r="Q116" s="288"/>
      <c r="R116" s="289"/>
      <c r="S116" s="289"/>
      <c r="T116" s="289"/>
      <c r="U116" s="289"/>
      <c r="V116" s="261"/>
      <c r="W116" s="198" t="s">
        <v>724</v>
      </c>
      <c r="X116" s="256">
        <v>200</v>
      </c>
      <c r="Y116" s="256">
        <v>0</v>
      </c>
      <c r="Z116" s="198" t="s">
        <v>498</v>
      </c>
      <c r="AA116" s="256">
        <f t="shared" si="14"/>
        <v>0</v>
      </c>
      <c r="AB116" s="256"/>
      <c r="AC116" s="256">
        <v>0</v>
      </c>
      <c r="AD116" s="256">
        <f t="shared" si="3"/>
        <v>0</v>
      </c>
      <c r="AE116" s="257">
        <v>1</v>
      </c>
      <c r="AF116" s="256">
        <f t="shared" si="15"/>
        <v>0</v>
      </c>
      <c r="AG116" s="198" t="s">
        <v>179</v>
      </c>
      <c r="AH116" s="258">
        <f t="shared" si="16"/>
        <v>0</v>
      </c>
      <c r="AI116" s="256">
        <f t="shared" si="17"/>
        <v>0</v>
      </c>
      <c r="AJ116" s="198" t="s">
        <v>55</v>
      </c>
    </row>
    <row r="117" spans="1:36" ht="35.1" customHeight="1" x14ac:dyDescent="0.3">
      <c r="A117" s="244">
        <f>COUNT($A$3:$A116)+1</f>
        <v>115</v>
      </c>
      <c r="B117" s="244" t="s">
        <v>498</v>
      </c>
      <c r="C117" s="178" t="s">
        <v>843</v>
      </c>
      <c r="D117" s="263">
        <v>33343</v>
      </c>
      <c r="E117" s="263">
        <v>42577</v>
      </c>
      <c r="F117" s="198" t="s">
        <v>671</v>
      </c>
      <c r="G117" s="198" t="s">
        <v>1168</v>
      </c>
      <c r="H117" s="198" t="s">
        <v>880</v>
      </c>
      <c r="I117" s="251" t="s">
        <v>1162</v>
      </c>
      <c r="J117" s="178" t="s">
        <v>840</v>
      </c>
      <c r="K117" s="249" t="s">
        <v>878</v>
      </c>
      <c r="L117" s="251" t="s">
        <v>1162</v>
      </c>
      <c r="M117" s="178" t="s">
        <v>879</v>
      </c>
      <c r="N117" s="178"/>
      <c r="O117" s="287"/>
      <c r="P117" s="287"/>
      <c r="Q117" s="288"/>
      <c r="R117" s="289"/>
      <c r="S117" s="289"/>
      <c r="T117" s="289"/>
      <c r="U117" s="289"/>
      <c r="V117" s="286">
        <v>2312</v>
      </c>
      <c r="W117" s="198" t="s">
        <v>1193</v>
      </c>
      <c r="X117" s="256">
        <v>6514</v>
      </c>
      <c r="Y117" s="256">
        <v>0</v>
      </c>
      <c r="Z117" s="198" t="s">
        <v>498</v>
      </c>
      <c r="AA117" s="256">
        <f t="shared" si="14"/>
        <v>0</v>
      </c>
      <c r="AB117" s="256"/>
      <c r="AC117" s="256">
        <v>0</v>
      </c>
      <c r="AD117" s="256">
        <f t="shared" ref="AD117:AD132" si="18">Y117-AC117</f>
        <v>0</v>
      </c>
      <c r="AE117" s="257">
        <v>1</v>
      </c>
      <c r="AF117" s="256">
        <f t="shared" si="15"/>
        <v>0</v>
      </c>
      <c r="AG117" s="198" t="s">
        <v>671</v>
      </c>
      <c r="AH117" s="258">
        <f t="shared" si="16"/>
        <v>0</v>
      </c>
      <c r="AI117" s="256">
        <f t="shared" si="17"/>
        <v>0</v>
      </c>
      <c r="AJ117" s="198" t="s">
        <v>55</v>
      </c>
    </row>
    <row r="118" spans="1:36" ht="35.1" customHeight="1" x14ac:dyDescent="0.3">
      <c r="A118" s="244">
        <f>COUNT($A$3:$A117)+1</f>
        <v>116</v>
      </c>
      <c r="B118" s="244" t="s">
        <v>498</v>
      </c>
      <c r="C118" s="178" t="s">
        <v>843</v>
      </c>
      <c r="D118" s="263">
        <v>33343</v>
      </c>
      <c r="E118" s="263">
        <v>42577</v>
      </c>
      <c r="F118" s="198" t="s">
        <v>671</v>
      </c>
      <c r="G118" s="198" t="s">
        <v>1168</v>
      </c>
      <c r="H118" s="198" t="s">
        <v>1176</v>
      </c>
      <c r="I118" s="251" t="s">
        <v>1162</v>
      </c>
      <c r="J118" s="178" t="s">
        <v>840</v>
      </c>
      <c r="K118" s="249" t="s">
        <v>888</v>
      </c>
      <c r="L118" s="251" t="s">
        <v>1162</v>
      </c>
      <c r="M118" s="178" t="s">
        <v>889</v>
      </c>
      <c r="N118" s="178"/>
      <c r="O118" s="287"/>
      <c r="P118" s="287"/>
      <c r="Q118" s="288"/>
      <c r="R118" s="289"/>
      <c r="S118" s="289"/>
      <c r="T118" s="289"/>
      <c r="U118" s="289"/>
      <c r="V118" s="286">
        <v>3118</v>
      </c>
      <c r="W118" s="198" t="s">
        <v>1193</v>
      </c>
      <c r="X118" s="256">
        <v>0</v>
      </c>
      <c r="Y118" s="256">
        <v>0</v>
      </c>
      <c r="Z118" s="198" t="s">
        <v>498</v>
      </c>
      <c r="AA118" s="256">
        <f t="shared" si="14"/>
        <v>0</v>
      </c>
      <c r="AB118" s="256"/>
      <c r="AC118" s="256">
        <v>0</v>
      </c>
      <c r="AD118" s="256">
        <f t="shared" ref="AD118" si="19">Y118-AC118</f>
        <v>0</v>
      </c>
      <c r="AE118" s="257">
        <v>1</v>
      </c>
      <c r="AF118" s="256">
        <f t="shared" si="15"/>
        <v>0</v>
      </c>
      <c r="AG118" s="198" t="s">
        <v>671</v>
      </c>
      <c r="AH118" s="258">
        <f t="shared" si="16"/>
        <v>0</v>
      </c>
      <c r="AI118" s="256">
        <f t="shared" si="17"/>
        <v>0</v>
      </c>
      <c r="AJ118" s="198" t="s">
        <v>55</v>
      </c>
    </row>
    <row r="119" spans="1:36" ht="35.1" customHeight="1" x14ac:dyDescent="0.3">
      <c r="A119" s="244">
        <f>COUNT($A$3:$A118)+1</f>
        <v>117</v>
      </c>
      <c r="B119" s="244" t="s">
        <v>498</v>
      </c>
      <c r="C119" s="283"/>
      <c r="D119" s="284"/>
      <c r="E119" s="284"/>
      <c r="F119" s="198" t="s">
        <v>671</v>
      </c>
      <c r="G119" s="198" t="s">
        <v>1168</v>
      </c>
      <c r="H119" s="198" t="s">
        <v>1177</v>
      </c>
      <c r="I119" s="251" t="s">
        <v>1162</v>
      </c>
      <c r="J119" s="198" t="s">
        <v>840</v>
      </c>
      <c r="K119" s="281"/>
      <c r="L119" s="282"/>
      <c r="M119" s="285"/>
      <c r="N119" s="198"/>
      <c r="O119" s="287"/>
      <c r="P119" s="287"/>
      <c r="Q119" s="288"/>
      <c r="R119" s="289"/>
      <c r="S119" s="289"/>
      <c r="T119" s="289"/>
      <c r="U119" s="289"/>
      <c r="V119" s="286" t="s">
        <v>1196</v>
      </c>
      <c r="W119" s="198" t="s">
        <v>1193</v>
      </c>
      <c r="X119" s="256">
        <v>0</v>
      </c>
      <c r="Y119" s="256">
        <v>0</v>
      </c>
      <c r="Z119" s="198" t="s">
        <v>498</v>
      </c>
      <c r="AA119" s="256">
        <f t="shared" si="14"/>
        <v>0</v>
      </c>
      <c r="AB119" s="256"/>
      <c r="AC119" s="256">
        <v>0</v>
      </c>
      <c r="AD119" s="256">
        <f t="shared" si="18"/>
        <v>0</v>
      </c>
      <c r="AE119" s="257">
        <v>1</v>
      </c>
      <c r="AF119" s="256">
        <f t="shared" si="15"/>
        <v>0</v>
      </c>
      <c r="AG119" s="198" t="s">
        <v>671</v>
      </c>
      <c r="AH119" s="258">
        <f t="shared" si="16"/>
        <v>0</v>
      </c>
      <c r="AI119" s="256">
        <f t="shared" si="17"/>
        <v>0</v>
      </c>
      <c r="AJ119" s="198" t="s">
        <v>55</v>
      </c>
    </row>
    <row r="120" spans="1:36" ht="35.1" customHeight="1" x14ac:dyDescent="0.3">
      <c r="A120" s="244">
        <f>COUNT($A$3:$A119)+1</f>
        <v>118</v>
      </c>
      <c r="B120" s="244" t="s">
        <v>498</v>
      </c>
      <c r="C120" s="283"/>
      <c r="D120" s="284"/>
      <c r="E120" s="284"/>
      <c r="F120" s="198" t="s">
        <v>671</v>
      </c>
      <c r="G120" s="198" t="s">
        <v>1168</v>
      </c>
      <c r="H120" s="198" t="s">
        <v>1178</v>
      </c>
      <c r="I120" s="251" t="s">
        <v>1162</v>
      </c>
      <c r="J120" s="198" t="s">
        <v>840</v>
      </c>
      <c r="K120" s="281"/>
      <c r="L120" s="282"/>
      <c r="M120" s="285"/>
      <c r="N120" s="198"/>
      <c r="O120" s="287"/>
      <c r="P120" s="287"/>
      <c r="Q120" s="290"/>
      <c r="R120" s="289"/>
      <c r="S120" s="289"/>
      <c r="T120" s="289"/>
      <c r="U120" s="289"/>
      <c r="V120" s="286">
        <f>V118/1.25</f>
        <v>2494.4</v>
      </c>
      <c r="W120" s="198" t="s">
        <v>1192</v>
      </c>
      <c r="X120" s="256">
        <f>X117*Q120</f>
        <v>0</v>
      </c>
      <c r="Y120" s="256">
        <v>0</v>
      </c>
      <c r="Z120" s="198" t="s">
        <v>498</v>
      </c>
      <c r="AA120" s="256">
        <f t="shared" si="14"/>
        <v>0</v>
      </c>
      <c r="AB120" s="256"/>
      <c r="AC120" s="256">
        <v>0</v>
      </c>
      <c r="AD120" s="256">
        <f t="shared" si="18"/>
        <v>0</v>
      </c>
      <c r="AE120" s="257">
        <v>1</v>
      </c>
      <c r="AF120" s="256">
        <f t="shared" si="15"/>
        <v>0</v>
      </c>
      <c r="AG120" s="198" t="s">
        <v>671</v>
      </c>
      <c r="AH120" s="258">
        <f t="shared" si="16"/>
        <v>0</v>
      </c>
      <c r="AI120" s="256">
        <f t="shared" si="17"/>
        <v>0</v>
      </c>
      <c r="AJ120" s="198" t="s">
        <v>55</v>
      </c>
    </row>
    <row r="121" spans="1:36" ht="35.1" customHeight="1" x14ac:dyDescent="0.3">
      <c r="A121" s="244">
        <f>COUNT($A$3:$A120)+1</f>
        <v>119</v>
      </c>
      <c r="B121" s="244" t="s">
        <v>498</v>
      </c>
      <c r="C121" s="178" t="s">
        <v>843</v>
      </c>
      <c r="D121" s="263">
        <v>33343</v>
      </c>
      <c r="E121" s="263">
        <v>42577</v>
      </c>
      <c r="F121" s="198" t="s">
        <v>671</v>
      </c>
      <c r="G121" s="198" t="s">
        <v>1168</v>
      </c>
      <c r="H121" s="198" t="s">
        <v>1179</v>
      </c>
      <c r="I121" s="251" t="s">
        <v>1162</v>
      </c>
      <c r="J121" s="178" t="s">
        <v>840</v>
      </c>
      <c r="K121" s="249" t="s">
        <v>868</v>
      </c>
      <c r="L121" s="251" t="s">
        <v>1162</v>
      </c>
      <c r="M121" s="178" t="s">
        <v>865</v>
      </c>
      <c r="N121" s="178"/>
      <c r="O121" s="287"/>
      <c r="P121" s="287"/>
      <c r="Q121" s="288"/>
      <c r="R121" s="289"/>
      <c r="S121" s="289"/>
      <c r="T121" s="289"/>
      <c r="U121" s="289"/>
      <c r="V121" s="286">
        <v>334</v>
      </c>
      <c r="W121" s="198" t="s">
        <v>1192</v>
      </c>
      <c r="X121" s="256"/>
      <c r="Y121" s="256">
        <v>0</v>
      </c>
      <c r="Z121" s="198" t="s">
        <v>498</v>
      </c>
      <c r="AA121" s="256">
        <f t="shared" si="14"/>
        <v>0</v>
      </c>
      <c r="AB121" s="256"/>
      <c r="AC121" s="256">
        <v>0</v>
      </c>
      <c r="AD121" s="256">
        <f t="shared" si="18"/>
        <v>0</v>
      </c>
      <c r="AE121" s="257">
        <v>1</v>
      </c>
      <c r="AF121" s="256">
        <f t="shared" si="15"/>
        <v>0</v>
      </c>
      <c r="AG121" s="198" t="s">
        <v>671</v>
      </c>
      <c r="AH121" s="258">
        <f t="shared" si="16"/>
        <v>0</v>
      </c>
      <c r="AI121" s="256">
        <f t="shared" si="17"/>
        <v>0</v>
      </c>
      <c r="AJ121" s="198" t="s">
        <v>55</v>
      </c>
    </row>
    <row r="122" spans="1:36" ht="35.1" customHeight="1" x14ac:dyDescent="0.3">
      <c r="A122" s="244">
        <f>COUNT($A$3:$A121)+1</f>
        <v>120</v>
      </c>
      <c r="B122" s="244" t="s">
        <v>498</v>
      </c>
      <c r="C122" s="178" t="s">
        <v>843</v>
      </c>
      <c r="D122" s="263">
        <v>33343</v>
      </c>
      <c r="E122" s="263">
        <v>42577</v>
      </c>
      <c r="F122" s="198" t="s">
        <v>671</v>
      </c>
      <c r="G122" s="198" t="s">
        <v>1168</v>
      </c>
      <c r="H122" s="198" t="s">
        <v>1180</v>
      </c>
      <c r="I122" s="251" t="s">
        <v>1162</v>
      </c>
      <c r="J122" s="178" t="s">
        <v>840</v>
      </c>
      <c r="K122" s="249" t="s">
        <v>863</v>
      </c>
      <c r="L122" s="251" t="s">
        <v>1162</v>
      </c>
      <c r="M122" s="178" t="s">
        <v>858</v>
      </c>
      <c r="N122" s="178"/>
      <c r="O122" s="287"/>
      <c r="P122" s="287"/>
      <c r="Q122" s="288"/>
      <c r="R122" s="289"/>
      <c r="S122" s="289"/>
      <c r="T122" s="289"/>
      <c r="U122" s="289"/>
      <c r="V122" s="286">
        <v>666</v>
      </c>
      <c r="W122" s="198" t="s">
        <v>1192</v>
      </c>
      <c r="X122" s="256"/>
      <c r="Y122" s="256">
        <v>0</v>
      </c>
      <c r="Z122" s="198" t="s">
        <v>498</v>
      </c>
      <c r="AA122" s="256">
        <f t="shared" si="14"/>
        <v>0</v>
      </c>
      <c r="AB122" s="256"/>
      <c r="AC122" s="256">
        <v>0</v>
      </c>
      <c r="AD122" s="256">
        <f t="shared" si="18"/>
        <v>0</v>
      </c>
      <c r="AE122" s="257">
        <v>1</v>
      </c>
      <c r="AF122" s="256">
        <f t="shared" si="15"/>
        <v>0</v>
      </c>
      <c r="AG122" s="198" t="s">
        <v>671</v>
      </c>
      <c r="AH122" s="258">
        <f t="shared" si="16"/>
        <v>0</v>
      </c>
      <c r="AI122" s="256">
        <f t="shared" si="17"/>
        <v>0</v>
      </c>
      <c r="AJ122" s="198" t="s">
        <v>55</v>
      </c>
    </row>
    <row r="123" spans="1:36" ht="35.1" customHeight="1" x14ac:dyDescent="0.3">
      <c r="A123" s="244">
        <f>COUNT($A$3:$A122)+1</f>
        <v>121</v>
      </c>
      <c r="B123" s="244" t="s">
        <v>498</v>
      </c>
      <c r="C123" s="178" t="s">
        <v>843</v>
      </c>
      <c r="D123" s="263">
        <v>33343</v>
      </c>
      <c r="E123" s="263">
        <v>42577</v>
      </c>
      <c r="F123" s="198" t="s">
        <v>671</v>
      </c>
      <c r="G123" s="198" t="s">
        <v>1168</v>
      </c>
      <c r="H123" s="198" t="s">
        <v>1181</v>
      </c>
      <c r="I123" s="251" t="s">
        <v>1162</v>
      </c>
      <c r="J123" s="178" t="s">
        <v>840</v>
      </c>
      <c r="K123" s="249" t="s">
        <v>841</v>
      </c>
      <c r="L123" s="251" t="s">
        <v>1162</v>
      </c>
      <c r="M123" s="178" t="s">
        <v>842</v>
      </c>
      <c r="N123" s="178"/>
      <c r="O123" s="287"/>
      <c r="P123" s="287"/>
      <c r="Q123" s="288"/>
      <c r="R123" s="288"/>
      <c r="S123" s="288"/>
      <c r="T123" s="288"/>
      <c r="U123" s="288"/>
      <c r="V123" s="286">
        <v>500</v>
      </c>
      <c r="W123" s="198" t="s">
        <v>1192</v>
      </c>
      <c r="X123" s="256"/>
      <c r="Y123" s="256">
        <v>0</v>
      </c>
      <c r="Z123" s="198" t="s">
        <v>498</v>
      </c>
      <c r="AA123" s="256">
        <f t="shared" si="14"/>
        <v>0</v>
      </c>
      <c r="AB123" s="256"/>
      <c r="AC123" s="256">
        <v>0</v>
      </c>
      <c r="AD123" s="256">
        <f t="shared" si="18"/>
        <v>0</v>
      </c>
      <c r="AE123" s="257">
        <v>1</v>
      </c>
      <c r="AF123" s="256">
        <f t="shared" si="15"/>
        <v>0</v>
      </c>
      <c r="AG123" s="198" t="s">
        <v>671</v>
      </c>
      <c r="AH123" s="258">
        <f t="shared" si="16"/>
        <v>0</v>
      </c>
      <c r="AI123" s="256">
        <f t="shared" si="17"/>
        <v>0</v>
      </c>
      <c r="AJ123" s="198" t="s">
        <v>55</v>
      </c>
    </row>
    <row r="124" spans="1:36" ht="35.1" customHeight="1" x14ac:dyDescent="0.3">
      <c r="A124" s="244">
        <f>COUNT($A$3:$A123)+1</f>
        <v>122</v>
      </c>
      <c r="B124" s="244" t="s">
        <v>498</v>
      </c>
      <c r="C124" s="178" t="s">
        <v>843</v>
      </c>
      <c r="D124" s="263">
        <v>33343</v>
      </c>
      <c r="E124" s="263">
        <v>42577</v>
      </c>
      <c r="F124" s="198" t="s">
        <v>671</v>
      </c>
      <c r="G124" s="198" t="s">
        <v>1168</v>
      </c>
      <c r="H124" s="198" t="s">
        <v>1182</v>
      </c>
      <c r="I124" s="251" t="s">
        <v>1162</v>
      </c>
      <c r="J124" s="178" t="s">
        <v>840</v>
      </c>
      <c r="K124" s="249" t="s">
        <v>856</v>
      </c>
      <c r="L124" s="251" t="s">
        <v>1162</v>
      </c>
      <c r="M124" s="178" t="s">
        <v>851</v>
      </c>
      <c r="N124" s="178"/>
      <c r="O124" s="287"/>
      <c r="P124" s="287"/>
      <c r="Q124" s="288"/>
      <c r="R124" s="288"/>
      <c r="S124" s="288"/>
      <c r="T124" s="288"/>
      <c r="U124" s="288"/>
      <c r="V124" s="286">
        <v>200</v>
      </c>
      <c r="W124" s="198" t="s">
        <v>1192</v>
      </c>
      <c r="X124" s="256"/>
      <c r="Y124" s="256">
        <v>0</v>
      </c>
      <c r="Z124" s="198" t="s">
        <v>498</v>
      </c>
      <c r="AA124" s="256">
        <f t="shared" si="14"/>
        <v>0</v>
      </c>
      <c r="AB124" s="256"/>
      <c r="AC124" s="256">
        <v>0</v>
      </c>
      <c r="AD124" s="256">
        <f t="shared" si="18"/>
        <v>0</v>
      </c>
      <c r="AE124" s="257">
        <v>1</v>
      </c>
      <c r="AF124" s="256">
        <f t="shared" si="15"/>
        <v>0</v>
      </c>
      <c r="AG124" s="198" t="s">
        <v>671</v>
      </c>
      <c r="AH124" s="258">
        <f t="shared" si="16"/>
        <v>0</v>
      </c>
      <c r="AI124" s="256">
        <f t="shared" si="17"/>
        <v>0</v>
      </c>
      <c r="AJ124" s="198" t="s">
        <v>55</v>
      </c>
    </row>
    <row r="125" spans="1:36" ht="35.1" customHeight="1" x14ac:dyDescent="0.3">
      <c r="A125" s="244">
        <f>COUNT($A$3:$A124)+1</f>
        <v>123</v>
      </c>
      <c r="B125" s="244" t="s">
        <v>498</v>
      </c>
      <c r="C125" s="178" t="s">
        <v>843</v>
      </c>
      <c r="D125" s="263">
        <v>33343</v>
      </c>
      <c r="E125" s="263">
        <v>42577</v>
      </c>
      <c r="F125" s="198" t="s">
        <v>671</v>
      </c>
      <c r="G125" s="198" t="s">
        <v>1169</v>
      </c>
      <c r="H125" s="198" t="s">
        <v>880</v>
      </c>
      <c r="I125" s="251" t="s">
        <v>1162</v>
      </c>
      <c r="J125" s="178" t="s">
        <v>840</v>
      </c>
      <c r="K125" s="249" t="s">
        <v>875</v>
      </c>
      <c r="L125" s="251" t="s">
        <v>1162</v>
      </c>
      <c r="M125" s="178" t="s">
        <v>874</v>
      </c>
      <c r="N125" s="178"/>
      <c r="O125" s="287"/>
      <c r="P125" s="287"/>
      <c r="Q125" s="290"/>
      <c r="R125" s="289"/>
      <c r="S125" s="289"/>
      <c r="T125" s="289"/>
      <c r="U125" s="289"/>
      <c r="V125" s="286">
        <v>2659</v>
      </c>
      <c r="W125" s="198" t="s">
        <v>1193</v>
      </c>
      <c r="X125" s="256">
        <v>6514</v>
      </c>
      <c r="Y125" s="256">
        <v>0</v>
      </c>
      <c r="Z125" s="198" t="s">
        <v>498</v>
      </c>
      <c r="AA125" s="256">
        <f t="shared" si="14"/>
        <v>0</v>
      </c>
      <c r="AB125" s="256"/>
      <c r="AC125" s="256">
        <v>0</v>
      </c>
      <c r="AD125" s="256">
        <f t="shared" si="18"/>
        <v>0</v>
      </c>
      <c r="AE125" s="257">
        <v>1</v>
      </c>
      <c r="AF125" s="256">
        <f t="shared" si="15"/>
        <v>0</v>
      </c>
      <c r="AG125" s="198" t="s">
        <v>671</v>
      </c>
      <c r="AH125" s="258">
        <f t="shared" si="16"/>
        <v>0</v>
      </c>
      <c r="AI125" s="256">
        <f t="shared" si="17"/>
        <v>0</v>
      </c>
      <c r="AJ125" s="198" t="s">
        <v>55</v>
      </c>
    </row>
    <row r="126" spans="1:36" ht="35.1" customHeight="1" x14ac:dyDescent="0.3">
      <c r="A126" s="244">
        <f>COUNT($A$3:$A125)+1</f>
        <v>124</v>
      </c>
      <c r="B126" s="244" t="s">
        <v>498</v>
      </c>
      <c r="C126" s="178" t="s">
        <v>843</v>
      </c>
      <c r="D126" s="263">
        <v>33343</v>
      </c>
      <c r="E126" s="263">
        <v>42577</v>
      </c>
      <c r="F126" s="198" t="s">
        <v>671</v>
      </c>
      <c r="G126" s="198" t="s">
        <v>1169</v>
      </c>
      <c r="H126" s="198" t="s">
        <v>1176</v>
      </c>
      <c r="I126" s="251" t="s">
        <v>1162</v>
      </c>
      <c r="J126" s="178" t="s">
        <v>840</v>
      </c>
      <c r="K126" s="249" t="s">
        <v>885</v>
      </c>
      <c r="L126" s="251" t="s">
        <v>1162</v>
      </c>
      <c r="M126" s="178" t="s">
        <v>884</v>
      </c>
      <c r="N126" s="178"/>
      <c r="O126" s="287"/>
      <c r="P126" s="287"/>
      <c r="Q126" s="290"/>
      <c r="R126" s="289"/>
      <c r="S126" s="289"/>
      <c r="T126" s="289"/>
      <c r="U126" s="289"/>
      <c r="V126" s="286">
        <v>3613</v>
      </c>
      <c r="W126" s="198" t="s">
        <v>1193</v>
      </c>
      <c r="X126" s="256">
        <v>0</v>
      </c>
      <c r="Y126" s="256">
        <v>0</v>
      </c>
      <c r="Z126" s="198" t="s">
        <v>498</v>
      </c>
      <c r="AA126" s="256">
        <f t="shared" si="14"/>
        <v>0</v>
      </c>
      <c r="AB126" s="256"/>
      <c r="AC126" s="256">
        <v>0</v>
      </c>
      <c r="AD126" s="256">
        <f t="shared" ref="AD126" si="20">Y126-AC126</f>
        <v>0</v>
      </c>
      <c r="AE126" s="257">
        <v>1</v>
      </c>
      <c r="AF126" s="256">
        <f t="shared" si="15"/>
        <v>0</v>
      </c>
      <c r="AG126" s="198" t="s">
        <v>671</v>
      </c>
      <c r="AH126" s="258">
        <f t="shared" si="16"/>
        <v>0</v>
      </c>
      <c r="AI126" s="256">
        <f t="shared" si="17"/>
        <v>0</v>
      </c>
      <c r="AJ126" s="198" t="s">
        <v>55</v>
      </c>
    </row>
    <row r="127" spans="1:36" ht="35.1" customHeight="1" x14ac:dyDescent="0.3">
      <c r="A127" s="244">
        <f>COUNT($A$3:$A126)+1</f>
        <v>125</v>
      </c>
      <c r="B127" s="244" t="s">
        <v>498</v>
      </c>
      <c r="C127" s="283"/>
      <c r="D127" s="284"/>
      <c r="E127" s="284"/>
      <c r="F127" s="198" t="s">
        <v>671</v>
      </c>
      <c r="G127" s="198" t="s">
        <v>1169</v>
      </c>
      <c r="H127" s="198" t="s">
        <v>1177</v>
      </c>
      <c r="I127" s="251" t="s">
        <v>1162</v>
      </c>
      <c r="J127" s="198" t="s">
        <v>840</v>
      </c>
      <c r="K127" s="281"/>
      <c r="L127" s="282"/>
      <c r="M127" s="285"/>
      <c r="N127" s="198"/>
      <c r="O127" s="287"/>
      <c r="P127" s="287"/>
      <c r="Q127" s="290"/>
      <c r="R127" s="289"/>
      <c r="S127" s="289"/>
      <c r="T127" s="289"/>
      <c r="U127" s="289"/>
      <c r="V127" s="286" t="s">
        <v>1196</v>
      </c>
      <c r="W127" s="198" t="s">
        <v>1193</v>
      </c>
      <c r="X127" s="256">
        <v>0</v>
      </c>
      <c r="Y127" s="256">
        <v>0</v>
      </c>
      <c r="Z127" s="198" t="s">
        <v>498</v>
      </c>
      <c r="AA127" s="256">
        <f t="shared" si="14"/>
        <v>0</v>
      </c>
      <c r="AB127" s="256"/>
      <c r="AC127" s="256">
        <v>0</v>
      </c>
      <c r="AD127" s="256">
        <f t="shared" si="18"/>
        <v>0</v>
      </c>
      <c r="AE127" s="257">
        <v>1</v>
      </c>
      <c r="AF127" s="256">
        <f t="shared" si="15"/>
        <v>0</v>
      </c>
      <c r="AG127" s="198" t="s">
        <v>671</v>
      </c>
      <c r="AH127" s="258">
        <f t="shared" si="16"/>
        <v>0</v>
      </c>
      <c r="AI127" s="256">
        <f t="shared" si="17"/>
        <v>0</v>
      </c>
      <c r="AJ127" s="198" t="s">
        <v>55</v>
      </c>
    </row>
    <row r="128" spans="1:36" ht="35.1" customHeight="1" x14ac:dyDescent="0.3">
      <c r="A128" s="244">
        <f>COUNT($A$3:$A127)+1</f>
        <v>126</v>
      </c>
      <c r="B128" s="244" t="s">
        <v>498</v>
      </c>
      <c r="C128" s="283"/>
      <c r="D128" s="284"/>
      <c r="E128" s="284"/>
      <c r="F128" s="198" t="s">
        <v>671</v>
      </c>
      <c r="G128" s="198" t="s">
        <v>1169</v>
      </c>
      <c r="H128" s="198" t="s">
        <v>1178</v>
      </c>
      <c r="I128" s="251" t="s">
        <v>1162</v>
      </c>
      <c r="J128" s="198" t="s">
        <v>840</v>
      </c>
      <c r="K128" s="281"/>
      <c r="L128" s="282"/>
      <c r="M128" s="285"/>
      <c r="N128" s="198"/>
      <c r="O128" s="287"/>
      <c r="P128" s="287"/>
      <c r="Q128" s="290"/>
      <c r="R128" s="289"/>
      <c r="S128" s="289"/>
      <c r="T128" s="289"/>
      <c r="U128" s="289"/>
      <c r="V128" s="286">
        <f>V126/1.25</f>
        <v>2890.4</v>
      </c>
      <c r="W128" s="198" t="s">
        <v>1192</v>
      </c>
      <c r="X128" s="256">
        <f>X125*Q128</f>
        <v>0</v>
      </c>
      <c r="Y128" s="256">
        <v>0</v>
      </c>
      <c r="Z128" s="198" t="s">
        <v>498</v>
      </c>
      <c r="AA128" s="256">
        <f t="shared" si="14"/>
        <v>0</v>
      </c>
      <c r="AB128" s="256"/>
      <c r="AC128" s="256">
        <v>0</v>
      </c>
      <c r="AD128" s="256">
        <f t="shared" si="18"/>
        <v>0</v>
      </c>
      <c r="AE128" s="257">
        <v>1</v>
      </c>
      <c r="AF128" s="256">
        <f t="shared" si="15"/>
        <v>0</v>
      </c>
      <c r="AG128" s="198" t="s">
        <v>671</v>
      </c>
      <c r="AH128" s="258">
        <f t="shared" si="16"/>
        <v>0</v>
      </c>
      <c r="AI128" s="256">
        <f t="shared" si="17"/>
        <v>0</v>
      </c>
      <c r="AJ128" s="198" t="s">
        <v>55</v>
      </c>
    </row>
    <row r="129" spans="1:36" ht="35.1" customHeight="1" x14ac:dyDescent="0.3">
      <c r="A129" s="244">
        <f>COUNT($A$3:$A128)+1</f>
        <v>127</v>
      </c>
      <c r="B129" s="244" t="s">
        <v>498</v>
      </c>
      <c r="C129" s="178" t="s">
        <v>843</v>
      </c>
      <c r="D129" s="263">
        <v>33343</v>
      </c>
      <c r="E129" s="263">
        <v>42577</v>
      </c>
      <c r="F129" s="198" t="s">
        <v>671</v>
      </c>
      <c r="G129" s="198" t="s">
        <v>1169</v>
      </c>
      <c r="H129" s="198" t="s">
        <v>1179</v>
      </c>
      <c r="I129" s="251" t="s">
        <v>1162</v>
      </c>
      <c r="J129" s="178" t="s">
        <v>840</v>
      </c>
      <c r="K129" s="249" t="s">
        <v>869</v>
      </c>
      <c r="L129" s="251" t="s">
        <v>1162</v>
      </c>
      <c r="M129" s="178" t="s">
        <v>865</v>
      </c>
      <c r="N129" s="178"/>
      <c r="O129" s="287"/>
      <c r="P129" s="287"/>
      <c r="Q129" s="288"/>
      <c r="R129" s="289"/>
      <c r="S129" s="289"/>
      <c r="T129" s="289"/>
      <c r="U129" s="289"/>
      <c r="V129" s="286">
        <v>365</v>
      </c>
      <c r="W129" s="198" t="s">
        <v>1192</v>
      </c>
      <c r="X129" s="256"/>
      <c r="Y129" s="256">
        <v>0</v>
      </c>
      <c r="Z129" s="198" t="s">
        <v>498</v>
      </c>
      <c r="AA129" s="256">
        <f t="shared" si="14"/>
        <v>0</v>
      </c>
      <c r="AB129" s="256"/>
      <c r="AC129" s="256">
        <v>0</v>
      </c>
      <c r="AD129" s="256">
        <f t="shared" si="18"/>
        <v>0</v>
      </c>
      <c r="AE129" s="257">
        <v>1</v>
      </c>
      <c r="AF129" s="256">
        <f t="shared" si="15"/>
        <v>0</v>
      </c>
      <c r="AG129" s="198" t="s">
        <v>671</v>
      </c>
      <c r="AH129" s="258">
        <f t="shared" si="16"/>
        <v>0</v>
      </c>
      <c r="AI129" s="256">
        <f t="shared" si="17"/>
        <v>0</v>
      </c>
      <c r="AJ129" s="198" t="s">
        <v>55</v>
      </c>
    </row>
    <row r="130" spans="1:36" ht="35.1" customHeight="1" x14ac:dyDescent="0.3">
      <c r="A130" s="244">
        <f>COUNT($A$3:$A129)+1</f>
        <v>128</v>
      </c>
      <c r="B130" s="244" t="s">
        <v>498</v>
      </c>
      <c r="C130" s="178" t="s">
        <v>843</v>
      </c>
      <c r="D130" s="263">
        <v>33343</v>
      </c>
      <c r="E130" s="263">
        <v>42577</v>
      </c>
      <c r="F130" s="198" t="s">
        <v>671</v>
      </c>
      <c r="G130" s="198" t="s">
        <v>1169</v>
      </c>
      <c r="H130" s="198" t="s">
        <v>1180</v>
      </c>
      <c r="I130" s="251" t="s">
        <v>1162</v>
      </c>
      <c r="J130" s="178" t="s">
        <v>840</v>
      </c>
      <c r="K130" s="249" t="s">
        <v>860</v>
      </c>
      <c r="L130" s="251" t="s">
        <v>1162</v>
      </c>
      <c r="M130" s="178" t="s">
        <v>858</v>
      </c>
      <c r="N130" s="178"/>
      <c r="O130" s="287"/>
      <c r="P130" s="287"/>
      <c r="Q130" s="288"/>
      <c r="R130" s="289"/>
      <c r="S130" s="289"/>
      <c r="T130" s="289"/>
      <c r="U130" s="289"/>
      <c r="V130" s="286">
        <v>657</v>
      </c>
      <c r="W130" s="198" t="s">
        <v>1192</v>
      </c>
      <c r="X130" s="256"/>
      <c r="Y130" s="256">
        <v>0</v>
      </c>
      <c r="Z130" s="198" t="s">
        <v>498</v>
      </c>
      <c r="AA130" s="256">
        <f t="shared" si="14"/>
        <v>0</v>
      </c>
      <c r="AB130" s="256"/>
      <c r="AC130" s="256">
        <v>0</v>
      </c>
      <c r="AD130" s="256">
        <f t="shared" si="18"/>
        <v>0</v>
      </c>
      <c r="AE130" s="257">
        <v>1</v>
      </c>
      <c r="AF130" s="256">
        <f t="shared" si="15"/>
        <v>0</v>
      </c>
      <c r="AG130" s="198" t="s">
        <v>671</v>
      </c>
      <c r="AH130" s="258">
        <f t="shared" si="16"/>
        <v>0</v>
      </c>
      <c r="AI130" s="256">
        <f t="shared" si="17"/>
        <v>0</v>
      </c>
      <c r="AJ130" s="198" t="s">
        <v>55</v>
      </c>
    </row>
    <row r="131" spans="1:36" ht="35.1" customHeight="1" x14ac:dyDescent="0.3">
      <c r="A131" s="244">
        <f>COUNT($A$3:$A130)+1</f>
        <v>129</v>
      </c>
      <c r="B131" s="244" t="s">
        <v>498</v>
      </c>
      <c r="C131" s="178" t="s">
        <v>843</v>
      </c>
      <c r="D131" s="263">
        <v>33343</v>
      </c>
      <c r="E131" s="263">
        <v>42577</v>
      </c>
      <c r="F131" s="198" t="s">
        <v>671</v>
      </c>
      <c r="G131" s="198" t="s">
        <v>1169</v>
      </c>
      <c r="H131" s="198" t="s">
        <v>1181</v>
      </c>
      <c r="I131" s="251" t="s">
        <v>1162</v>
      </c>
      <c r="J131" s="178" t="s">
        <v>840</v>
      </c>
      <c r="K131" s="249" t="s">
        <v>846</v>
      </c>
      <c r="L131" s="251" t="s">
        <v>1162</v>
      </c>
      <c r="M131" s="178" t="s">
        <v>842</v>
      </c>
      <c r="N131" s="178"/>
      <c r="O131" s="287"/>
      <c r="P131" s="287"/>
      <c r="Q131" s="288"/>
      <c r="R131" s="288"/>
      <c r="S131" s="288"/>
      <c r="T131" s="288"/>
      <c r="U131" s="288"/>
      <c r="V131" s="286">
        <v>576</v>
      </c>
      <c r="W131" s="198" t="s">
        <v>1192</v>
      </c>
      <c r="X131" s="256"/>
      <c r="Y131" s="256">
        <v>0</v>
      </c>
      <c r="Z131" s="198" t="s">
        <v>498</v>
      </c>
      <c r="AA131" s="256">
        <f t="shared" si="14"/>
        <v>0</v>
      </c>
      <c r="AB131" s="256"/>
      <c r="AC131" s="256">
        <v>0</v>
      </c>
      <c r="AD131" s="256">
        <f t="shared" si="18"/>
        <v>0</v>
      </c>
      <c r="AE131" s="257">
        <v>1</v>
      </c>
      <c r="AF131" s="256">
        <f t="shared" si="15"/>
        <v>0</v>
      </c>
      <c r="AG131" s="198" t="s">
        <v>671</v>
      </c>
      <c r="AH131" s="258">
        <f t="shared" si="16"/>
        <v>0</v>
      </c>
      <c r="AI131" s="256">
        <f t="shared" si="17"/>
        <v>0</v>
      </c>
      <c r="AJ131" s="198" t="s">
        <v>55</v>
      </c>
    </row>
    <row r="132" spans="1:36" ht="35.1" customHeight="1" x14ac:dyDescent="0.3">
      <c r="A132" s="244">
        <f>COUNT($A$3:$A131)+1</f>
        <v>130</v>
      </c>
      <c r="B132" s="244" t="s">
        <v>498</v>
      </c>
      <c r="C132" s="178" t="s">
        <v>843</v>
      </c>
      <c r="D132" s="263">
        <v>33343</v>
      </c>
      <c r="E132" s="263">
        <v>42577</v>
      </c>
      <c r="F132" s="198" t="s">
        <v>671</v>
      </c>
      <c r="G132" s="198" t="s">
        <v>1169</v>
      </c>
      <c r="H132" s="198" t="s">
        <v>1182</v>
      </c>
      <c r="I132" s="251" t="s">
        <v>1162</v>
      </c>
      <c r="J132" s="178" t="s">
        <v>840</v>
      </c>
      <c r="K132" s="249" t="s">
        <v>853</v>
      </c>
      <c r="L132" s="251" t="s">
        <v>1162</v>
      </c>
      <c r="M132" s="178" t="s">
        <v>851</v>
      </c>
      <c r="N132" s="178"/>
      <c r="O132" s="287"/>
      <c r="P132" s="287"/>
      <c r="Q132" s="288"/>
      <c r="R132" s="288"/>
      <c r="S132" s="288"/>
      <c r="T132" s="288"/>
      <c r="U132" s="288"/>
      <c r="V132" s="286">
        <v>240</v>
      </c>
      <c r="W132" s="198" t="s">
        <v>1192</v>
      </c>
      <c r="X132" s="256"/>
      <c r="Y132" s="256">
        <v>0</v>
      </c>
      <c r="Z132" s="198" t="s">
        <v>498</v>
      </c>
      <c r="AA132" s="256">
        <f t="shared" si="14"/>
        <v>0</v>
      </c>
      <c r="AB132" s="256"/>
      <c r="AC132" s="256">
        <v>0</v>
      </c>
      <c r="AD132" s="256">
        <f t="shared" si="18"/>
        <v>0</v>
      </c>
      <c r="AE132" s="257">
        <v>1</v>
      </c>
      <c r="AF132" s="256">
        <f t="shared" si="15"/>
        <v>0</v>
      </c>
      <c r="AG132" s="198" t="s">
        <v>671</v>
      </c>
      <c r="AH132" s="258">
        <f t="shared" si="16"/>
        <v>0</v>
      </c>
      <c r="AI132" s="256">
        <f t="shared" si="17"/>
        <v>0</v>
      </c>
      <c r="AJ132" s="198" t="s">
        <v>55</v>
      </c>
    </row>
    <row r="133" spans="1:36" ht="35.1" customHeight="1" x14ac:dyDescent="0.3">
      <c r="A133" s="244">
        <f>COUNT($A$3:$A132)+1</f>
        <v>131</v>
      </c>
      <c r="B133" s="244" t="s">
        <v>498</v>
      </c>
      <c r="C133" s="178" t="s">
        <v>843</v>
      </c>
      <c r="D133" s="263">
        <v>33343</v>
      </c>
      <c r="E133" s="263">
        <v>42577</v>
      </c>
      <c r="F133" s="198" t="s">
        <v>671</v>
      </c>
      <c r="G133" s="198" t="s">
        <v>1170</v>
      </c>
      <c r="H133" s="198" t="s">
        <v>880</v>
      </c>
      <c r="I133" s="251" t="s">
        <v>1162</v>
      </c>
      <c r="J133" s="178" t="s">
        <v>840</v>
      </c>
      <c r="K133" s="249" t="s">
        <v>873</v>
      </c>
      <c r="L133" s="251" t="s">
        <v>1162</v>
      </c>
      <c r="M133" s="178" t="s">
        <v>874</v>
      </c>
      <c r="N133" s="178"/>
      <c r="O133" s="287"/>
      <c r="P133" s="287"/>
      <c r="Q133" s="290"/>
      <c r="R133" s="289"/>
      <c r="S133" s="289"/>
      <c r="T133" s="289"/>
      <c r="U133" s="289"/>
      <c r="V133" s="286">
        <v>2312</v>
      </c>
      <c r="W133" s="198" t="s">
        <v>1193</v>
      </c>
      <c r="X133" s="256">
        <v>6514</v>
      </c>
      <c r="Y133" s="256">
        <v>0</v>
      </c>
      <c r="Z133" s="198" t="s">
        <v>498</v>
      </c>
      <c r="AA133" s="256">
        <f t="shared" si="14"/>
        <v>0</v>
      </c>
      <c r="AB133" s="256"/>
      <c r="AC133" s="256">
        <v>0</v>
      </c>
      <c r="AD133" s="256">
        <f t="shared" si="3"/>
        <v>0</v>
      </c>
      <c r="AE133" s="257">
        <v>1</v>
      </c>
      <c r="AF133" s="256">
        <f t="shared" si="15"/>
        <v>0</v>
      </c>
      <c r="AG133" s="198" t="s">
        <v>671</v>
      </c>
      <c r="AH133" s="258">
        <f t="shared" si="16"/>
        <v>0</v>
      </c>
      <c r="AI133" s="256">
        <f t="shared" si="17"/>
        <v>0</v>
      </c>
      <c r="AJ133" s="198" t="s">
        <v>55</v>
      </c>
    </row>
    <row r="134" spans="1:36" ht="35.1" customHeight="1" x14ac:dyDescent="0.3">
      <c r="A134" s="244">
        <f>COUNT($A$3:$A133)+1</f>
        <v>132</v>
      </c>
      <c r="B134" s="244" t="s">
        <v>498</v>
      </c>
      <c r="C134" s="178" t="s">
        <v>843</v>
      </c>
      <c r="D134" s="263">
        <v>33343</v>
      </c>
      <c r="E134" s="263">
        <v>42577</v>
      </c>
      <c r="F134" s="198" t="s">
        <v>671</v>
      </c>
      <c r="G134" s="198" t="s">
        <v>1170</v>
      </c>
      <c r="H134" s="198" t="s">
        <v>1176</v>
      </c>
      <c r="I134" s="251" t="s">
        <v>1162</v>
      </c>
      <c r="J134" s="178" t="s">
        <v>840</v>
      </c>
      <c r="K134" s="249" t="s">
        <v>883</v>
      </c>
      <c r="L134" s="251" t="s">
        <v>1162</v>
      </c>
      <c r="M134" s="178" t="s">
        <v>884</v>
      </c>
      <c r="N134" s="178"/>
      <c r="O134" s="287"/>
      <c r="P134" s="287"/>
      <c r="Q134" s="290"/>
      <c r="R134" s="289"/>
      <c r="S134" s="289"/>
      <c r="T134" s="289"/>
      <c r="U134" s="289"/>
      <c r="V134" s="286">
        <v>3118</v>
      </c>
      <c r="W134" s="198" t="s">
        <v>1193</v>
      </c>
      <c r="X134" s="256">
        <v>0</v>
      </c>
      <c r="Y134" s="256">
        <v>0</v>
      </c>
      <c r="Z134" s="198" t="s">
        <v>498</v>
      </c>
      <c r="AA134" s="256">
        <f t="shared" si="14"/>
        <v>0</v>
      </c>
      <c r="AB134" s="256"/>
      <c r="AC134" s="256">
        <v>0</v>
      </c>
      <c r="AD134" s="256">
        <f t="shared" ref="AD134" si="21">Y134-AC134</f>
        <v>0</v>
      </c>
      <c r="AE134" s="257">
        <v>1</v>
      </c>
      <c r="AF134" s="256">
        <f t="shared" si="15"/>
        <v>0</v>
      </c>
      <c r="AG134" s="198" t="s">
        <v>671</v>
      </c>
      <c r="AH134" s="258">
        <f t="shared" si="16"/>
        <v>0</v>
      </c>
      <c r="AI134" s="256">
        <f t="shared" si="17"/>
        <v>0</v>
      </c>
      <c r="AJ134" s="198" t="s">
        <v>55</v>
      </c>
    </row>
    <row r="135" spans="1:36" ht="35.1" customHeight="1" x14ac:dyDescent="0.3">
      <c r="A135" s="244">
        <f>COUNT($A$3:$A134)+1</f>
        <v>133</v>
      </c>
      <c r="B135" s="244" t="s">
        <v>498</v>
      </c>
      <c r="C135" s="283"/>
      <c r="D135" s="284"/>
      <c r="E135" s="284"/>
      <c r="F135" s="198" t="s">
        <v>671</v>
      </c>
      <c r="G135" s="198" t="s">
        <v>1170</v>
      </c>
      <c r="H135" s="198" t="s">
        <v>1177</v>
      </c>
      <c r="I135" s="251" t="s">
        <v>1162</v>
      </c>
      <c r="J135" s="198" t="s">
        <v>840</v>
      </c>
      <c r="K135" s="281"/>
      <c r="L135" s="282"/>
      <c r="M135" s="285"/>
      <c r="N135" s="198"/>
      <c r="O135" s="287"/>
      <c r="P135" s="287"/>
      <c r="Q135" s="290"/>
      <c r="R135" s="289"/>
      <c r="S135" s="289"/>
      <c r="T135" s="289"/>
      <c r="U135" s="289"/>
      <c r="V135" s="286" t="s">
        <v>1196</v>
      </c>
      <c r="W135" s="198" t="s">
        <v>1193</v>
      </c>
      <c r="X135" s="256">
        <v>0</v>
      </c>
      <c r="Y135" s="256">
        <v>0</v>
      </c>
      <c r="Z135" s="198" t="s">
        <v>498</v>
      </c>
      <c r="AA135" s="256">
        <f t="shared" si="14"/>
        <v>0</v>
      </c>
      <c r="AB135" s="256"/>
      <c r="AC135" s="256">
        <v>0</v>
      </c>
      <c r="AD135" s="256">
        <f t="shared" si="3"/>
        <v>0</v>
      </c>
      <c r="AE135" s="257">
        <v>1</v>
      </c>
      <c r="AF135" s="256">
        <f t="shared" si="15"/>
        <v>0</v>
      </c>
      <c r="AG135" s="198" t="s">
        <v>671</v>
      </c>
      <c r="AH135" s="258">
        <f t="shared" si="16"/>
        <v>0</v>
      </c>
      <c r="AI135" s="256">
        <f t="shared" si="17"/>
        <v>0</v>
      </c>
      <c r="AJ135" s="198" t="s">
        <v>55</v>
      </c>
    </row>
    <row r="136" spans="1:36" ht="35.1" customHeight="1" x14ac:dyDescent="0.3">
      <c r="A136" s="244">
        <f>COUNT($A$3:$A135)+1</f>
        <v>134</v>
      </c>
      <c r="B136" s="244" t="s">
        <v>498</v>
      </c>
      <c r="C136" s="283"/>
      <c r="D136" s="284"/>
      <c r="E136" s="284"/>
      <c r="F136" s="198" t="s">
        <v>671</v>
      </c>
      <c r="G136" s="198" t="s">
        <v>1170</v>
      </c>
      <c r="H136" s="198" t="s">
        <v>1178</v>
      </c>
      <c r="I136" s="251" t="s">
        <v>1162</v>
      </c>
      <c r="J136" s="198" t="s">
        <v>840</v>
      </c>
      <c r="K136" s="281"/>
      <c r="L136" s="282"/>
      <c r="M136" s="285"/>
      <c r="N136" s="198"/>
      <c r="O136" s="287"/>
      <c r="P136" s="287"/>
      <c r="Q136" s="290"/>
      <c r="R136" s="289"/>
      <c r="S136" s="289"/>
      <c r="T136" s="289"/>
      <c r="U136" s="289"/>
      <c r="V136" s="286">
        <f>V134/1.25</f>
        <v>2494.4</v>
      </c>
      <c r="W136" s="198" t="s">
        <v>1192</v>
      </c>
      <c r="X136" s="256">
        <f>X133*Q136</f>
        <v>0</v>
      </c>
      <c r="Y136" s="256">
        <v>0</v>
      </c>
      <c r="Z136" s="198" t="s">
        <v>498</v>
      </c>
      <c r="AA136" s="256">
        <f t="shared" si="14"/>
        <v>0</v>
      </c>
      <c r="AB136" s="256"/>
      <c r="AC136" s="256">
        <v>0</v>
      </c>
      <c r="AD136" s="256">
        <f t="shared" si="3"/>
        <v>0</v>
      </c>
      <c r="AE136" s="257">
        <v>1</v>
      </c>
      <c r="AF136" s="256">
        <f t="shared" si="15"/>
        <v>0</v>
      </c>
      <c r="AG136" s="198" t="s">
        <v>671</v>
      </c>
      <c r="AH136" s="258">
        <f t="shared" si="16"/>
        <v>0</v>
      </c>
      <c r="AI136" s="256">
        <f t="shared" si="17"/>
        <v>0</v>
      </c>
      <c r="AJ136" s="198" t="s">
        <v>55</v>
      </c>
    </row>
    <row r="137" spans="1:36" ht="35.1" customHeight="1" x14ac:dyDescent="0.3">
      <c r="A137" s="244">
        <f>COUNT($A$3:$A136)+1</f>
        <v>135</v>
      </c>
      <c r="B137" s="244" t="s">
        <v>498</v>
      </c>
      <c r="C137" s="178" t="s">
        <v>843</v>
      </c>
      <c r="D137" s="263">
        <v>33343</v>
      </c>
      <c r="E137" s="263">
        <v>42577</v>
      </c>
      <c r="F137" s="198" t="s">
        <v>671</v>
      </c>
      <c r="G137" s="198" t="s">
        <v>1170</v>
      </c>
      <c r="H137" s="198" t="s">
        <v>1179</v>
      </c>
      <c r="I137" s="251" t="s">
        <v>1162</v>
      </c>
      <c r="J137" s="178" t="s">
        <v>840</v>
      </c>
      <c r="K137" s="249" t="s">
        <v>864</v>
      </c>
      <c r="L137" s="251" t="s">
        <v>1162</v>
      </c>
      <c r="M137" s="178" t="s">
        <v>865</v>
      </c>
      <c r="N137" s="178"/>
      <c r="O137" s="287"/>
      <c r="P137" s="287"/>
      <c r="Q137" s="288"/>
      <c r="R137" s="289"/>
      <c r="S137" s="289"/>
      <c r="T137" s="289"/>
      <c r="U137" s="289"/>
      <c r="V137" s="286">
        <v>334</v>
      </c>
      <c r="W137" s="198" t="s">
        <v>1192</v>
      </c>
      <c r="X137" s="256"/>
      <c r="Y137" s="256">
        <v>0</v>
      </c>
      <c r="Z137" s="198" t="s">
        <v>498</v>
      </c>
      <c r="AA137" s="256">
        <f t="shared" si="14"/>
        <v>0</v>
      </c>
      <c r="AB137" s="256"/>
      <c r="AC137" s="256">
        <v>0</v>
      </c>
      <c r="AD137" s="256">
        <f t="shared" si="3"/>
        <v>0</v>
      </c>
      <c r="AE137" s="257">
        <v>1</v>
      </c>
      <c r="AF137" s="256">
        <f t="shared" si="15"/>
        <v>0</v>
      </c>
      <c r="AG137" s="198" t="s">
        <v>671</v>
      </c>
      <c r="AH137" s="258">
        <f t="shared" si="16"/>
        <v>0</v>
      </c>
      <c r="AI137" s="256">
        <f t="shared" si="17"/>
        <v>0</v>
      </c>
      <c r="AJ137" s="198" t="s">
        <v>55</v>
      </c>
    </row>
    <row r="138" spans="1:36" ht="35.1" customHeight="1" x14ac:dyDescent="0.3">
      <c r="A138" s="244">
        <f>COUNT($A$3:$A137)+1</f>
        <v>136</v>
      </c>
      <c r="B138" s="244" t="s">
        <v>498</v>
      </c>
      <c r="C138" s="178" t="s">
        <v>843</v>
      </c>
      <c r="D138" s="263">
        <v>33343</v>
      </c>
      <c r="E138" s="263">
        <v>42577</v>
      </c>
      <c r="F138" s="198" t="s">
        <v>671</v>
      </c>
      <c r="G138" s="198" t="s">
        <v>1170</v>
      </c>
      <c r="H138" s="198" t="s">
        <v>1180</v>
      </c>
      <c r="I138" s="251" t="s">
        <v>1162</v>
      </c>
      <c r="J138" s="178" t="s">
        <v>840</v>
      </c>
      <c r="K138" s="249" t="s">
        <v>859</v>
      </c>
      <c r="L138" s="251" t="s">
        <v>1162</v>
      </c>
      <c r="M138" s="178" t="s">
        <v>858</v>
      </c>
      <c r="N138" s="178"/>
      <c r="O138" s="287"/>
      <c r="P138" s="287"/>
      <c r="Q138" s="288"/>
      <c r="R138" s="289"/>
      <c r="S138" s="289"/>
      <c r="T138" s="289"/>
      <c r="U138" s="289"/>
      <c r="V138" s="286">
        <v>666</v>
      </c>
      <c r="W138" s="198" t="s">
        <v>1192</v>
      </c>
      <c r="X138" s="256"/>
      <c r="Y138" s="256">
        <v>0</v>
      </c>
      <c r="Z138" s="198" t="s">
        <v>498</v>
      </c>
      <c r="AA138" s="256">
        <f t="shared" si="14"/>
        <v>0</v>
      </c>
      <c r="AB138" s="256"/>
      <c r="AC138" s="256">
        <v>0</v>
      </c>
      <c r="AD138" s="256">
        <f t="shared" si="3"/>
        <v>0</v>
      </c>
      <c r="AE138" s="257">
        <v>1</v>
      </c>
      <c r="AF138" s="256">
        <f t="shared" si="15"/>
        <v>0</v>
      </c>
      <c r="AG138" s="198" t="s">
        <v>671</v>
      </c>
      <c r="AH138" s="258">
        <f t="shared" si="16"/>
        <v>0</v>
      </c>
      <c r="AI138" s="256">
        <f t="shared" si="17"/>
        <v>0</v>
      </c>
      <c r="AJ138" s="198" t="s">
        <v>55</v>
      </c>
    </row>
    <row r="139" spans="1:36" ht="35.1" customHeight="1" x14ac:dyDescent="0.3">
      <c r="A139" s="244">
        <f>COUNT($A$3:$A138)+1</f>
        <v>137</v>
      </c>
      <c r="B139" s="244" t="s">
        <v>498</v>
      </c>
      <c r="C139" s="178" t="s">
        <v>843</v>
      </c>
      <c r="D139" s="263">
        <v>33343</v>
      </c>
      <c r="E139" s="263">
        <v>42577</v>
      </c>
      <c r="F139" s="198" t="s">
        <v>671</v>
      </c>
      <c r="G139" s="198" t="s">
        <v>1170</v>
      </c>
      <c r="H139" s="198" t="s">
        <v>1181</v>
      </c>
      <c r="I139" s="251" t="s">
        <v>1162</v>
      </c>
      <c r="J139" s="178" t="s">
        <v>840</v>
      </c>
      <c r="K139" s="249" t="s">
        <v>847</v>
      </c>
      <c r="L139" s="251" t="s">
        <v>1162</v>
      </c>
      <c r="M139" s="178" t="s">
        <v>842</v>
      </c>
      <c r="N139" s="178"/>
      <c r="O139" s="287"/>
      <c r="P139" s="287"/>
      <c r="Q139" s="288"/>
      <c r="R139" s="288"/>
      <c r="S139" s="288"/>
      <c r="T139" s="288"/>
      <c r="U139" s="288"/>
      <c r="V139" s="286">
        <v>500</v>
      </c>
      <c r="W139" s="198" t="s">
        <v>1192</v>
      </c>
      <c r="X139" s="256"/>
      <c r="Y139" s="256">
        <v>0</v>
      </c>
      <c r="Z139" s="198" t="s">
        <v>498</v>
      </c>
      <c r="AA139" s="256">
        <f t="shared" si="14"/>
        <v>0</v>
      </c>
      <c r="AB139" s="256"/>
      <c r="AC139" s="256">
        <v>0</v>
      </c>
      <c r="AD139" s="256">
        <f t="shared" si="3"/>
        <v>0</v>
      </c>
      <c r="AE139" s="257">
        <v>1</v>
      </c>
      <c r="AF139" s="256">
        <f t="shared" si="15"/>
        <v>0</v>
      </c>
      <c r="AG139" s="198" t="s">
        <v>671</v>
      </c>
      <c r="AH139" s="258">
        <f t="shared" si="16"/>
        <v>0</v>
      </c>
      <c r="AI139" s="256">
        <f t="shared" si="17"/>
        <v>0</v>
      </c>
      <c r="AJ139" s="198" t="s">
        <v>55</v>
      </c>
    </row>
    <row r="140" spans="1:36" ht="35.1" customHeight="1" x14ac:dyDescent="0.3">
      <c r="A140" s="244">
        <f>COUNT($A$3:$A139)+1</f>
        <v>138</v>
      </c>
      <c r="B140" s="244" t="s">
        <v>498</v>
      </c>
      <c r="C140" s="178" t="s">
        <v>843</v>
      </c>
      <c r="D140" s="263">
        <v>33343</v>
      </c>
      <c r="E140" s="263">
        <v>42577</v>
      </c>
      <c r="F140" s="198" t="s">
        <v>671</v>
      </c>
      <c r="G140" s="198" t="s">
        <v>1170</v>
      </c>
      <c r="H140" s="198" t="s">
        <v>1182</v>
      </c>
      <c r="I140" s="251" t="s">
        <v>1162</v>
      </c>
      <c r="J140" s="178" t="s">
        <v>840</v>
      </c>
      <c r="K140" s="249" t="s">
        <v>852</v>
      </c>
      <c r="L140" s="251" t="s">
        <v>1162</v>
      </c>
      <c r="M140" s="178" t="s">
        <v>851</v>
      </c>
      <c r="N140" s="178"/>
      <c r="O140" s="287"/>
      <c r="P140" s="287"/>
      <c r="Q140" s="288"/>
      <c r="R140" s="288"/>
      <c r="S140" s="288"/>
      <c r="T140" s="288"/>
      <c r="U140" s="288"/>
      <c r="V140" s="286">
        <v>200</v>
      </c>
      <c r="W140" s="198" t="s">
        <v>1192</v>
      </c>
      <c r="X140" s="256"/>
      <c r="Y140" s="256">
        <v>0</v>
      </c>
      <c r="Z140" s="198" t="s">
        <v>498</v>
      </c>
      <c r="AA140" s="256">
        <f t="shared" si="14"/>
        <v>0</v>
      </c>
      <c r="AB140" s="256"/>
      <c r="AC140" s="256">
        <v>0</v>
      </c>
      <c r="AD140" s="256">
        <f t="shared" si="3"/>
        <v>0</v>
      </c>
      <c r="AE140" s="257">
        <v>1</v>
      </c>
      <c r="AF140" s="256">
        <f t="shared" si="15"/>
        <v>0</v>
      </c>
      <c r="AG140" s="198" t="s">
        <v>671</v>
      </c>
      <c r="AH140" s="258">
        <f t="shared" si="16"/>
        <v>0</v>
      </c>
      <c r="AI140" s="256">
        <f t="shared" si="17"/>
        <v>0</v>
      </c>
      <c r="AJ140" s="198" t="s">
        <v>55</v>
      </c>
    </row>
    <row r="141" spans="1:36" ht="35.1" customHeight="1" x14ac:dyDescent="0.3">
      <c r="A141" s="244">
        <f>COUNT($A$3:$A140)+1</f>
        <v>139</v>
      </c>
      <c r="B141" s="244" t="s">
        <v>498</v>
      </c>
      <c r="C141" s="178" t="s">
        <v>843</v>
      </c>
      <c r="D141" s="263">
        <v>33343</v>
      </c>
      <c r="E141" s="263">
        <v>42577</v>
      </c>
      <c r="F141" s="198" t="s">
        <v>671</v>
      </c>
      <c r="G141" s="198" t="s">
        <v>1171</v>
      </c>
      <c r="H141" s="198" t="s">
        <v>880</v>
      </c>
      <c r="I141" s="251" t="s">
        <v>1162</v>
      </c>
      <c r="J141" s="178" t="s">
        <v>840</v>
      </c>
      <c r="K141" s="249" t="s">
        <v>871</v>
      </c>
      <c r="L141" s="251" t="s">
        <v>1162</v>
      </c>
      <c r="M141" s="178" t="s">
        <v>872</v>
      </c>
      <c r="N141" s="178"/>
      <c r="O141" s="287"/>
      <c r="P141" s="287"/>
      <c r="Q141" s="290"/>
      <c r="R141" s="289"/>
      <c r="S141" s="289"/>
      <c r="T141" s="289"/>
      <c r="U141" s="289"/>
      <c r="V141" s="286">
        <v>2312</v>
      </c>
      <c r="W141" s="198" t="s">
        <v>1193</v>
      </c>
      <c r="X141" s="256">
        <v>6514</v>
      </c>
      <c r="Y141" s="256">
        <v>0</v>
      </c>
      <c r="Z141" s="198" t="s">
        <v>498</v>
      </c>
      <c r="AA141" s="256">
        <f t="shared" si="14"/>
        <v>0</v>
      </c>
      <c r="AB141" s="256"/>
      <c r="AC141" s="256">
        <v>0</v>
      </c>
      <c r="AD141" s="256">
        <f t="shared" ref="AD141:AD148" si="22">Y141-AC141</f>
        <v>0</v>
      </c>
      <c r="AE141" s="257">
        <v>1</v>
      </c>
      <c r="AF141" s="256">
        <f t="shared" si="15"/>
        <v>0</v>
      </c>
      <c r="AG141" s="198" t="s">
        <v>671</v>
      </c>
      <c r="AH141" s="258">
        <f t="shared" si="16"/>
        <v>0</v>
      </c>
      <c r="AI141" s="256">
        <f t="shared" si="17"/>
        <v>0</v>
      </c>
      <c r="AJ141" s="198" t="s">
        <v>55</v>
      </c>
    </row>
    <row r="142" spans="1:36" ht="35.1" customHeight="1" x14ac:dyDescent="0.3">
      <c r="A142" s="244">
        <f>COUNT($A$3:$A141)+1</f>
        <v>140</v>
      </c>
      <c r="B142" s="244" t="s">
        <v>498</v>
      </c>
      <c r="C142" s="178" t="s">
        <v>843</v>
      </c>
      <c r="D142" s="263">
        <v>33343</v>
      </c>
      <c r="E142" s="263">
        <v>42577</v>
      </c>
      <c r="F142" s="198" t="s">
        <v>671</v>
      </c>
      <c r="G142" s="198" t="s">
        <v>1171</v>
      </c>
      <c r="H142" s="198" t="s">
        <v>1176</v>
      </c>
      <c r="I142" s="251" t="s">
        <v>1162</v>
      </c>
      <c r="J142" s="178" t="s">
        <v>840</v>
      </c>
      <c r="K142" s="249" t="s">
        <v>881</v>
      </c>
      <c r="L142" s="251" t="s">
        <v>1162</v>
      </c>
      <c r="M142" s="178" t="s">
        <v>882</v>
      </c>
      <c r="N142" s="178"/>
      <c r="O142" s="287"/>
      <c r="P142" s="287"/>
      <c r="Q142" s="290"/>
      <c r="R142" s="289"/>
      <c r="S142" s="289"/>
      <c r="T142" s="289"/>
      <c r="U142" s="289"/>
      <c r="V142" s="286">
        <v>3118</v>
      </c>
      <c r="W142" s="198" t="s">
        <v>1193</v>
      </c>
      <c r="X142" s="256">
        <v>6514</v>
      </c>
      <c r="Y142" s="256">
        <v>0</v>
      </c>
      <c r="Z142" s="198" t="s">
        <v>498</v>
      </c>
      <c r="AA142" s="256">
        <f t="shared" si="14"/>
        <v>0</v>
      </c>
      <c r="AB142" s="256"/>
      <c r="AC142" s="256">
        <v>0</v>
      </c>
      <c r="AD142" s="256">
        <f t="shared" ref="AD142" si="23">Y142-AC142</f>
        <v>0</v>
      </c>
      <c r="AE142" s="257">
        <v>1</v>
      </c>
      <c r="AF142" s="256">
        <f t="shared" si="15"/>
        <v>0</v>
      </c>
      <c r="AG142" s="198" t="s">
        <v>671</v>
      </c>
      <c r="AH142" s="258">
        <f t="shared" si="16"/>
        <v>0</v>
      </c>
      <c r="AI142" s="256">
        <f t="shared" si="17"/>
        <v>0</v>
      </c>
      <c r="AJ142" s="198" t="s">
        <v>55</v>
      </c>
    </row>
    <row r="143" spans="1:36" ht="35.1" customHeight="1" x14ac:dyDescent="0.3">
      <c r="A143" s="244">
        <f>COUNT($A$3:$A142)+1</f>
        <v>141</v>
      </c>
      <c r="B143" s="244" t="s">
        <v>498</v>
      </c>
      <c r="C143" s="283"/>
      <c r="D143" s="284"/>
      <c r="E143" s="284"/>
      <c r="F143" s="198" t="s">
        <v>671</v>
      </c>
      <c r="G143" s="198" t="s">
        <v>1171</v>
      </c>
      <c r="H143" s="198" t="s">
        <v>1177</v>
      </c>
      <c r="I143" s="251" t="s">
        <v>1162</v>
      </c>
      <c r="J143" s="198" t="s">
        <v>840</v>
      </c>
      <c r="K143" s="281"/>
      <c r="L143" s="282"/>
      <c r="M143" s="285"/>
      <c r="N143" s="198"/>
      <c r="O143" s="287"/>
      <c r="P143" s="287"/>
      <c r="Q143" s="290"/>
      <c r="R143" s="289"/>
      <c r="S143" s="289"/>
      <c r="T143" s="289"/>
      <c r="U143" s="289"/>
      <c r="V143" s="286" t="s">
        <v>1196</v>
      </c>
      <c r="W143" s="198" t="s">
        <v>1193</v>
      </c>
      <c r="X143" s="256">
        <v>0</v>
      </c>
      <c r="Y143" s="256">
        <v>0</v>
      </c>
      <c r="Z143" s="198" t="s">
        <v>498</v>
      </c>
      <c r="AA143" s="256">
        <f t="shared" si="14"/>
        <v>0</v>
      </c>
      <c r="AB143" s="256"/>
      <c r="AC143" s="256">
        <v>0</v>
      </c>
      <c r="AD143" s="256">
        <f t="shared" si="22"/>
        <v>0</v>
      </c>
      <c r="AE143" s="257">
        <v>1</v>
      </c>
      <c r="AF143" s="256">
        <f t="shared" si="15"/>
        <v>0</v>
      </c>
      <c r="AG143" s="198" t="s">
        <v>671</v>
      </c>
      <c r="AH143" s="258">
        <f t="shared" si="16"/>
        <v>0</v>
      </c>
      <c r="AI143" s="256">
        <f t="shared" si="17"/>
        <v>0</v>
      </c>
      <c r="AJ143" s="198" t="s">
        <v>55</v>
      </c>
    </row>
    <row r="144" spans="1:36" ht="35.1" customHeight="1" x14ac:dyDescent="0.3">
      <c r="A144" s="244">
        <f>COUNT($A$3:$A143)+1</f>
        <v>142</v>
      </c>
      <c r="B144" s="244" t="s">
        <v>498</v>
      </c>
      <c r="C144" s="283"/>
      <c r="D144" s="284"/>
      <c r="E144" s="284"/>
      <c r="F144" s="198" t="s">
        <v>671</v>
      </c>
      <c r="G144" s="198" t="s">
        <v>1171</v>
      </c>
      <c r="H144" s="198" t="s">
        <v>1178</v>
      </c>
      <c r="I144" s="251" t="s">
        <v>1162</v>
      </c>
      <c r="J144" s="198" t="s">
        <v>840</v>
      </c>
      <c r="K144" s="281"/>
      <c r="L144" s="282"/>
      <c r="M144" s="285"/>
      <c r="N144" s="198"/>
      <c r="O144" s="287"/>
      <c r="P144" s="287"/>
      <c r="Q144" s="290"/>
      <c r="R144" s="289"/>
      <c r="S144" s="289"/>
      <c r="T144" s="289"/>
      <c r="U144" s="289"/>
      <c r="V144" s="286">
        <f>V142/1.25</f>
        <v>2494.4</v>
      </c>
      <c r="W144" s="198" t="s">
        <v>1192</v>
      </c>
      <c r="X144" s="256">
        <f>X141*Q144</f>
        <v>0</v>
      </c>
      <c r="Y144" s="256">
        <v>0</v>
      </c>
      <c r="Z144" s="198" t="s">
        <v>498</v>
      </c>
      <c r="AA144" s="256">
        <f t="shared" si="14"/>
        <v>0</v>
      </c>
      <c r="AB144" s="256"/>
      <c r="AC144" s="256">
        <v>0</v>
      </c>
      <c r="AD144" s="256">
        <f t="shared" si="22"/>
        <v>0</v>
      </c>
      <c r="AE144" s="257">
        <v>1</v>
      </c>
      <c r="AF144" s="256">
        <f t="shared" si="15"/>
        <v>0</v>
      </c>
      <c r="AG144" s="198" t="s">
        <v>671</v>
      </c>
      <c r="AH144" s="258">
        <f t="shared" si="16"/>
        <v>0</v>
      </c>
      <c r="AI144" s="256">
        <f t="shared" si="17"/>
        <v>0</v>
      </c>
      <c r="AJ144" s="198" t="s">
        <v>55</v>
      </c>
    </row>
    <row r="145" spans="1:36" ht="35.1" customHeight="1" x14ac:dyDescent="0.3">
      <c r="A145" s="244">
        <f>COUNT($A$3:$A144)+1</f>
        <v>143</v>
      </c>
      <c r="B145" s="244" t="s">
        <v>498</v>
      </c>
      <c r="C145" s="178" t="s">
        <v>843</v>
      </c>
      <c r="D145" s="263">
        <v>33343</v>
      </c>
      <c r="E145" s="263">
        <v>42577</v>
      </c>
      <c r="F145" s="198" t="s">
        <v>671</v>
      </c>
      <c r="G145" s="198" t="s">
        <v>1171</v>
      </c>
      <c r="H145" s="198" t="s">
        <v>1179</v>
      </c>
      <c r="I145" s="251" t="s">
        <v>1162</v>
      </c>
      <c r="J145" s="178" t="s">
        <v>840</v>
      </c>
      <c r="K145" s="249" t="s">
        <v>870</v>
      </c>
      <c r="L145" s="251" t="s">
        <v>1162</v>
      </c>
      <c r="M145" s="178" t="s">
        <v>865</v>
      </c>
      <c r="N145" s="178"/>
      <c r="O145" s="287"/>
      <c r="P145" s="287"/>
      <c r="Q145" s="288"/>
      <c r="R145" s="289"/>
      <c r="S145" s="289"/>
      <c r="T145" s="289"/>
      <c r="U145" s="289"/>
      <c r="V145" s="286">
        <v>334</v>
      </c>
      <c r="W145" s="198" t="s">
        <v>1192</v>
      </c>
      <c r="X145" s="256"/>
      <c r="Y145" s="256">
        <v>0</v>
      </c>
      <c r="Z145" s="198" t="s">
        <v>498</v>
      </c>
      <c r="AA145" s="256">
        <f t="shared" si="14"/>
        <v>0</v>
      </c>
      <c r="AB145" s="256"/>
      <c r="AC145" s="256">
        <v>0</v>
      </c>
      <c r="AD145" s="256">
        <f t="shared" si="22"/>
        <v>0</v>
      </c>
      <c r="AE145" s="257">
        <v>1</v>
      </c>
      <c r="AF145" s="256">
        <f t="shared" si="15"/>
        <v>0</v>
      </c>
      <c r="AG145" s="198" t="s">
        <v>671</v>
      </c>
      <c r="AH145" s="258">
        <f t="shared" si="16"/>
        <v>0</v>
      </c>
      <c r="AI145" s="256">
        <f t="shared" si="17"/>
        <v>0</v>
      </c>
      <c r="AJ145" s="198" t="s">
        <v>55</v>
      </c>
    </row>
    <row r="146" spans="1:36" ht="35.1" customHeight="1" x14ac:dyDescent="0.3">
      <c r="A146" s="244">
        <f>COUNT($A$3:$A145)+1</f>
        <v>144</v>
      </c>
      <c r="B146" s="244" t="s">
        <v>498</v>
      </c>
      <c r="C146" s="178" t="s">
        <v>843</v>
      </c>
      <c r="D146" s="263">
        <v>33343</v>
      </c>
      <c r="E146" s="263">
        <v>42577</v>
      </c>
      <c r="F146" s="198" t="s">
        <v>671</v>
      </c>
      <c r="G146" s="198" t="s">
        <v>1171</v>
      </c>
      <c r="H146" s="198" t="s">
        <v>1180</v>
      </c>
      <c r="I146" s="251" t="s">
        <v>1162</v>
      </c>
      <c r="J146" s="178" t="s">
        <v>840</v>
      </c>
      <c r="K146" s="249" t="s">
        <v>857</v>
      </c>
      <c r="L146" s="251" t="s">
        <v>1162</v>
      </c>
      <c r="M146" s="178" t="s">
        <v>858</v>
      </c>
      <c r="N146" s="178"/>
      <c r="O146" s="287"/>
      <c r="P146" s="287"/>
      <c r="Q146" s="288"/>
      <c r="R146" s="289"/>
      <c r="S146" s="289"/>
      <c r="T146" s="289"/>
      <c r="U146" s="289"/>
      <c r="V146" s="286">
        <v>666</v>
      </c>
      <c r="W146" s="198" t="s">
        <v>1192</v>
      </c>
      <c r="X146" s="256"/>
      <c r="Y146" s="256">
        <v>0</v>
      </c>
      <c r="Z146" s="198" t="s">
        <v>498</v>
      </c>
      <c r="AA146" s="256">
        <f t="shared" si="14"/>
        <v>0</v>
      </c>
      <c r="AB146" s="256"/>
      <c r="AC146" s="256">
        <v>0</v>
      </c>
      <c r="AD146" s="256">
        <f t="shared" si="22"/>
        <v>0</v>
      </c>
      <c r="AE146" s="257">
        <v>1</v>
      </c>
      <c r="AF146" s="256">
        <f t="shared" si="15"/>
        <v>0</v>
      </c>
      <c r="AG146" s="198" t="s">
        <v>671</v>
      </c>
      <c r="AH146" s="258">
        <f t="shared" si="16"/>
        <v>0</v>
      </c>
      <c r="AI146" s="256">
        <f t="shared" si="17"/>
        <v>0</v>
      </c>
      <c r="AJ146" s="198" t="s">
        <v>55</v>
      </c>
    </row>
    <row r="147" spans="1:36" ht="35.1" customHeight="1" x14ac:dyDescent="0.3">
      <c r="A147" s="244">
        <f>COUNT($A$3:$A146)+1</f>
        <v>145</v>
      </c>
      <c r="B147" s="244" t="s">
        <v>498</v>
      </c>
      <c r="C147" s="178" t="s">
        <v>849</v>
      </c>
      <c r="D147" s="263">
        <v>33343</v>
      </c>
      <c r="E147" s="263">
        <v>42577</v>
      </c>
      <c r="F147" s="198" t="s">
        <v>671</v>
      </c>
      <c r="G147" s="198" t="s">
        <v>1171</v>
      </c>
      <c r="H147" s="198" t="s">
        <v>1181</v>
      </c>
      <c r="I147" s="251" t="s">
        <v>1162</v>
      </c>
      <c r="J147" s="178" t="s">
        <v>840</v>
      </c>
      <c r="K147" s="249" t="s">
        <v>848</v>
      </c>
      <c r="L147" s="251" t="s">
        <v>1162</v>
      </c>
      <c r="M147" s="178" t="s">
        <v>842</v>
      </c>
      <c r="N147" s="178"/>
      <c r="O147" s="287"/>
      <c r="P147" s="287"/>
      <c r="Q147" s="288"/>
      <c r="R147" s="288"/>
      <c r="S147" s="288"/>
      <c r="T147" s="288"/>
      <c r="U147" s="288"/>
      <c r="V147" s="286">
        <v>500</v>
      </c>
      <c r="W147" s="198" t="s">
        <v>1192</v>
      </c>
      <c r="X147" s="256"/>
      <c r="Y147" s="256">
        <v>0</v>
      </c>
      <c r="Z147" s="198" t="s">
        <v>498</v>
      </c>
      <c r="AA147" s="256">
        <f t="shared" si="14"/>
        <v>0</v>
      </c>
      <c r="AB147" s="256"/>
      <c r="AC147" s="256">
        <v>0</v>
      </c>
      <c r="AD147" s="256">
        <f t="shared" si="22"/>
        <v>0</v>
      </c>
      <c r="AE147" s="257">
        <v>1</v>
      </c>
      <c r="AF147" s="256">
        <f t="shared" si="15"/>
        <v>0</v>
      </c>
      <c r="AG147" s="198" t="s">
        <v>671</v>
      </c>
      <c r="AH147" s="258">
        <f t="shared" si="16"/>
        <v>0</v>
      </c>
      <c r="AI147" s="256">
        <f t="shared" si="17"/>
        <v>0</v>
      </c>
      <c r="AJ147" s="198" t="s">
        <v>55</v>
      </c>
    </row>
    <row r="148" spans="1:36" ht="35.1" customHeight="1" x14ac:dyDescent="0.3">
      <c r="A148" s="244">
        <f>COUNT($A$3:$A147)+1</f>
        <v>146</v>
      </c>
      <c r="B148" s="244" t="s">
        <v>498</v>
      </c>
      <c r="C148" s="178" t="s">
        <v>843</v>
      </c>
      <c r="D148" s="263">
        <v>33343</v>
      </c>
      <c r="E148" s="263">
        <v>42577</v>
      </c>
      <c r="F148" s="198" t="s">
        <v>671</v>
      </c>
      <c r="G148" s="198" t="s">
        <v>1171</v>
      </c>
      <c r="H148" s="198" t="s">
        <v>1182</v>
      </c>
      <c r="I148" s="251" t="s">
        <v>1162</v>
      </c>
      <c r="J148" s="178" t="s">
        <v>840</v>
      </c>
      <c r="K148" s="249" t="s">
        <v>850</v>
      </c>
      <c r="L148" s="251" t="s">
        <v>1162</v>
      </c>
      <c r="M148" s="178" t="s">
        <v>851</v>
      </c>
      <c r="N148" s="178"/>
      <c r="O148" s="287"/>
      <c r="P148" s="287"/>
      <c r="Q148" s="288"/>
      <c r="R148" s="288"/>
      <c r="S148" s="288"/>
      <c r="T148" s="288"/>
      <c r="U148" s="288"/>
      <c r="V148" s="286">
        <v>200</v>
      </c>
      <c r="W148" s="198" t="s">
        <v>1192</v>
      </c>
      <c r="X148" s="256"/>
      <c r="Y148" s="256">
        <v>0</v>
      </c>
      <c r="Z148" s="198" t="s">
        <v>498</v>
      </c>
      <c r="AA148" s="256">
        <f t="shared" si="14"/>
        <v>0</v>
      </c>
      <c r="AB148" s="256"/>
      <c r="AC148" s="256">
        <v>0</v>
      </c>
      <c r="AD148" s="256">
        <f t="shared" si="22"/>
        <v>0</v>
      </c>
      <c r="AE148" s="257">
        <v>1</v>
      </c>
      <c r="AF148" s="256">
        <f t="shared" si="15"/>
        <v>0</v>
      </c>
      <c r="AG148" s="198" t="s">
        <v>671</v>
      </c>
      <c r="AH148" s="258">
        <f t="shared" si="16"/>
        <v>0</v>
      </c>
      <c r="AI148" s="256">
        <f t="shared" si="17"/>
        <v>0</v>
      </c>
      <c r="AJ148" s="198" t="s">
        <v>55</v>
      </c>
    </row>
    <row r="149" spans="1:36" ht="35.1" customHeight="1" x14ac:dyDescent="0.3">
      <c r="A149" s="244">
        <f>COUNT($A$3:$A148)+1</f>
        <v>147</v>
      </c>
      <c r="B149" s="244" t="s">
        <v>498</v>
      </c>
      <c r="C149" s="178" t="s">
        <v>843</v>
      </c>
      <c r="D149" s="263">
        <v>33343</v>
      </c>
      <c r="E149" s="263">
        <v>42577</v>
      </c>
      <c r="F149" s="198" t="s">
        <v>671</v>
      </c>
      <c r="G149" s="198" t="s">
        <v>1166</v>
      </c>
      <c r="H149" s="198" t="s">
        <v>880</v>
      </c>
      <c r="I149" s="251" t="s">
        <v>1162</v>
      </c>
      <c r="J149" s="178" t="s">
        <v>840</v>
      </c>
      <c r="K149" s="249" t="s">
        <v>876</v>
      </c>
      <c r="L149" s="251" t="s">
        <v>1162</v>
      </c>
      <c r="M149" s="178" t="s">
        <v>877</v>
      </c>
      <c r="N149" s="178"/>
      <c r="O149" s="287"/>
      <c r="P149" s="287"/>
      <c r="Q149" s="290"/>
      <c r="R149" s="289"/>
      <c r="S149" s="289"/>
      <c r="T149" s="289"/>
      <c r="U149" s="289"/>
      <c r="V149" s="286">
        <v>4830</v>
      </c>
      <c r="W149" s="198" t="s">
        <v>1193</v>
      </c>
      <c r="X149" s="256">
        <v>6514</v>
      </c>
      <c r="Y149" s="256">
        <v>0</v>
      </c>
      <c r="Z149" s="198" t="s">
        <v>498</v>
      </c>
      <c r="AA149" s="256">
        <f t="shared" si="14"/>
        <v>0</v>
      </c>
      <c r="AB149" s="256"/>
      <c r="AC149" s="256">
        <v>0</v>
      </c>
      <c r="AD149" s="256">
        <f t="shared" si="3"/>
        <v>0</v>
      </c>
      <c r="AE149" s="257">
        <v>1</v>
      </c>
      <c r="AF149" s="256">
        <f t="shared" si="15"/>
        <v>0</v>
      </c>
      <c r="AG149" s="198" t="s">
        <v>671</v>
      </c>
      <c r="AH149" s="258">
        <f t="shared" si="16"/>
        <v>0</v>
      </c>
      <c r="AI149" s="256">
        <f t="shared" si="17"/>
        <v>0</v>
      </c>
      <c r="AJ149" s="198" t="s">
        <v>55</v>
      </c>
    </row>
    <row r="150" spans="1:36" ht="35.1" customHeight="1" x14ac:dyDescent="0.3">
      <c r="A150" s="244">
        <f>COUNT($A$3:$A149)+1</f>
        <v>148</v>
      </c>
      <c r="B150" s="244" t="s">
        <v>498</v>
      </c>
      <c r="C150" s="178" t="s">
        <v>843</v>
      </c>
      <c r="D150" s="263">
        <v>33343</v>
      </c>
      <c r="E150" s="263">
        <v>42577</v>
      </c>
      <c r="F150" s="198" t="s">
        <v>671</v>
      </c>
      <c r="G150" s="198" t="s">
        <v>1166</v>
      </c>
      <c r="H150" s="198" t="s">
        <v>1176</v>
      </c>
      <c r="I150" s="251" t="s">
        <v>1162</v>
      </c>
      <c r="J150" s="178" t="s">
        <v>840</v>
      </c>
      <c r="K150" s="249" t="s">
        <v>886</v>
      </c>
      <c r="L150" s="251" t="s">
        <v>1162</v>
      </c>
      <c r="M150" s="178" t="s">
        <v>887</v>
      </c>
      <c r="N150" s="178"/>
      <c r="O150" s="287"/>
      <c r="P150" s="287"/>
      <c r="Q150" s="290"/>
      <c r="R150" s="289"/>
      <c r="S150" s="289"/>
      <c r="T150" s="289"/>
      <c r="U150" s="289"/>
      <c r="V150" s="286">
        <v>6515</v>
      </c>
      <c r="W150" s="198" t="s">
        <v>1193</v>
      </c>
      <c r="X150" s="256">
        <v>0</v>
      </c>
      <c r="Y150" s="256">
        <v>0</v>
      </c>
      <c r="Z150" s="198" t="s">
        <v>498</v>
      </c>
      <c r="AA150" s="256">
        <f t="shared" si="14"/>
        <v>0</v>
      </c>
      <c r="AB150" s="256"/>
      <c r="AC150" s="256">
        <v>0</v>
      </c>
      <c r="AD150" s="256">
        <f t="shared" si="3"/>
        <v>0</v>
      </c>
      <c r="AE150" s="257">
        <v>1</v>
      </c>
      <c r="AF150" s="256">
        <f t="shared" si="15"/>
        <v>0</v>
      </c>
      <c r="AG150" s="198" t="s">
        <v>671</v>
      </c>
      <c r="AH150" s="258">
        <f t="shared" si="16"/>
        <v>0</v>
      </c>
      <c r="AI150" s="256">
        <f t="shared" si="17"/>
        <v>0</v>
      </c>
      <c r="AJ150" s="198" t="s">
        <v>55</v>
      </c>
    </row>
    <row r="151" spans="1:36" ht="35.1" customHeight="1" x14ac:dyDescent="0.3">
      <c r="A151" s="244">
        <f>COUNT($A$3:$A150)+1</f>
        <v>149</v>
      </c>
      <c r="B151" s="244" t="s">
        <v>498</v>
      </c>
      <c r="C151" s="283"/>
      <c r="D151" s="284"/>
      <c r="E151" s="284"/>
      <c r="F151" s="198" t="s">
        <v>671</v>
      </c>
      <c r="G151" s="198" t="s">
        <v>1166</v>
      </c>
      <c r="H151" s="198" t="s">
        <v>1177</v>
      </c>
      <c r="I151" s="251" t="s">
        <v>1162</v>
      </c>
      <c r="J151" s="198" t="s">
        <v>840</v>
      </c>
      <c r="K151" s="281" t="s">
        <v>1194</v>
      </c>
      <c r="L151" s="282"/>
      <c r="M151" s="285"/>
      <c r="N151" s="198"/>
      <c r="O151" s="287"/>
      <c r="P151" s="287"/>
      <c r="Q151" s="290"/>
      <c r="R151" s="289"/>
      <c r="S151" s="289"/>
      <c r="T151" s="289"/>
      <c r="U151" s="289"/>
      <c r="V151" s="286" t="s">
        <v>1196</v>
      </c>
      <c r="W151" s="198" t="s">
        <v>1193</v>
      </c>
      <c r="X151" s="256"/>
      <c r="Y151" s="256">
        <f>PRODUCT(O151:X151)</f>
        <v>0</v>
      </c>
      <c r="Z151" s="198" t="s">
        <v>498</v>
      </c>
      <c r="AA151" s="256">
        <f t="shared" si="14"/>
        <v>0</v>
      </c>
      <c r="AB151" s="256"/>
      <c r="AC151" s="256">
        <v>0</v>
      </c>
      <c r="AD151" s="256">
        <f t="shared" ref="AD151" si="24">Y151-AC151</f>
        <v>0</v>
      </c>
      <c r="AE151" s="257">
        <v>1</v>
      </c>
      <c r="AF151" s="256">
        <f t="shared" si="15"/>
        <v>0</v>
      </c>
      <c r="AG151" s="198" t="s">
        <v>671</v>
      </c>
      <c r="AH151" s="258">
        <f t="shared" si="16"/>
        <v>0</v>
      </c>
      <c r="AI151" s="256">
        <f t="shared" si="17"/>
        <v>0</v>
      </c>
      <c r="AJ151" s="198" t="s">
        <v>55</v>
      </c>
    </row>
    <row r="152" spans="1:36" ht="35.1" customHeight="1" x14ac:dyDescent="0.3">
      <c r="A152" s="244">
        <f>COUNT($A$3:$A151)+1</f>
        <v>150</v>
      </c>
      <c r="B152" s="244" t="s">
        <v>498</v>
      </c>
      <c r="C152" s="283"/>
      <c r="D152" s="284"/>
      <c r="E152" s="284"/>
      <c r="F152" s="198" t="s">
        <v>671</v>
      </c>
      <c r="G152" s="198" t="s">
        <v>1166</v>
      </c>
      <c r="H152" s="198" t="s">
        <v>1178</v>
      </c>
      <c r="I152" s="251" t="s">
        <v>1162</v>
      </c>
      <c r="J152" s="198" t="s">
        <v>840</v>
      </c>
      <c r="K152" s="281" t="s">
        <v>1195</v>
      </c>
      <c r="L152" s="282"/>
      <c r="M152" s="285"/>
      <c r="N152" s="198"/>
      <c r="O152" s="287"/>
      <c r="P152" s="287"/>
      <c r="Q152" s="290"/>
      <c r="R152" s="289"/>
      <c r="S152" s="289"/>
      <c r="T152" s="289"/>
      <c r="U152" s="289"/>
      <c r="V152" s="286">
        <f>V150/1.25</f>
        <v>5212</v>
      </c>
      <c r="W152" s="198" t="s">
        <v>1192</v>
      </c>
      <c r="X152" s="256"/>
      <c r="Y152" s="256">
        <v>0</v>
      </c>
      <c r="Z152" s="198" t="s">
        <v>498</v>
      </c>
      <c r="AA152" s="256">
        <f t="shared" si="14"/>
        <v>0</v>
      </c>
      <c r="AB152" s="256"/>
      <c r="AC152" s="256">
        <v>0</v>
      </c>
      <c r="AD152" s="256">
        <f t="shared" si="3"/>
        <v>0</v>
      </c>
      <c r="AE152" s="257">
        <v>1</v>
      </c>
      <c r="AF152" s="256">
        <f t="shared" si="15"/>
        <v>0</v>
      </c>
      <c r="AG152" s="198" t="s">
        <v>671</v>
      </c>
      <c r="AH152" s="258">
        <f t="shared" si="16"/>
        <v>0</v>
      </c>
      <c r="AI152" s="256">
        <f t="shared" si="17"/>
        <v>0</v>
      </c>
      <c r="AJ152" s="198" t="s">
        <v>55</v>
      </c>
    </row>
    <row r="153" spans="1:36" ht="35.1" customHeight="1" x14ac:dyDescent="0.3">
      <c r="A153" s="244">
        <f>COUNT($A$3:$A152)+1</f>
        <v>151</v>
      </c>
      <c r="B153" s="244" t="s">
        <v>498</v>
      </c>
      <c r="C153" s="178" t="s">
        <v>843</v>
      </c>
      <c r="D153" s="263">
        <v>33343</v>
      </c>
      <c r="E153" s="263">
        <v>42577</v>
      </c>
      <c r="F153" s="198" t="s">
        <v>671</v>
      </c>
      <c r="G153" s="198" t="s">
        <v>1166</v>
      </c>
      <c r="H153" s="198" t="s">
        <v>1179</v>
      </c>
      <c r="I153" s="251" t="s">
        <v>1162</v>
      </c>
      <c r="J153" s="178" t="s">
        <v>840</v>
      </c>
      <c r="K153" s="249" t="s">
        <v>866</v>
      </c>
      <c r="L153" s="251" t="s">
        <v>1162</v>
      </c>
      <c r="M153" s="178" t="s">
        <v>867</v>
      </c>
      <c r="N153" s="178"/>
      <c r="O153" s="287"/>
      <c r="P153" s="287"/>
      <c r="Q153" s="288"/>
      <c r="R153" s="289"/>
      <c r="S153" s="289"/>
      <c r="T153" s="289"/>
      <c r="U153" s="289"/>
      <c r="V153" s="286">
        <v>626</v>
      </c>
      <c r="W153" s="198" t="s">
        <v>1192</v>
      </c>
      <c r="X153" s="256"/>
      <c r="Y153" s="256">
        <v>0</v>
      </c>
      <c r="Z153" s="198" t="s">
        <v>498</v>
      </c>
      <c r="AA153" s="256">
        <f t="shared" si="14"/>
        <v>0</v>
      </c>
      <c r="AB153" s="256"/>
      <c r="AC153" s="256">
        <v>0</v>
      </c>
      <c r="AD153" s="256">
        <f t="shared" si="3"/>
        <v>0</v>
      </c>
      <c r="AE153" s="257">
        <v>1</v>
      </c>
      <c r="AF153" s="256">
        <f t="shared" si="15"/>
        <v>0</v>
      </c>
      <c r="AG153" s="198" t="s">
        <v>671</v>
      </c>
      <c r="AH153" s="258">
        <f t="shared" si="16"/>
        <v>0</v>
      </c>
      <c r="AI153" s="256">
        <f t="shared" si="17"/>
        <v>0</v>
      </c>
      <c r="AJ153" s="198" t="s">
        <v>55</v>
      </c>
    </row>
    <row r="154" spans="1:36" ht="35.1" customHeight="1" x14ac:dyDescent="0.3">
      <c r="A154" s="244">
        <f>COUNT($A$3:$A153)+1</f>
        <v>152</v>
      </c>
      <c r="B154" s="244" t="s">
        <v>498</v>
      </c>
      <c r="C154" s="178" t="s">
        <v>843</v>
      </c>
      <c r="D154" s="263">
        <v>33343</v>
      </c>
      <c r="E154" s="263">
        <v>42577</v>
      </c>
      <c r="F154" s="198" t="s">
        <v>671</v>
      </c>
      <c r="G154" s="198" t="s">
        <v>1166</v>
      </c>
      <c r="H154" s="198" t="s">
        <v>1180</v>
      </c>
      <c r="I154" s="251" t="s">
        <v>1162</v>
      </c>
      <c r="J154" s="178" t="s">
        <v>840</v>
      </c>
      <c r="K154" s="249" t="s">
        <v>861</v>
      </c>
      <c r="L154" s="251" t="s">
        <v>1162</v>
      </c>
      <c r="M154" s="178" t="s">
        <v>862</v>
      </c>
      <c r="N154" s="178"/>
      <c r="O154" s="287"/>
      <c r="P154" s="287"/>
      <c r="Q154" s="288"/>
      <c r="R154" s="289"/>
      <c r="S154" s="289"/>
      <c r="T154" s="289"/>
      <c r="U154" s="289"/>
      <c r="V154" s="286">
        <v>1247</v>
      </c>
      <c r="W154" s="198" t="s">
        <v>1192</v>
      </c>
      <c r="X154" s="256"/>
      <c r="Y154" s="256">
        <v>0</v>
      </c>
      <c r="Z154" s="198" t="s">
        <v>498</v>
      </c>
      <c r="AA154" s="256">
        <f t="shared" si="14"/>
        <v>0</v>
      </c>
      <c r="AB154" s="256"/>
      <c r="AC154" s="256">
        <v>0</v>
      </c>
      <c r="AD154" s="256">
        <f t="shared" si="3"/>
        <v>0</v>
      </c>
      <c r="AE154" s="257">
        <v>1</v>
      </c>
      <c r="AF154" s="256">
        <f t="shared" si="15"/>
        <v>0</v>
      </c>
      <c r="AG154" s="198" t="s">
        <v>671</v>
      </c>
      <c r="AH154" s="258">
        <f t="shared" si="16"/>
        <v>0</v>
      </c>
      <c r="AI154" s="256">
        <f t="shared" si="17"/>
        <v>0</v>
      </c>
      <c r="AJ154" s="198" t="s">
        <v>55</v>
      </c>
    </row>
    <row r="155" spans="1:36" ht="35.1" customHeight="1" x14ac:dyDescent="0.3">
      <c r="A155" s="244">
        <f>COUNT($A$3:$A154)+1</f>
        <v>153</v>
      </c>
      <c r="B155" s="244" t="s">
        <v>498</v>
      </c>
      <c r="C155" s="178" t="s">
        <v>843</v>
      </c>
      <c r="D155" s="263">
        <v>33343</v>
      </c>
      <c r="E155" s="263">
        <v>42577</v>
      </c>
      <c r="F155" s="198" t="s">
        <v>671</v>
      </c>
      <c r="G155" s="198" t="s">
        <v>1166</v>
      </c>
      <c r="H155" s="198" t="s">
        <v>1181</v>
      </c>
      <c r="I155" s="251" t="s">
        <v>1162</v>
      </c>
      <c r="J155" s="178" t="s">
        <v>840</v>
      </c>
      <c r="K155" s="249" t="s">
        <v>844</v>
      </c>
      <c r="L155" s="251" t="s">
        <v>1162</v>
      </c>
      <c r="M155" s="178" t="s">
        <v>845</v>
      </c>
      <c r="N155" s="178"/>
      <c r="O155" s="287"/>
      <c r="P155" s="287"/>
      <c r="Q155" s="288"/>
      <c r="R155" s="288"/>
      <c r="S155" s="288"/>
      <c r="T155" s="288"/>
      <c r="U155" s="288"/>
      <c r="V155" s="286">
        <v>936</v>
      </c>
      <c r="W155" s="198" t="s">
        <v>1192</v>
      </c>
      <c r="X155" s="256"/>
      <c r="Y155" s="256">
        <v>0</v>
      </c>
      <c r="Z155" s="198" t="s">
        <v>498</v>
      </c>
      <c r="AA155" s="256">
        <f t="shared" si="14"/>
        <v>0</v>
      </c>
      <c r="AB155" s="256"/>
      <c r="AC155" s="256">
        <v>0</v>
      </c>
      <c r="AD155" s="256">
        <f t="shared" si="3"/>
        <v>0</v>
      </c>
      <c r="AE155" s="257">
        <v>1</v>
      </c>
      <c r="AF155" s="256">
        <f t="shared" si="15"/>
        <v>0</v>
      </c>
      <c r="AG155" s="198" t="s">
        <v>671</v>
      </c>
      <c r="AH155" s="258">
        <f t="shared" si="16"/>
        <v>0</v>
      </c>
      <c r="AI155" s="256">
        <f t="shared" si="17"/>
        <v>0</v>
      </c>
      <c r="AJ155" s="198" t="s">
        <v>55</v>
      </c>
    </row>
    <row r="156" spans="1:36" ht="35.1" customHeight="1" x14ac:dyDescent="0.3">
      <c r="A156" s="244">
        <f>COUNT($A$3:$A155)+1</f>
        <v>154</v>
      </c>
      <c r="B156" s="244" t="s">
        <v>498</v>
      </c>
      <c r="C156" s="178" t="s">
        <v>843</v>
      </c>
      <c r="D156" s="263">
        <v>33343</v>
      </c>
      <c r="E156" s="263">
        <v>42577</v>
      </c>
      <c r="F156" s="198" t="s">
        <v>671</v>
      </c>
      <c r="G156" s="198" t="s">
        <v>1166</v>
      </c>
      <c r="H156" s="198" t="s">
        <v>1182</v>
      </c>
      <c r="I156" s="251" t="s">
        <v>1162</v>
      </c>
      <c r="J156" s="178" t="s">
        <v>840</v>
      </c>
      <c r="K156" s="249" t="s">
        <v>854</v>
      </c>
      <c r="L156" s="251" t="s">
        <v>1162</v>
      </c>
      <c r="M156" s="178" t="s">
        <v>855</v>
      </c>
      <c r="N156" s="178"/>
      <c r="O156" s="287"/>
      <c r="P156" s="287"/>
      <c r="Q156" s="288"/>
      <c r="R156" s="288"/>
      <c r="S156" s="288"/>
      <c r="T156" s="288"/>
      <c r="U156" s="288"/>
      <c r="V156" s="286">
        <v>375</v>
      </c>
      <c r="W156" s="198" t="s">
        <v>1192</v>
      </c>
      <c r="X156" s="256"/>
      <c r="Y156" s="256">
        <v>0</v>
      </c>
      <c r="Z156" s="198" t="s">
        <v>498</v>
      </c>
      <c r="AA156" s="256">
        <f t="shared" si="14"/>
        <v>0</v>
      </c>
      <c r="AB156" s="256"/>
      <c r="AC156" s="256">
        <v>0</v>
      </c>
      <c r="AD156" s="256">
        <f t="shared" si="3"/>
        <v>0</v>
      </c>
      <c r="AE156" s="257">
        <v>1</v>
      </c>
      <c r="AF156" s="256">
        <f t="shared" si="15"/>
        <v>0</v>
      </c>
      <c r="AG156" s="198" t="s">
        <v>671</v>
      </c>
      <c r="AH156" s="258">
        <f t="shared" si="16"/>
        <v>0</v>
      </c>
      <c r="AI156" s="256">
        <f t="shared" si="17"/>
        <v>0</v>
      </c>
      <c r="AJ156" s="198" t="s">
        <v>55</v>
      </c>
    </row>
    <row r="157" spans="1:36" ht="35.1" customHeight="1" x14ac:dyDescent="0.3">
      <c r="O157" s="250"/>
      <c r="P157" s="250"/>
      <c r="Z157" s="250"/>
    </row>
    <row r="158" spans="1:36" ht="35.1" customHeight="1" x14ac:dyDescent="0.3">
      <c r="O158" s="250"/>
      <c r="P158" s="250"/>
      <c r="Z158" s="250"/>
    </row>
    <row r="159" spans="1:36" ht="35.1" customHeight="1" x14ac:dyDescent="0.3">
      <c r="O159" s="250"/>
      <c r="P159" s="250"/>
      <c r="Z159" s="250"/>
    </row>
    <row r="160" spans="1:36" ht="35.1" customHeight="1" x14ac:dyDescent="0.3">
      <c r="O160" s="250"/>
      <c r="P160" s="250"/>
      <c r="Z160" s="250"/>
    </row>
    <row r="161" spans="24:30" ht="35.1" customHeight="1" x14ac:dyDescent="0.3">
      <c r="X161" s="260"/>
      <c r="Y161" s="260"/>
      <c r="AA161" s="260"/>
      <c r="AB161" s="260"/>
      <c r="AC161" s="260"/>
      <c r="AD161" s="260"/>
    </row>
    <row r="162" spans="24:30" x14ac:dyDescent="0.3">
      <c r="X162" s="260"/>
      <c r="Y162" s="260"/>
      <c r="AA162" s="260"/>
      <c r="AB162" s="260"/>
      <c r="AC162" s="260"/>
      <c r="AD162" s="260"/>
    </row>
    <row r="163" spans="24:30" x14ac:dyDescent="0.3">
      <c r="X163" s="260"/>
      <c r="Y163" s="260"/>
      <c r="AA163" s="260"/>
      <c r="AB163" s="260"/>
      <c r="AC163" s="260"/>
      <c r="AD163" s="260"/>
    </row>
    <row r="164" spans="24:30" x14ac:dyDescent="0.3">
      <c r="X164" s="260"/>
      <c r="Y164" s="260"/>
      <c r="AA164" s="260"/>
      <c r="AB164" s="260"/>
      <c r="AC164" s="260"/>
      <c r="AD164" s="260"/>
    </row>
    <row r="165" spans="24:30" x14ac:dyDescent="0.3">
      <c r="X165" s="260"/>
      <c r="Y165" s="260"/>
      <c r="AA165" s="260"/>
      <c r="AB165" s="260"/>
      <c r="AC165" s="260"/>
      <c r="AD165" s="260"/>
    </row>
    <row r="166" spans="24:30" x14ac:dyDescent="0.3">
      <c r="X166" s="260"/>
      <c r="Y166" s="260"/>
      <c r="AA166" s="260"/>
      <c r="AB166" s="260"/>
      <c r="AC166" s="260"/>
      <c r="AD166" s="260"/>
    </row>
    <row r="167" spans="24:30" x14ac:dyDescent="0.3">
      <c r="X167" s="260"/>
      <c r="Y167" s="260"/>
      <c r="AA167" s="260"/>
      <c r="AB167" s="260"/>
      <c r="AC167" s="260"/>
      <c r="AD167" s="260"/>
    </row>
    <row r="168" spans="24:30" x14ac:dyDescent="0.3">
      <c r="X168" s="260"/>
      <c r="Y168" s="260"/>
      <c r="AA168" s="260"/>
      <c r="AB168" s="260"/>
      <c r="AC168" s="260"/>
      <c r="AD168" s="260"/>
    </row>
    <row r="169" spans="24:30" x14ac:dyDescent="0.3">
      <c r="X169" s="260"/>
      <c r="Y169" s="260"/>
      <c r="AA169" s="260"/>
      <c r="AB169" s="260"/>
      <c r="AC169" s="260"/>
      <c r="AD169" s="260"/>
    </row>
    <row r="170" spans="24:30" x14ac:dyDescent="0.3">
      <c r="X170" s="260"/>
      <c r="Y170" s="260"/>
      <c r="AA170" s="260"/>
      <c r="AB170" s="260"/>
      <c r="AC170" s="260"/>
      <c r="AD170" s="260"/>
    </row>
    <row r="171" spans="24:30" x14ac:dyDescent="0.3">
      <c r="X171" s="260"/>
      <c r="Y171" s="260"/>
      <c r="AA171" s="260"/>
      <c r="AB171" s="260"/>
      <c r="AC171" s="260"/>
      <c r="AD171" s="260"/>
    </row>
    <row r="172" spans="24:30" x14ac:dyDescent="0.3">
      <c r="X172" s="260"/>
      <c r="Y172" s="260"/>
      <c r="AA172" s="260"/>
      <c r="AB172" s="260"/>
      <c r="AC172" s="260"/>
      <c r="AD172" s="260"/>
    </row>
    <row r="173" spans="24:30" x14ac:dyDescent="0.3">
      <c r="X173" s="260"/>
      <c r="Y173" s="260"/>
      <c r="AA173" s="260"/>
      <c r="AB173" s="260"/>
      <c r="AC173" s="260"/>
      <c r="AD173" s="260"/>
    </row>
    <row r="174" spans="24:30" x14ac:dyDescent="0.3">
      <c r="X174" s="260"/>
      <c r="Y174" s="260"/>
      <c r="AA174" s="260"/>
      <c r="AB174" s="260"/>
      <c r="AC174" s="260"/>
      <c r="AD174" s="260"/>
    </row>
    <row r="175" spans="24:30" x14ac:dyDescent="0.3">
      <c r="X175" s="260"/>
      <c r="Y175" s="260"/>
      <c r="AA175" s="260"/>
      <c r="AB175" s="260"/>
      <c r="AC175" s="260"/>
      <c r="AD175" s="260"/>
    </row>
    <row r="176" spans="24:30" x14ac:dyDescent="0.3">
      <c r="X176" s="260"/>
      <c r="Y176" s="260"/>
      <c r="AA176" s="260"/>
      <c r="AB176" s="260"/>
      <c r="AC176" s="260"/>
      <c r="AD176" s="260"/>
    </row>
    <row r="177" spans="24:30" x14ac:dyDescent="0.3">
      <c r="X177" s="260"/>
      <c r="Y177" s="260"/>
      <c r="AA177" s="260"/>
      <c r="AB177" s="260"/>
      <c r="AC177" s="260"/>
      <c r="AD177" s="260"/>
    </row>
    <row r="178" spans="24:30" x14ac:dyDescent="0.3">
      <c r="X178" s="260"/>
      <c r="Y178" s="260"/>
      <c r="AA178" s="260"/>
      <c r="AB178" s="260"/>
      <c r="AC178" s="260"/>
      <c r="AD178" s="260"/>
    </row>
    <row r="179" spans="24:30" x14ac:dyDescent="0.3">
      <c r="X179" s="260"/>
      <c r="Y179" s="260"/>
      <c r="AA179" s="260"/>
      <c r="AB179" s="260"/>
      <c r="AC179" s="260"/>
      <c r="AD179" s="260"/>
    </row>
    <row r="180" spans="24:30" x14ac:dyDescent="0.3">
      <c r="X180" s="260"/>
      <c r="Y180" s="260"/>
      <c r="AA180" s="260"/>
      <c r="AB180" s="260"/>
      <c r="AC180" s="260"/>
      <c r="AD180" s="260"/>
    </row>
    <row r="181" spans="24:30" x14ac:dyDescent="0.3">
      <c r="X181" s="260"/>
      <c r="Y181" s="260"/>
      <c r="AA181" s="260"/>
      <c r="AB181" s="260"/>
      <c r="AC181" s="260"/>
      <c r="AD181" s="260"/>
    </row>
    <row r="182" spans="24:30" x14ac:dyDescent="0.3">
      <c r="X182" s="260"/>
      <c r="Y182" s="260"/>
      <c r="AA182" s="260"/>
      <c r="AB182" s="260"/>
      <c r="AC182" s="260"/>
      <c r="AD182" s="260"/>
    </row>
    <row r="183" spans="24:30" x14ac:dyDescent="0.3">
      <c r="X183" s="260"/>
      <c r="Y183" s="260"/>
      <c r="AA183" s="260"/>
      <c r="AB183" s="260"/>
      <c r="AC183" s="260"/>
      <c r="AD183" s="260"/>
    </row>
    <row r="184" spans="24:30" x14ac:dyDescent="0.3">
      <c r="X184" s="260"/>
      <c r="Y184" s="260"/>
      <c r="AA184" s="260"/>
      <c r="AB184" s="260"/>
      <c r="AC184" s="260"/>
      <c r="AD184" s="260"/>
    </row>
    <row r="185" spans="24:30" x14ac:dyDescent="0.3">
      <c r="X185" s="260"/>
      <c r="Y185" s="260"/>
      <c r="AA185" s="260"/>
      <c r="AB185" s="260"/>
      <c r="AC185" s="260"/>
      <c r="AD185" s="260"/>
    </row>
    <row r="186" spans="24:30" x14ac:dyDescent="0.3">
      <c r="X186" s="260"/>
      <c r="Y186" s="260"/>
      <c r="AA186" s="260"/>
      <c r="AB186" s="260"/>
      <c r="AC186" s="260"/>
      <c r="AD186" s="260"/>
    </row>
    <row r="187" spans="24:30" x14ac:dyDescent="0.3">
      <c r="X187" s="260"/>
      <c r="Y187" s="260"/>
      <c r="AA187" s="260"/>
      <c r="AB187" s="260"/>
      <c r="AC187" s="260"/>
      <c r="AD187" s="260"/>
    </row>
    <row r="188" spans="24:30" x14ac:dyDescent="0.3">
      <c r="X188" s="260"/>
      <c r="Y188" s="260"/>
      <c r="AA188" s="260"/>
      <c r="AB188" s="260"/>
      <c r="AC188" s="260"/>
      <c r="AD188" s="260"/>
    </row>
    <row r="189" spans="24:30" x14ac:dyDescent="0.3">
      <c r="X189" s="260"/>
      <c r="Y189" s="260"/>
      <c r="AA189" s="260"/>
      <c r="AB189" s="260"/>
      <c r="AC189" s="260"/>
      <c r="AD189" s="260"/>
    </row>
    <row r="190" spans="24:30" x14ac:dyDescent="0.3">
      <c r="X190" s="260"/>
      <c r="Y190" s="260"/>
      <c r="AA190" s="260"/>
      <c r="AB190" s="260"/>
      <c r="AC190" s="260"/>
      <c r="AD190" s="260"/>
    </row>
    <row r="191" spans="24:30" x14ac:dyDescent="0.3">
      <c r="X191" s="260"/>
      <c r="Y191" s="260"/>
      <c r="AA191" s="260"/>
      <c r="AB191" s="260"/>
      <c r="AC191" s="260"/>
      <c r="AD191" s="260"/>
    </row>
    <row r="192" spans="24:30" x14ac:dyDescent="0.3">
      <c r="X192" s="260"/>
      <c r="Y192" s="260"/>
      <c r="AA192" s="260"/>
      <c r="AB192" s="260"/>
      <c r="AC192" s="260"/>
      <c r="AD192" s="260"/>
    </row>
    <row r="193" spans="24:30" x14ac:dyDescent="0.3">
      <c r="X193" s="260"/>
      <c r="Y193" s="260"/>
      <c r="AA193" s="260"/>
      <c r="AB193" s="260"/>
      <c r="AC193" s="260"/>
      <c r="AD193" s="260"/>
    </row>
    <row r="194" spans="24:30" x14ac:dyDescent="0.3">
      <c r="X194" s="260"/>
      <c r="Y194" s="260"/>
      <c r="AA194" s="260"/>
      <c r="AB194" s="260"/>
      <c r="AC194" s="260"/>
      <c r="AD194" s="260"/>
    </row>
    <row r="195" spans="24:30" x14ac:dyDescent="0.3">
      <c r="X195" s="260"/>
      <c r="Y195" s="260"/>
      <c r="AA195" s="260"/>
      <c r="AB195" s="260"/>
      <c r="AC195" s="260"/>
      <c r="AD195" s="260"/>
    </row>
    <row r="196" spans="24:30" x14ac:dyDescent="0.3">
      <c r="X196" s="260"/>
      <c r="Y196" s="260"/>
      <c r="AA196" s="260"/>
      <c r="AB196" s="260"/>
      <c r="AC196" s="260"/>
      <c r="AD196" s="260"/>
    </row>
    <row r="197" spans="24:30" x14ac:dyDescent="0.3">
      <c r="X197" s="260"/>
      <c r="Y197" s="260"/>
      <c r="AA197" s="260"/>
      <c r="AB197" s="260"/>
      <c r="AC197" s="260"/>
      <c r="AD197" s="260"/>
    </row>
    <row r="198" spans="24:30" x14ac:dyDescent="0.3">
      <c r="X198" s="260"/>
      <c r="Y198" s="260"/>
      <c r="AA198" s="260"/>
      <c r="AB198" s="260"/>
      <c r="AC198" s="260"/>
      <c r="AD198" s="260"/>
    </row>
    <row r="199" spans="24:30" x14ac:dyDescent="0.3">
      <c r="X199" s="260"/>
      <c r="Y199" s="260"/>
      <c r="AA199" s="260"/>
      <c r="AB199" s="260"/>
      <c r="AC199" s="260"/>
      <c r="AD199" s="260"/>
    </row>
    <row r="200" spans="24:30" x14ac:dyDescent="0.3">
      <c r="X200" s="260"/>
      <c r="Y200" s="260"/>
      <c r="AA200" s="260"/>
      <c r="AB200" s="260"/>
      <c r="AC200" s="260"/>
      <c r="AD200" s="260"/>
    </row>
    <row r="201" spans="24:30" x14ac:dyDescent="0.3">
      <c r="X201" s="260"/>
      <c r="Y201" s="260"/>
      <c r="AA201" s="260"/>
      <c r="AB201" s="260"/>
      <c r="AC201" s="260"/>
      <c r="AD201" s="260"/>
    </row>
    <row r="202" spans="24:30" x14ac:dyDescent="0.3">
      <c r="X202" s="260"/>
      <c r="Y202" s="260"/>
      <c r="AA202" s="260"/>
      <c r="AB202" s="260"/>
      <c r="AC202" s="260"/>
      <c r="AD202" s="260"/>
    </row>
    <row r="203" spans="24:30" x14ac:dyDescent="0.3">
      <c r="X203" s="260"/>
      <c r="Y203" s="260"/>
      <c r="AA203" s="260"/>
      <c r="AB203" s="260"/>
      <c r="AC203" s="260"/>
      <c r="AD203" s="260"/>
    </row>
    <row r="204" spans="24:30" x14ac:dyDescent="0.3">
      <c r="X204" s="260"/>
      <c r="Y204" s="260"/>
      <c r="AA204" s="260"/>
      <c r="AB204" s="260"/>
      <c r="AC204" s="260"/>
      <c r="AD204" s="260"/>
    </row>
    <row r="205" spans="24:30" x14ac:dyDescent="0.3">
      <c r="X205" s="260"/>
      <c r="Y205" s="260"/>
      <c r="AA205" s="260"/>
      <c r="AB205" s="260"/>
      <c r="AC205" s="260"/>
      <c r="AD205" s="260"/>
    </row>
    <row r="206" spans="24:30" x14ac:dyDescent="0.3">
      <c r="X206" s="260"/>
      <c r="Y206" s="260"/>
      <c r="AA206" s="260"/>
      <c r="AB206" s="260"/>
      <c r="AC206" s="260"/>
      <c r="AD206" s="260"/>
    </row>
    <row r="207" spans="24:30" x14ac:dyDescent="0.3">
      <c r="X207" s="260"/>
      <c r="Y207" s="260"/>
      <c r="AA207" s="260"/>
      <c r="AB207" s="260"/>
      <c r="AC207" s="260"/>
      <c r="AD207" s="260"/>
    </row>
    <row r="208" spans="24:30" x14ac:dyDescent="0.3">
      <c r="X208" s="260"/>
      <c r="Y208" s="260"/>
      <c r="AA208" s="260"/>
      <c r="AB208" s="260"/>
      <c r="AC208" s="260"/>
      <c r="AD208" s="260"/>
    </row>
    <row r="209" spans="24:30" x14ac:dyDescent="0.3">
      <c r="X209" s="260"/>
      <c r="Y209" s="260"/>
      <c r="AA209" s="260"/>
      <c r="AB209" s="260"/>
      <c r="AC209" s="260"/>
      <c r="AD209" s="260"/>
    </row>
    <row r="210" spans="24:30" x14ac:dyDescent="0.3">
      <c r="X210" s="260"/>
      <c r="Y210" s="260"/>
      <c r="AA210" s="260"/>
      <c r="AB210" s="260"/>
      <c r="AC210" s="260"/>
      <c r="AD210" s="260"/>
    </row>
    <row r="211" spans="24:30" x14ac:dyDescent="0.3">
      <c r="X211" s="260"/>
      <c r="Y211" s="260"/>
      <c r="AA211" s="260"/>
      <c r="AB211" s="260"/>
      <c r="AC211" s="260"/>
      <c r="AD211" s="260"/>
    </row>
    <row r="212" spans="24:30" x14ac:dyDescent="0.3">
      <c r="X212" s="260"/>
      <c r="Y212" s="260"/>
      <c r="AA212" s="260"/>
      <c r="AB212" s="260"/>
      <c r="AC212" s="260"/>
      <c r="AD212" s="260"/>
    </row>
    <row r="213" spans="24:30" x14ac:dyDescent="0.3">
      <c r="X213" s="260"/>
      <c r="Y213" s="260"/>
      <c r="AA213" s="260"/>
      <c r="AB213" s="260"/>
      <c r="AC213" s="260"/>
      <c r="AD213" s="260"/>
    </row>
    <row r="214" spans="24:30" x14ac:dyDescent="0.3">
      <c r="X214" s="260"/>
      <c r="Y214" s="260"/>
      <c r="AA214" s="260"/>
      <c r="AB214" s="260"/>
      <c r="AC214" s="260"/>
      <c r="AD214" s="260"/>
    </row>
    <row r="215" spans="24:30" x14ac:dyDescent="0.3">
      <c r="X215" s="260"/>
      <c r="Y215" s="260"/>
      <c r="AA215" s="260"/>
      <c r="AB215" s="260"/>
      <c r="AC215" s="260"/>
      <c r="AD215" s="260"/>
    </row>
    <row r="216" spans="24:30" x14ac:dyDescent="0.3">
      <c r="X216" s="260"/>
      <c r="Y216" s="260"/>
      <c r="AA216" s="260"/>
      <c r="AB216" s="260"/>
      <c r="AC216" s="260"/>
      <c r="AD216" s="260"/>
    </row>
    <row r="217" spans="24:30" x14ac:dyDescent="0.3">
      <c r="X217" s="260"/>
      <c r="Y217" s="260"/>
      <c r="AA217" s="260"/>
      <c r="AB217" s="260"/>
      <c r="AC217" s="260"/>
      <c r="AD217" s="260"/>
    </row>
    <row r="218" spans="24:30" x14ac:dyDescent="0.3">
      <c r="X218" s="260"/>
      <c r="Y218" s="260"/>
      <c r="AA218" s="260"/>
      <c r="AB218" s="260"/>
      <c r="AC218" s="260"/>
      <c r="AD218" s="260"/>
    </row>
    <row r="219" spans="24:30" x14ac:dyDescent="0.3">
      <c r="X219" s="260"/>
      <c r="Y219" s="260"/>
      <c r="AA219" s="260"/>
      <c r="AB219" s="260"/>
      <c r="AC219" s="260"/>
      <c r="AD219" s="260"/>
    </row>
    <row r="220" spans="24:30" x14ac:dyDescent="0.3">
      <c r="X220" s="260"/>
      <c r="Y220" s="260"/>
      <c r="AA220" s="260"/>
      <c r="AB220" s="260"/>
      <c r="AC220" s="260"/>
      <c r="AD220" s="260"/>
    </row>
    <row r="221" spans="24:30" x14ac:dyDescent="0.3">
      <c r="X221" s="260"/>
      <c r="Y221" s="260"/>
      <c r="AA221" s="260"/>
      <c r="AB221" s="260"/>
      <c r="AC221" s="260"/>
      <c r="AD221" s="260"/>
    </row>
    <row r="222" spans="24:30" x14ac:dyDescent="0.3">
      <c r="X222" s="260"/>
      <c r="Y222" s="260"/>
      <c r="AA222" s="260"/>
      <c r="AB222" s="260"/>
      <c r="AC222" s="260"/>
      <c r="AD222" s="260"/>
    </row>
    <row r="223" spans="24:30" x14ac:dyDescent="0.3">
      <c r="X223" s="260"/>
      <c r="Y223" s="260"/>
      <c r="AA223" s="260"/>
      <c r="AB223" s="260"/>
      <c r="AC223" s="260"/>
      <c r="AD223" s="260"/>
    </row>
    <row r="224" spans="24:30" x14ac:dyDescent="0.3">
      <c r="X224" s="260"/>
      <c r="Y224" s="260"/>
      <c r="AA224" s="260"/>
      <c r="AB224" s="260"/>
      <c r="AC224" s="260"/>
      <c r="AD224" s="260"/>
    </row>
    <row r="225" spans="24:30" x14ac:dyDescent="0.3">
      <c r="X225" s="260"/>
      <c r="Y225" s="260"/>
      <c r="AA225" s="260"/>
      <c r="AB225" s="260"/>
      <c r="AC225" s="260"/>
      <c r="AD225" s="260"/>
    </row>
    <row r="226" spans="24:30" x14ac:dyDescent="0.3">
      <c r="X226" s="260"/>
      <c r="Y226" s="260"/>
      <c r="AA226" s="260"/>
      <c r="AB226" s="260"/>
      <c r="AC226" s="260"/>
      <c r="AD226" s="260"/>
    </row>
    <row r="227" spans="24:30" x14ac:dyDescent="0.3">
      <c r="X227" s="260"/>
      <c r="Y227" s="260"/>
      <c r="AA227" s="260"/>
      <c r="AB227" s="260"/>
      <c r="AC227" s="260"/>
      <c r="AD227" s="260"/>
    </row>
    <row r="228" spans="24:30" x14ac:dyDescent="0.3">
      <c r="X228" s="260"/>
      <c r="Y228" s="260"/>
      <c r="AA228" s="260"/>
      <c r="AB228" s="260"/>
      <c r="AC228" s="260"/>
      <c r="AD228" s="260"/>
    </row>
    <row r="229" spans="24:30" x14ac:dyDescent="0.3">
      <c r="X229" s="260"/>
      <c r="Y229" s="260"/>
      <c r="AA229" s="260"/>
      <c r="AB229" s="260"/>
      <c r="AC229" s="260"/>
      <c r="AD229" s="260"/>
    </row>
    <row r="230" spans="24:30" x14ac:dyDescent="0.3">
      <c r="X230" s="260"/>
      <c r="Y230" s="260"/>
      <c r="AA230" s="260"/>
      <c r="AB230" s="260"/>
      <c r="AC230" s="260"/>
      <c r="AD230" s="260"/>
    </row>
    <row r="231" spans="24:30" x14ac:dyDescent="0.3">
      <c r="X231" s="260"/>
      <c r="Y231" s="260"/>
      <c r="AA231" s="260"/>
      <c r="AB231" s="260"/>
      <c r="AC231" s="260"/>
      <c r="AD231" s="260"/>
    </row>
    <row r="232" spans="24:30" x14ac:dyDescent="0.3">
      <c r="X232" s="260"/>
      <c r="Y232" s="260"/>
      <c r="AA232" s="260"/>
      <c r="AB232" s="260"/>
      <c r="AC232" s="260"/>
      <c r="AD232" s="260"/>
    </row>
    <row r="233" spans="24:30" x14ac:dyDescent="0.3">
      <c r="X233" s="260"/>
      <c r="Y233" s="260"/>
      <c r="AA233" s="260"/>
      <c r="AB233" s="260"/>
      <c r="AC233" s="260"/>
      <c r="AD233" s="260"/>
    </row>
    <row r="234" spans="24:30" x14ac:dyDescent="0.3">
      <c r="X234" s="260"/>
      <c r="Y234" s="260"/>
      <c r="AA234" s="260"/>
      <c r="AB234" s="260"/>
      <c r="AC234" s="260"/>
      <c r="AD234" s="260"/>
    </row>
    <row r="235" spans="24:30" x14ac:dyDescent="0.3">
      <c r="X235" s="260"/>
      <c r="Y235" s="260"/>
      <c r="AA235" s="260"/>
      <c r="AB235" s="260"/>
      <c r="AC235" s="260"/>
      <c r="AD235" s="260"/>
    </row>
    <row r="236" spans="24:30" x14ac:dyDescent="0.3">
      <c r="X236" s="260"/>
      <c r="Y236" s="260"/>
      <c r="AA236" s="260"/>
      <c r="AB236" s="260"/>
      <c r="AC236" s="260"/>
      <c r="AD236" s="260"/>
    </row>
  </sheetData>
  <phoneticPr fontId="22" type="noConversion"/>
  <dataValidations disablePrompts="1" count="2">
    <dataValidation type="list" allowBlank="1" showInputMessage="1" showErrorMessage="1" sqref="O3:P156" xr:uid="{5B0ED5AB-E850-4962-A8FD-C335B7D9D507}">
      <formula1>"1,0"</formula1>
    </dataValidation>
    <dataValidation type="list" allowBlank="1" showInputMessage="1" showErrorMessage="1" sqref="Z3:Z156 B3:B156" xr:uid="{E9341D45-3748-4967-9830-59381CAA2755}">
      <formula1>"Yes,No"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0C57A83E7314D9D0059AB0E14CFAE" ma:contentTypeVersion="14" ma:contentTypeDescription="Create a new document." ma:contentTypeScope="" ma:versionID="a46761a2b3220991d6b5935da4de336f">
  <xsd:schema xmlns:xsd="http://www.w3.org/2001/XMLSchema" xmlns:xs="http://www.w3.org/2001/XMLSchema" xmlns:p="http://schemas.microsoft.com/office/2006/metadata/properties" xmlns:ns3="a51c1b88-d484-4f70-b02e-7e60aff9148e" xmlns:ns4="c1146967-650f-44a3-a6e4-78f6de769e02" targetNamespace="http://schemas.microsoft.com/office/2006/metadata/properties" ma:root="true" ma:fieldsID="fab5eec926ef8960eff37b5ce783faee" ns3:_="" ns4:_="">
    <xsd:import namespace="a51c1b88-d484-4f70-b02e-7e60aff9148e"/>
    <xsd:import namespace="c1146967-650f-44a3-a6e4-78f6de769e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1b88-d484-4f70-b02e-7e60aff91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46967-650f-44a3-a6e4-78f6de769e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1c1b88-d484-4f70-b02e-7e60aff9148e" xsi:nil="true"/>
  </documentManagement>
</p:properties>
</file>

<file path=customXml/itemProps1.xml><?xml version="1.0" encoding="utf-8"?>
<ds:datastoreItem xmlns:ds="http://schemas.openxmlformats.org/officeDocument/2006/customXml" ds:itemID="{D2330ECC-3E3E-426F-B4B8-DF7A2447F7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40AF8B-9461-429F-A0C3-196695A8F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c1b88-d484-4f70-b02e-7e60aff9148e"/>
    <ds:schemaRef ds:uri="c1146967-650f-44a3-a6e4-78f6de769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3D756A-3CBA-4EB3-9AEC-20A24E7F55D1}">
  <ds:schemaRefs>
    <ds:schemaRef ds:uri="http://schemas.microsoft.com/office/2006/metadata/properties"/>
    <ds:schemaRef ds:uri="http://schemas.microsoft.com/office/infopath/2007/PartnerControls"/>
    <ds:schemaRef ds:uri="a51c1b88-d484-4f70-b02e-7e60aff914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Database</vt:lpstr>
      <vt:lpstr>Actions</vt:lpstr>
      <vt:lpstr>Status</vt:lpstr>
      <vt:lpstr>Submittal</vt:lpstr>
      <vt:lpstr>Users</vt:lpstr>
      <vt:lpstr>Permit &amp; App</vt:lpstr>
      <vt:lpstr>Details</vt:lpstr>
      <vt:lpstr>Permit Categories</vt:lpstr>
      <vt:lpstr>Inspections</vt:lpstr>
      <vt:lpstr>Reviews</vt:lpstr>
      <vt:lpstr>Fee Accounts</vt:lpstr>
      <vt:lpstr>Acct Strings</vt:lpstr>
      <vt:lpstr>Fees Templates</vt:lpstr>
      <vt:lpstr>Acc</vt:lpstr>
      <vt:lpstr>AG</vt:lpstr>
      <vt:lpstr>BLD</vt:lpstr>
      <vt:lpstr>Com</vt:lpstr>
      <vt:lpstr>DEM</vt:lpstr>
      <vt:lpstr>DEMO</vt:lpstr>
      <vt:lpstr>ELC</vt:lpstr>
      <vt:lpstr>GRADE</vt:lpstr>
      <vt:lpstr>GRD</vt:lpstr>
      <vt:lpstr>MCH</vt:lpstr>
      <vt:lpstr>PLB</vt:lpstr>
      <vt:lpstr>POOL</vt:lpstr>
      <vt:lpstr>Actions!Print_Area</vt:lpstr>
      <vt:lpstr>Database!Print_Area</vt:lpstr>
      <vt:lpstr>'Fee Accounts'!Print_Area</vt:lpstr>
      <vt:lpstr>'Permit &amp; App'!Print_Area</vt:lpstr>
      <vt:lpstr>Users!Print_Area</vt:lpstr>
      <vt:lpstr>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Doolittle</dc:creator>
  <cp:keywords/>
  <dc:description/>
  <cp:lastModifiedBy>Scott Doolittle</cp:lastModifiedBy>
  <cp:revision/>
  <cp:lastPrinted>2023-09-13T18:48:06Z</cp:lastPrinted>
  <dcterms:created xsi:type="dcterms:W3CDTF">2023-08-15T20:30:38Z</dcterms:created>
  <dcterms:modified xsi:type="dcterms:W3CDTF">2023-10-06T13:51:13Z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0x0101003C20C57A83E7314D9D0059AB0E14CFAE</vt:lpwstr>
  </property>
</Properties>
</file>