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wx917257\Desktop\TESTS CAPILLARY FLOW POROMETER\"/>
    </mc:Choice>
  </mc:AlternateContent>
  <bookViews>
    <workbookView xWindow="480" yWindow="60" windowWidth="5580" windowHeight="5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9" i="1" l="1"/>
  <c r="I8" i="1"/>
  <c r="J9" i="1" l="1"/>
  <c r="K9" i="1" s="1"/>
  <c r="H9" i="1"/>
  <c r="J8" i="1"/>
  <c r="K8" i="1" s="1"/>
  <c r="H8" i="1"/>
  <c r="L10" i="1" l="1"/>
  <c r="L8" i="1"/>
  <c r="N8" i="1" s="1"/>
  <c r="O8" i="1" s="1"/>
  <c r="K10" i="1"/>
  <c r="I10" i="1"/>
  <c r="H10" i="1"/>
  <c r="J10" i="1"/>
  <c r="L9" i="1" l="1"/>
  <c r="N9" i="1" s="1"/>
  <c r="M8" i="1"/>
  <c r="T8" i="1"/>
  <c r="R8" i="1"/>
  <c r="P8" i="1"/>
  <c r="M9" i="1" l="1"/>
  <c r="M10" i="1" s="1"/>
  <c r="N10" i="1"/>
  <c r="O10" i="1"/>
  <c r="O9" i="1" s="1"/>
  <c r="T9" i="1" l="1"/>
  <c r="R9" i="1"/>
  <c r="R10" i="1" s="1"/>
  <c r="R12" i="1"/>
  <c r="P9" i="1"/>
  <c r="P10" i="1" s="1"/>
</calcChain>
</file>

<file path=xl/sharedStrings.xml><?xml version="1.0" encoding="utf-8"?>
<sst xmlns="http://schemas.openxmlformats.org/spreadsheetml/2006/main" count="31" uniqueCount="31">
  <si>
    <t>Instruments</t>
  </si>
  <si>
    <t>Topex circule, 0.05mm</t>
  </si>
  <si>
    <t>Bulk density (AMG6),kg/m3</t>
  </si>
  <si>
    <r>
      <rPr>
        <b/>
        <sz val="10"/>
        <rFont val="Calibri"/>
        <family val="2"/>
        <charset val="204"/>
      </rPr>
      <t>ρ</t>
    </r>
    <r>
      <rPr>
        <b/>
        <sz val="10"/>
        <rFont val="Arial"/>
        <family val="2"/>
      </rPr>
      <t>, kg/m3</t>
    </r>
  </si>
  <si>
    <r>
      <rPr>
        <b/>
        <sz val="10"/>
        <rFont val="Calibri"/>
        <family val="2"/>
        <charset val="204"/>
      </rPr>
      <t>ρ</t>
    </r>
    <r>
      <rPr>
        <b/>
        <sz val="10"/>
        <rFont val="Arial"/>
        <family val="2"/>
      </rPr>
      <t>, g/cm3</t>
    </r>
  </si>
  <si>
    <t>Diameter</t>
  </si>
  <si>
    <t>Thickness</t>
  </si>
  <si>
    <t>Weigth</t>
  </si>
  <si>
    <t>avg</t>
  </si>
  <si>
    <t>Diameter,mm</t>
  </si>
  <si>
    <t>Thickness,mm</t>
  </si>
  <si>
    <t>Weigth, g</t>
  </si>
  <si>
    <t>V mm3</t>
  </si>
  <si>
    <t>V cm3</t>
  </si>
  <si>
    <t>V, m3</t>
  </si>
  <si>
    <t>Porosity</t>
  </si>
  <si>
    <t>Weigth,kg</t>
  </si>
  <si>
    <t>rel error,%</t>
  </si>
  <si>
    <t>Radwag WLC 1/2A 0.01g</t>
  </si>
  <si>
    <t>N experiments</t>
  </si>
  <si>
    <t>Instrument error</t>
  </si>
  <si>
    <t xml:space="preserve">abs err </t>
  </si>
  <si>
    <t>t student P=0.95 N=5</t>
  </si>
  <si>
    <t>t student P=0.95 N=10</t>
  </si>
  <si>
    <t>Cp bulk, J/kg/K</t>
  </si>
  <si>
    <t>Cv MJ/m3/K</t>
  </si>
  <si>
    <t>AGP2-150-1 (1,2,3,4,5) tests 0.5 bar</t>
  </si>
  <si>
    <t>AGP2-150-1 (1) test 1.0 bar</t>
  </si>
  <si>
    <t>AGP2-150-1 (1) test 0.25 bar</t>
  </si>
  <si>
    <t>AGP2-150-1 (1) test 0.1 bar</t>
  </si>
  <si>
    <t>AGP2-150-1 (1) test 0.05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</si>
</sst>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b/>
      <sz val="10"/>
      <name val="Calibri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/>
    <xf numFmtId="2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8"/>
  <sheetViews>
    <sheetView tabSelected="1" topLeftCell="A9" workbookViewId="0">
      <selection activeCell="C39" sqref="C39"/>
    </sheetView>
  </sheetViews>
  <sheetFormatPr defaultRowHeight="13.2" x14ac:dyDescent="0.25"/>
  <cols>
    <col min="2" max="2" width="37.33203125" customWidth="1"/>
    <col min="3" max="3" width="14.6640625" customWidth="1"/>
    <col min="7" max="7" width="17.6640625" customWidth="1"/>
    <col min="8" max="8" width="15" customWidth="1"/>
    <col min="9" max="9" width="13.5546875" customWidth="1"/>
    <col min="10" max="10" width="11.109375" customWidth="1"/>
    <col min="11" max="11" width="14.5546875" customWidth="1"/>
    <col min="12" max="12" width="10.6640625" customWidth="1"/>
    <col min="14" max="14" width="14.109375" customWidth="1"/>
    <col min="17" max="17" width="11.44140625" customWidth="1"/>
    <col min="18" max="18" width="11.109375" customWidth="1"/>
    <col min="19" max="19" width="12" customWidth="1"/>
    <col min="20" max="20" width="14.44140625" customWidth="1"/>
  </cols>
  <sheetData>
    <row r="2" spans="2:20" x14ac:dyDescent="0.25">
      <c r="B2" t="s">
        <v>0</v>
      </c>
      <c r="C2" s="1" t="s">
        <v>20</v>
      </c>
    </row>
    <row r="3" spans="2:20" x14ac:dyDescent="0.25">
      <c r="B3" t="s">
        <v>1</v>
      </c>
      <c r="C3">
        <v>0.05</v>
      </c>
    </row>
    <row r="4" spans="2:20" x14ac:dyDescent="0.25">
      <c r="B4" t="s">
        <v>18</v>
      </c>
      <c r="C4">
        <v>0.01</v>
      </c>
    </row>
    <row r="6" spans="2:20" x14ac:dyDescent="0.25">
      <c r="B6" s="4" t="s">
        <v>19</v>
      </c>
      <c r="C6">
        <v>5</v>
      </c>
    </row>
    <row r="7" spans="2:20" ht="13.8" x14ac:dyDescent="0.3">
      <c r="B7" t="s">
        <v>22</v>
      </c>
      <c r="C7">
        <v>2.5706000000000002</v>
      </c>
      <c r="H7" s="1" t="s">
        <v>9</v>
      </c>
      <c r="I7" s="1" t="s">
        <v>10</v>
      </c>
      <c r="J7" s="1" t="s">
        <v>11</v>
      </c>
      <c r="K7" s="1" t="s">
        <v>16</v>
      </c>
      <c r="L7" s="1" t="s">
        <v>12</v>
      </c>
      <c r="M7" s="1" t="s">
        <v>13</v>
      </c>
      <c r="N7" s="1" t="s">
        <v>14</v>
      </c>
      <c r="O7" s="2" t="s">
        <v>3</v>
      </c>
      <c r="P7" s="2" t="s">
        <v>4</v>
      </c>
      <c r="Q7" s="1" t="s">
        <v>2</v>
      </c>
      <c r="R7" s="1" t="s">
        <v>15</v>
      </c>
      <c r="S7" s="1" t="s">
        <v>24</v>
      </c>
      <c r="T7" s="1" t="s">
        <v>25</v>
      </c>
    </row>
    <row r="8" spans="2:20" x14ac:dyDescent="0.25">
      <c r="B8" t="s">
        <v>23</v>
      </c>
      <c r="C8">
        <v>2.2281</v>
      </c>
      <c r="G8" s="1" t="s">
        <v>8</v>
      </c>
      <c r="H8" s="3">
        <f>AVERAGE(B10:B14)</f>
        <v>24.779999999999994</v>
      </c>
      <c r="I8" s="3">
        <f>AVERAGE(C10:C19)</f>
        <v>1.6109999999999995</v>
      </c>
      <c r="J8" s="5">
        <f>AVERAGE(D10:D14)</f>
        <v>2.88</v>
      </c>
      <c r="K8">
        <f>J8*0.001</f>
        <v>2.8799999999999997E-3</v>
      </c>
      <c r="L8" s="3">
        <f>3.1415926*H8^2/4*I8</f>
        <v>776.94096104381038</v>
      </c>
      <c r="M8" s="5">
        <f>L8*0.001</f>
        <v>0.77694096104381039</v>
      </c>
      <c r="N8" s="6">
        <f>L8*0.000000001</f>
        <v>7.7694096104381041E-7</v>
      </c>
      <c r="O8" s="7">
        <f>K8/N8</f>
        <v>3706.845364583116</v>
      </c>
      <c r="P8" s="5">
        <f>O8*0.001</f>
        <v>3.7068453645831161</v>
      </c>
      <c r="Q8">
        <v>8933</v>
      </c>
      <c r="R8" s="7">
        <f>(1-O8/Q8)*100</f>
        <v>58.503913975337341</v>
      </c>
      <c r="S8">
        <v>922</v>
      </c>
      <c r="T8" s="5">
        <f>S8*O8*0.000001</f>
        <v>3.4177114261456327</v>
      </c>
    </row>
    <row r="9" spans="2:20" x14ac:dyDescent="0.25">
      <c r="B9" s="1" t="s">
        <v>5</v>
      </c>
      <c r="C9" s="1" t="s">
        <v>6</v>
      </c>
      <c r="D9" s="1" t="s">
        <v>7</v>
      </c>
      <c r="G9" s="1" t="s">
        <v>21</v>
      </c>
      <c r="H9" s="3">
        <f>_xlfn.STDEV.S(B10:B14)/SQRT($C$6)*$C$7+$C$3</f>
        <v>0.23889974998395258</v>
      </c>
      <c r="I9" s="3">
        <f>_xlfn.STDEV.S(C10:C19)/SQRT(10)*C8+$C$3</f>
        <v>0.10193061221293273</v>
      </c>
      <c r="J9" s="5">
        <f>_xlfn.STDEV.S(D10:D14)/SQRT($C$6)*$C$7+$C$4</f>
        <v>1.8128950953228844E-2</v>
      </c>
      <c r="K9" s="6">
        <f>J9*0.001</f>
        <v>1.8128950953228844E-5</v>
      </c>
      <c r="L9" s="3">
        <f>L8*L10</f>
        <v>51.390300449836317</v>
      </c>
      <c r="M9" s="5">
        <f>L9*0.001</f>
        <v>5.1390300449836321E-2</v>
      </c>
      <c r="N9" s="6">
        <f>L9*0.000000001</f>
        <v>5.1390300449836324E-8</v>
      </c>
      <c r="O9" s="7">
        <f>O8*O10</f>
        <v>246.29489559192953</v>
      </c>
      <c r="P9" s="5">
        <f>O9*0.001</f>
        <v>0.24629489559192955</v>
      </c>
      <c r="Q9">
        <v>0.5</v>
      </c>
      <c r="R9" s="7">
        <f>SQRT((1/Q8*O9)^2+(1/Q8^2*O8*Q9)^2)*100</f>
        <v>2.7571362698236803</v>
      </c>
      <c r="T9" s="5">
        <f>S8*O9*0.000001</f>
        <v>0.22708389373575902</v>
      </c>
    </row>
    <row r="10" spans="2:20" x14ac:dyDescent="0.25">
      <c r="B10">
        <v>24.8</v>
      </c>
      <c r="C10">
        <v>1.6</v>
      </c>
      <c r="D10">
        <v>2.89</v>
      </c>
      <c r="G10" s="1" t="s">
        <v>17</v>
      </c>
      <c r="H10" s="3">
        <f>H9/H8*100</f>
        <v>0.96408292971732301</v>
      </c>
      <c r="I10" s="3">
        <f t="shared" ref="I10:J10" si="0">I9/I8*100</f>
        <v>6.3271640107344984</v>
      </c>
      <c r="J10" s="3">
        <f t="shared" si="0"/>
        <v>0.62947746365377932</v>
      </c>
      <c r="K10" s="3">
        <f t="shared" ref="K10" si="1">K9/K8*100</f>
        <v>0.62947746365377932</v>
      </c>
      <c r="L10" s="5">
        <f>SQRT((2/H8*H9)^2+(1/I8*I9)^2)</f>
        <v>6.6144408682989375E-2</v>
      </c>
      <c r="M10" s="5">
        <f>M9/M8</f>
        <v>6.6144408682989375E-2</v>
      </c>
      <c r="N10" s="5">
        <f>N9/N8</f>
        <v>6.6144408682989375E-2</v>
      </c>
      <c r="O10" s="5">
        <f>SQRT((1/K8*K9)^2+(1/N8*N9)^2)</f>
        <v>6.6443261417145377E-2</v>
      </c>
      <c r="P10" s="5">
        <f>P9/P8</f>
        <v>6.6443261417145377E-2</v>
      </c>
      <c r="R10" s="5">
        <f>R9/R8</f>
        <v>4.7127381442991438E-2</v>
      </c>
    </row>
    <row r="11" spans="2:20" x14ac:dyDescent="0.25">
      <c r="B11">
        <v>24.5</v>
      </c>
      <c r="C11">
        <v>1.5</v>
      </c>
      <c r="D11">
        <v>2.88</v>
      </c>
    </row>
    <row r="12" spans="2:20" x14ac:dyDescent="0.25">
      <c r="B12">
        <v>24.9</v>
      </c>
      <c r="C12">
        <v>1.5</v>
      </c>
      <c r="D12">
        <v>2.87</v>
      </c>
      <c r="R12">
        <f>SQRT((1/(Q8-O8)*O9)^2+((1/(Q8-O8)-1/Q8)*Q9)^2)</f>
        <v>4.7127381442991445E-2</v>
      </c>
    </row>
    <row r="13" spans="2:20" x14ac:dyDescent="0.25">
      <c r="B13">
        <v>24.8</v>
      </c>
      <c r="C13">
        <v>1.6</v>
      </c>
      <c r="D13">
        <v>2.88</v>
      </c>
    </row>
    <row r="14" spans="2:20" x14ac:dyDescent="0.25">
      <c r="B14">
        <v>24.9</v>
      </c>
      <c r="C14">
        <v>1.6</v>
      </c>
      <c r="D14">
        <v>2.88</v>
      </c>
      <c r="H14" s="1"/>
      <c r="I14" s="1"/>
    </row>
    <row r="15" spans="2:20" x14ac:dyDescent="0.25">
      <c r="B15" s="2"/>
      <c r="C15">
        <v>1.7</v>
      </c>
      <c r="H15" s="1"/>
      <c r="I15" s="1"/>
    </row>
    <row r="16" spans="2:20" x14ac:dyDescent="0.25">
      <c r="C16">
        <v>1.7</v>
      </c>
    </row>
    <row r="17" spans="2:9" x14ac:dyDescent="0.25">
      <c r="B17" s="1"/>
      <c r="C17">
        <v>1.6</v>
      </c>
      <c r="H17" s="1"/>
      <c r="I17" s="1"/>
    </row>
    <row r="18" spans="2:9" x14ac:dyDescent="0.25">
      <c r="C18">
        <v>1.7</v>
      </c>
    </row>
    <row r="19" spans="2:9" x14ac:dyDescent="0.25">
      <c r="C19">
        <v>1.61</v>
      </c>
    </row>
    <row r="22" spans="2:9" x14ac:dyDescent="0.25">
      <c r="B22" t="s">
        <v>26</v>
      </c>
      <c r="C22">
        <v>9.3840000000000003</v>
      </c>
    </row>
    <row r="23" spans="2:9" x14ac:dyDescent="0.25">
      <c r="C23">
        <v>9.1519999999999992</v>
      </c>
    </row>
    <row r="24" spans="2:9" x14ac:dyDescent="0.25">
      <c r="C24">
        <v>9.3740000000000006</v>
      </c>
    </row>
    <row r="25" spans="2:9" x14ac:dyDescent="0.25">
      <c r="C25">
        <v>9.6869999999999994</v>
      </c>
    </row>
    <row r="26" spans="2:9" x14ac:dyDescent="0.25">
      <c r="C26">
        <v>9.3149999999999995</v>
      </c>
    </row>
    <row r="29" spans="2:9" x14ac:dyDescent="0.25">
      <c r="B29" t="s">
        <v>27</v>
      </c>
      <c r="C29">
        <v>9.4589999999999996</v>
      </c>
    </row>
    <row r="32" spans="2:9" x14ac:dyDescent="0.25">
      <c r="B32" t="s">
        <v>28</v>
      </c>
      <c r="C32">
        <v>9.2449999999999992</v>
      </c>
    </row>
    <row r="35" spans="2:3" x14ac:dyDescent="0.25">
      <c r="B35" t="s">
        <v>29</v>
      </c>
      <c r="C35">
        <v>10.368</v>
      </c>
    </row>
    <row r="38" spans="2:3" x14ac:dyDescent="0.25">
      <c r="B38" t="s">
        <v>30</v>
      </c>
      <c r="C38">
        <v>11.353</v>
      </c>
    </row>
  </sheetData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Takapula</dc:creator>
  <cp:lastModifiedBy>Yankouski Matsvei</cp:lastModifiedBy>
  <cp:lastPrinted>2006-05-08T03:14:15Z</cp:lastPrinted>
  <dcterms:created xsi:type="dcterms:W3CDTF">2003-11-13T03:46:27Z</dcterms:created>
  <dcterms:modified xsi:type="dcterms:W3CDTF">2020-09-21T07:44:59Z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sflag">
    <vt:lpwstr>1322724849</vt:lpwstr>
  </property>
  <property fmtid="{D5CDD505-2E9C-101B-9397-08002B2CF9AE}" pid="6" name="_ms_pID_7253433">
    <vt:lpwstr>834P8WW95jD+ayK0vK
5pDrd078NTnfDk6nMf2sVYAj+Ae6+5CLUZncUc9KkYrtMwiz</vt:lpwstr>
  </property>
  <property fmtid="{D5CDD505-2E9C-101B-9397-08002B2CF9AE}" pid="7" name="_2015_ms_pID_725343">
    <vt:lpwstr>(3)oYNhIB3ytwbT4OFNMY2F9TBGrySxXq1pYWejI3hy5DE2bAhXutWCLEr743Ar8/Tdxi91piJ5
XwTRUd1vlqWlH5MCHThpdRGGyeubGH6ZRiN39JoT2W3EPQC2xOEU5so7V/Kyui1C9VDeXdNO
168PeEeboNZocXBkobpYeXDfbCIyFnkU330pqa4H1rGAJA1HdMw7XhNA3OyFQlzNT/FXyeV4
noHil/DCKV5M/AeYFC</vt:lpwstr>
  </property>
  <property fmtid="{D5CDD505-2E9C-101B-9397-08002B2CF9AE}" pid="8" name="_2015_ms_pID_7253431">
    <vt:lpwstr>O4wT9+8TjN3yEzbVEOzTeGhDEHbTNon4vzxjT2pzHbp9qWP2g2tS/J
6XbKDncrk1Ng92H07z3W4iLcdZrx7ereI4znC1zIwm0N4cPVafbbvR5LksydEw/nIwOfvhGk
WJ8jTxNL2G0sXRzeFpzsT9BQcTbnC/b3OsXhwurMOBuUxdv73oixamDLMQx5/A8ZrUf6zoJk
Rdwn9gBolfJipyjVklmfbKwqk92EyiDOiijd</vt:lpwstr>
  </property>
  <property fmtid="{D5CDD505-2E9C-101B-9397-08002B2CF9AE}" pid="9" name="_2015_ms_pID_7253432">
    <vt:lpwstr>Aw==</vt:lpwstr>
  </property>
</Properties>
</file>