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FFJC\Desktop\"/>
    </mc:Choice>
  </mc:AlternateContent>
  <xr:revisionPtr revIDLastSave="0" documentId="13_ncr:1_{CB88AAD3-7DC5-4ABC-8F59-C15B3634E6F8}" xr6:coauthVersionLast="36" xr6:coauthVersionMax="36" xr10:uidLastSave="{00000000-0000-0000-0000-000000000000}"/>
  <bookViews>
    <workbookView xWindow="0" yWindow="0" windowWidth="19695" windowHeight="8100" activeTab="3" xr2:uid="{877FCE5A-1257-4F20-8BA8-7EB346B0808D}"/>
  </bookViews>
  <sheets>
    <sheet name="Sheet1" sheetId="1" r:id="rId1"/>
    <sheet name="Sheet2" sheetId="2" r:id="rId2"/>
    <sheet name="Sheet3" sheetId="3" r:id="rId3"/>
    <sheet name="cornu-spir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1" i="4" l="1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52" i="4"/>
  <c r="C51" i="4"/>
  <c r="B51" i="4"/>
  <c r="B11" i="4"/>
  <c r="B4" i="4"/>
  <c r="B45" i="4"/>
  <c r="C44" i="4"/>
  <c r="C45" i="4"/>
  <c r="B44" i="4"/>
  <c r="B40" i="4"/>
  <c r="C3" i="4"/>
  <c r="B39" i="4"/>
  <c r="B20" i="4"/>
  <c r="B22" i="4" s="1"/>
  <c r="C21" i="4"/>
  <c r="B24" i="4"/>
  <c r="F13" i="4"/>
  <c r="G13" i="4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F38" i="4"/>
  <c r="G38" i="4" s="1"/>
  <c r="F34" i="4"/>
  <c r="F33" i="4"/>
  <c r="G33" i="4" s="1"/>
  <c r="F32" i="4"/>
  <c r="G32" i="4" s="1"/>
  <c r="F31" i="4"/>
  <c r="G31" i="4" s="1"/>
  <c r="F30" i="4"/>
  <c r="G30" i="4"/>
  <c r="F40" i="4"/>
  <c r="G40" i="4" s="1"/>
  <c r="F39" i="4"/>
  <c r="G39" i="4" s="1"/>
  <c r="F37" i="4"/>
  <c r="G37" i="4" s="1"/>
  <c r="C10" i="4"/>
  <c r="B12" i="4" s="1"/>
  <c r="B5" i="4"/>
  <c r="F36" i="4"/>
  <c r="G36" i="4" s="1"/>
  <c r="F35" i="4"/>
  <c r="G35" i="4" s="1"/>
  <c r="F29" i="4"/>
  <c r="G29" i="4" s="1"/>
  <c r="F28" i="4"/>
  <c r="G28" i="4" s="1"/>
  <c r="F27" i="4"/>
  <c r="G27" i="4" s="1"/>
  <c r="F26" i="4"/>
  <c r="G26" i="4" s="1"/>
  <c r="F25" i="4"/>
  <c r="G25" i="4" s="1"/>
  <c r="F18" i="4"/>
  <c r="G18" i="4" s="1"/>
  <c r="F17" i="4"/>
  <c r="G17" i="4" s="1"/>
  <c r="F16" i="4"/>
  <c r="G16" i="4" s="1"/>
  <c r="F15" i="4"/>
  <c r="G15" i="4" s="1"/>
  <c r="F14" i="4"/>
  <c r="G14" i="4" s="1"/>
  <c r="F12" i="4"/>
  <c r="G12" i="4" s="1"/>
  <c r="F11" i="4"/>
  <c r="G11" i="4" s="1"/>
  <c r="F3" i="4"/>
  <c r="G3" i="4" s="1"/>
  <c r="G21" i="1"/>
  <c r="G20" i="1"/>
  <c r="G19" i="1"/>
  <c r="G18" i="1"/>
  <c r="G17" i="1"/>
  <c r="G16" i="1"/>
  <c r="G15" i="1"/>
  <c r="G14" i="1"/>
  <c r="F21" i="1"/>
  <c r="F20" i="1"/>
  <c r="F19" i="1"/>
  <c r="F18" i="1"/>
  <c r="F17" i="1"/>
  <c r="F16" i="1"/>
  <c r="F15" i="1"/>
  <c r="F14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F3" i="3"/>
  <c r="F2" i="3"/>
  <c r="D3" i="3"/>
  <c r="D4" i="3" s="1"/>
  <c r="D5" i="3" s="1"/>
  <c r="D6" i="3" s="1"/>
  <c r="D7" i="3" s="1"/>
  <c r="D8" i="3" s="1"/>
  <c r="D9" i="3" s="1"/>
  <c r="D10" i="3" s="1"/>
  <c r="C15" i="3"/>
  <c r="C16" i="3" s="1"/>
  <c r="C17" i="3" s="1"/>
  <c r="C18" i="3" s="1"/>
  <c r="C19" i="3" s="1"/>
  <c r="C20" i="3" s="1"/>
  <c r="C21" i="3" s="1"/>
  <c r="C22" i="3" s="1"/>
  <c r="C3" i="3"/>
  <c r="C4" i="3" s="1"/>
  <c r="C5" i="3" s="1"/>
  <c r="C6" i="3" s="1"/>
  <c r="C7" i="3" s="1"/>
  <c r="C8" i="3" s="1"/>
  <c r="C9" i="3" s="1"/>
  <c r="C10" i="3" s="1"/>
  <c r="B4" i="3"/>
  <c r="B8" i="3"/>
  <c r="B10" i="3"/>
  <c r="B22" i="3"/>
  <c r="B20" i="3"/>
  <c r="B18" i="3"/>
  <c r="B21" i="3"/>
  <c r="B19" i="3"/>
  <c r="B9" i="3"/>
  <c r="B7" i="3"/>
  <c r="C34" i="1"/>
  <c r="C33" i="1"/>
  <c r="C32" i="1"/>
  <c r="B29" i="1"/>
  <c r="C13" i="1"/>
  <c r="B16" i="1" s="1"/>
  <c r="B12" i="1"/>
  <c r="B5" i="1"/>
  <c r="C10" i="1"/>
  <c r="B11" i="1" s="1"/>
  <c r="C3" i="1"/>
  <c r="B4" i="1" s="1"/>
  <c r="D5" i="2"/>
  <c r="D6" i="2" s="1"/>
  <c r="D7" i="2" s="1"/>
  <c r="D8" i="2" s="1"/>
  <c r="D9" i="2" s="1"/>
  <c r="D10" i="2" s="1"/>
  <c r="D4" i="2"/>
  <c r="C5" i="2"/>
  <c r="C6" i="2" s="1"/>
  <c r="C7" i="2" s="1"/>
  <c r="C8" i="2" s="1"/>
  <c r="C9" i="2" s="1"/>
  <c r="C10" i="2" s="1"/>
  <c r="C4" i="2"/>
  <c r="B32" i="2"/>
  <c r="C12" i="2"/>
  <c r="B27" i="2"/>
  <c r="B25" i="2"/>
  <c r="B30" i="2"/>
  <c r="B29" i="2"/>
  <c r="C30" i="2"/>
  <c r="C29" i="2"/>
  <c r="E3" i="2"/>
  <c r="B24" i="2"/>
  <c r="B23" i="2"/>
  <c r="D18" i="2"/>
  <c r="D17" i="2"/>
  <c r="B22" i="2"/>
  <c r="B21" i="2"/>
  <c r="G10" i="2"/>
  <c r="G9" i="2"/>
  <c r="G8" i="2"/>
  <c r="G7" i="2"/>
  <c r="G6" i="2"/>
  <c r="G5" i="2"/>
  <c r="G4" i="2"/>
  <c r="G3" i="2"/>
  <c r="B10" i="2"/>
  <c r="B9" i="2"/>
  <c r="B8" i="2"/>
  <c r="B7" i="2"/>
  <c r="B6" i="2"/>
  <c r="B5" i="2"/>
  <c r="B47" i="4" l="1"/>
  <c r="C47" i="4"/>
  <c r="B21" i="4"/>
  <c r="C22" i="4"/>
  <c r="G4" i="4"/>
  <c r="B25" i="4"/>
  <c r="G34" i="4"/>
  <c r="B17" i="1"/>
  <c r="B20" i="1" s="1"/>
  <c r="I19" i="1" s="1"/>
  <c r="B28" i="1"/>
  <c r="B30" i="1" s="1"/>
  <c r="B12" i="2"/>
  <c r="B27" i="4" l="1"/>
  <c r="C27" i="4" s="1"/>
  <c r="B30" i="4"/>
  <c r="B26" i="4"/>
  <c r="C26" i="4" s="1"/>
  <c r="I3" i="1"/>
  <c r="I18" i="1"/>
  <c r="I17" i="1"/>
  <c r="I16" i="1"/>
  <c r="I6" i="1"/>
  <c r="I4" i="1"/>
  <c r="I15" i="1"/>
  <c r="I5" i="1"/>
  <c r="I8" i="1"/>
  <c r="I21" i="1"/>
  <c r="I10" i="1"/>
  <c r="I7" i="1"/>
  <c r="I20" i="1"/>
  <c r="I9" i="1"/>
  <c r="B19" i="1"/>
  <c r="B23" i="1"/>
  <c r="B22" i="1"/>
  <c r="H3" i="2"/>
  <c r="B29" i="4" l="1"/>
  <c r="I11" i="1"/>
  <c r="H18" i="1"/>
  <c r="H14" i="1"/>
  <c r="H9" i="1"/>
  <c r="H19" i="1"/>
  <c r="H8" i="1"/>
  <c r="H7" i="1"/>
  <c r="H6" i="1"/>
  <c r="H4" i="1"/>
  <c r="J4" i="1" s="1"/>
  <c r="H15" i="1"/>
  <c r="H21" i="1"/>
  <c r="H5" i="1"/>
  <c r="H3" i="1"/>
  <c r="H17" i="1"/>
  <c r="H16" i="1"/>
  <c r="H20" i="1"/>
  <c r="H10" i="1"/>
  <c r="I14" i="1"/>
  <c r="I3" i="2"/>
  <c r="I4" i="2" s="1"/>
  <c r="I5" i="2" s="1"/>
  <c r="I6" i="2" s="1"/>
  <c r="I7" i="2" s="1"/>
  <c r="I8" i="2" s="1"/>
  <c r="I9" i="2" s="1"/>
  <c r="I10" i="2" s="1"/>
  <c r="B14" i="2"/>
  <c r="H4" i="2"/>
  <c r="M33" i="4" l="1"/>
  <c r="M4" i="4"/>
  <c r="H22" i="1"/>
  <c r="J3" i="1"/>
  <c r="H11" i="1"/>
  <c r="J14" i="1"/>
  <c r="I22" i="1"/>
  <c r="J15" i="1"/>
  <c r="J5" i="1"/>
  <c r="J3" i="2"/>
  <c r="E4" i="2"/>
  <c r="E5" i="2"/>
  <c r="H5" i="2"/>
  <c r="J4" i="2"/>
  <c r="H31" i="4" l="1"/>
  <c r="H30" i="4"/>
  <c r="H29" i="4"/>
  <c r="H26" i="4"/>
  <c r="H36" i="4"/>
  <c r="H38" i="4"/>
  <c r="H34" i="4"/>
  <c r="H27" i="4"/>
  <c r="H37" i="4"/>
  <c r="H28" i="4"/>
  <c r="H35" i="4"/>
  <c r="H25" i="4"/>
  <c r="H32" i="4"/>
  <c r="H33" i="4"/>
  <c r="H40" i="4"/>
  <c r="H39" i="4"/>
  <c r="I10" i="4"/>
  <c r="I13" i="4"/>
  <c r="I8" i="4"/>
  <c r="I17" i="4"/>
  <c r="I7" i="4"/>
  <c r="I3" i="4"/>
  <c r="I6" i="4"/>
  <c r="I12" i="4"/>
  <c r="I11" i="4"/>
  <c r="I15" i="4"/>
  <c r="I5" i="4"/>
  <c r="I14" i="4"/>
  <c r="I9" i="4"/>
  <c r="I18" i="4"/>
  <c r="I4" i="4"/>
  <c r="I16" i="4"/>
  <c r="I30" i="4"/>
  <c r="I27" i="4"/>
  <c r="I33" i="4"/>
  <c r="I28" i="4"/>
  <c r="I26" i="4"/>
  <c r="I38" i="4"/>
  <c r="I36" i="4"/>
  <c r="I34" i="4"/>
  <c r="I32" i="4"/>
  <c r="I39" i="4"/>
  <c r="I31" i="4"/>
  <c r="I29" i="4"/>
  <c r="I40" i="4"/>
  <c r="I35" i="4"/>
  <c r="I37" i="4"/>
  <c r="I25" i="4"/>
  <c r="H16" i="4"/>
  <c r="H18" i="4"/>
  <c r="H4" i="4"/>
  <c r="H13" i="4"/>
  <c r="H17" i="4"/>
  <c r="H7" i="4"/>
  <c r="H3" i="4"/>
  <c r="H11" i="4"/>
  <c r="H6" i="4"/>
  <c r="H15" i="4"/>
  <c r="H10" i="4"/>
  <c r="H5" i="4"/>
  <c r="H14" i="4"/>
  <c r="H9" i="4"/>
  <c r="H8" i="4"/>
  <c r="H12" i="4"/>
  <c r="J22" i="1"/>
  <c r="J16" i="1"/>
  <c r="J6" i="1"/>
  <c r="E6" i="2"/>
  <c r="H6" i="2"/>
  <c r="J5" i="2"/>
  <c r="J3" i="4" l="1"/>
  <c r="J4" i="4"/>
  <c r="J6" i="4"/>
  <c r="J9" i="4"/>
  <c r="J7" i="4"/>
  <c r="J5" i="4"/>
  <c r="J8" i="4"/>
  <c r="H19" i="4"/>
  <c r="H41" i="4"/>
  <c r="J13" i="4"/>
  <c r="J10" i="4"/>
  <c r="J7" i="1"/>
  <c r="H7" i="2"/>
  <c r="J6" i="2"/>
  <c r="E7" i="2"/>
  <c r="J17" i="1" l="1"/>
  <c r="J18" i="1"/>
  <c r="J8" i="1"/>
  <c r="E8" i="2"/>
  <c r="H8" i="2"/>
  <c r="J7" i="2"/>
  <c r="J19" i="1" l="1"/>
  <c r="J10" i="1"/>
  <c r="J9" i="1"/>
  <c r="J11" i="1" s="1"/>
  <c r="B25" i="1" s="1"/>
  <c r="E10" i="2"/>
  <c r="B34" i="2" s="1"/>
  <c r="E9" i="2"/>
  <c r="H9" i="2"/>
  <c r="J8" i="2"/>
  <c r="J21" i="1" l="1"/>
  <c r="J20" i="1"/>
  <c r="H10" i="2"/>
  <c r="J9" i="2"/>
  <c r="B26" i="1" l="1"/>
  <c r="C26" i="1" s="1"/>
  <c r="J10" i="2"/>
  <c r="B35" i="2" s="1"/>
  <c r="B15" i="2"/>
  <c r="J37" i="4" l="1"/>
  <c r="J31" i="4"/>
  <c r="J11" i="4"/>
  <c r="J38" i="4"/>
  <c r="J16" i="4"/>
  <c r="J28" i="4"/>
  <c r="J32" i="4"/>
  <c r="J39" i="4"/>
  <c r="J27" i="4"/>
  <c r="J30" i="4"/>
  <c r="J40" i="4"/>
  <c r="J36" i="4"/>
  <c r="J34" i="4"/>
  <c r="J25" i="4"/>
  <c r="J14" i="4"/>
  <c r="J17" i="4"/>
  <c r="J33" i="4"/>
  <c r="J18" i="4"/>
  <c r="J12" i="4"/>
  <c r="I41" i="4"/>
  <c r="J41" i="4" s="1"/>
  <c r="B33" i="4" s="1"/>
  <c r="J15" i="4"/>
  <c r="J26" i="4"/>
  <c r="J35" i="4"/>
  <c r="I19" i="4" l="1"/>
  <c r="J19" i="4" s="1"/>
  <c r="B32" i="4" s="1"/>
  <c r="J29" i="4"/>
  <c r="B35" i="4" l="1"/>
  <c r="B36" i="4"/>
</calcChain>
</file>

<file path=xl/sharedStrings.xml><?xml version="1.0" encoding="utf-8"?>
<sst xmlns="http://schemas.openxmlformats.org/spreadsheetml/2006/main" count="123" uniqueCount="69">
  <si>
    <t>theta</t>
  </si>
  <si>
    <t>radians</t>
  </si>
  <si>
    <t>length</t>
  </si>
  <si>
    <t>t2</t>
  </si>
  <si>
    <t>X Terms</t>
  </si>
  <si>
    <t>Y Terms</t>
  </si>
  <si>
    <t>power</t>
  </si>
  <si>
    <t>fraction</t>
  </si>
  <si>
    <t>X</t>
  </si>
  <si>
    <t>Y</t>
  </si>
  <si>
    <t>K_start</t>
  </si>
  <si>
    <t>K_end</t>
  </si>
  <si>
    <t>R_start</t>
  </si>
  <si>
    <t>R_End</t>
  </si>
  <si>
    <t>t_start</t>
  </si>
  <si>
    <t>t_end</t>
  </si>
  <si>
    <t>b_start</t>
  </si>
  <si>
    <t>b_end</t>
  </si>
  <si>
    <t>radius</t>
  </si>
  <si>
    <t>curvature</t>
  </si>
  <si>
    <t>t-value</t>
  </si>
  <si>
    <t>W-value</t>
  </si>
  <si>
    <t>B-value (scale)</t>
  </si>
  <si>
    <t>bearings</t>
  </si>
  <si>
    <t>lt</t>
  </si>
  <si>
    <t>rt</t>
  </si>
  <si>
    <t>delta</t>
  </si>
  <si>
    <t>Lp-Kp2B2</t>
  </si>
  <si>
    <t>dX</t>
  </si>
  <si>
    <t>dY</t>
  </si>
  <si>
    <t>L_start</t>
  </si>
  <si>
    <t>L_end</t>
  </si>
  <si>
    <t>W</t>
  </si>
  <si>
    <t>B</t>
  </si>
  <si>
    <t>KqB</t>
  </si>
  <si>
    <t>KpB</t>
  </si>
  <si>
    <t>Arc P</t>
  </si>
  <si>
    <t>Radius</t>
  </si>
  <si>
    <t>Delta</t>
  </si>
  <si>
    <t>Lp</t>
  </si>
  <si>
    <t>Arc Q</t>
  </si>
  <si>
    <t>Lq</t>
  </si>
  <si>
    <t>Kp</t>
  </si>
  <si>
    <t>Kq</t>
  </si>
  <si>
    <t>rot</t>
  </si>
  <si>
    <t>C(KpB)</t>
  </si>
  <si>
    <t>C(KqB)</t>
  </si>
  <si>
    <t>S(KpB)</t>
  </si>
  <si>
    <t>S(KqB)</t>
  </si>
  <si>
    <t>pi * B</t>
  </si>
  <si>
    <t>b_out</t>
  </si>
  <si>
    <t>Btop</t>
  </si>
  <si>
    <t>Bbot</t>
  </si>
  <si>
    <t>i</t>
  </si>
  <si>
    <t>term</t>
  </si>
  <si>
    <t>t1</t>
  </si>
  <si>
    <t>C(F0)</t>
  </si>
  <si>
    <t>C(F1)</t>
  </si>
  <si>
    <t>S(F0)</t>
  </si>
  <si>
    <t>S(F1)</t>
  </si>
  <si>
    <t>Curve 0</t>
  </si>
  <si>
    <t>K</t>
  </si>
  <si>
    <t>Curve 1</t>
  </si>
  <si>
    <t>F0 Term</t>
  </si>
  <si>
    <t>F1 Term</t>
  </si>
  <si>
    <t>piB</t>
  </si>
  <si>
    <t>R</t>
  </si>
  <si>
    <t>Start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</si>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</sst>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"/>
    <numFmt numFmtId="165" formatCode="0.0000000000000"/>
    <numFmt numFmtId="166" formatCode="0.00000000000000"/>
    <numFmt numFmtId="167" formatCode="0.000000000000000"/>
    <numFmt numFmtId="168" formatCode="0.00000000000000000"/>
    <numFmt numFmtId="169" formatCode="0.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167" fontId="0" fillId="0" borderId="0" xfId="0" applyNumberFormat="1" applyBorder="1"/>
    <xf numFmtId="0" fontId="0" fillId="0" borderId="8" xfId="0" applyBorder="1"/>
    <xf numFmtId="167" fontId="0" fillId="0" borderId="9" xfId="0" applyNumberFormat="1" applyBorder="1"/>
    <xf numFmtId="0" fontId="0" fillId="0" borderId="10" xfId="0" applyBorder="1"/>
    <xf numFmtId="0" fontId="0" fillId="0" borderId="11" xfId="0" applyBorder="1"/>
    <xf numFmtId="167" fontId="0" fillId="0" borderId="11" xfId="0" applyNumberFormat="1" applyBorder="1"/>
    <xf numFmtId="167" fontId="0" fillId="0" borderId="12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7" xfId="0" applyNumberFormat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7" fontId="0" fillId="0" borderId="6" xfId="0" applyNumberFormat="1" applyBorder="1"/>
    <xf numFmtId="0" fontId="0" fillId="0" borderId="6" xfId="0" applyBorder="1"/>
    <xf numFmtId="2" fontId="0" fillId="0" borderId="0" xfId="0" applyNumberFormat="1"/>
    <xf numFmtId="169" fontId="0" fillId="0" borderId="0" xfId="0" applyNumberForma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'cornu-spiral'!$B$51:$B$91</c:f>
              <c:numCache>
                <c:formatCode>General</c:formatCode>
                <c:ptCount val="41"/>
                <c:pt idx="0">
                  <c:v>1832.7440828071494</c:v>
                </c:pt>
                <c:pt idx="1">
                  <c:v>2098.5189281819485</c:v>
                </c:pt>
                <c:pt idx="2">
                  <c:v>2312.6212729598824</c:v>
                </c:pt>
                <c:pt idx="3">
                  <c:v>2469.7792068475737</c:v>
                </c:pt>
                <c:pt idx="4">
                  <c:v>2566.1229799354292</c:v>
                </c:pt>
                <c:pt idx="5">
                  <c:v>2599.2802887833736</c:v>
                </c:pt>
                <c:pt idx="6">
                  <c:v>2568.4346904047725</c:v>
                </c:pt>
                <c:pt idx="7">
                  <c:v>2474.3457058023782</c:v>
                </c:pt>
                <c:pt idx="8">
                  <c:v>2319.3301180405392</c:v>
                </c:pt>
                <c:pt idx="9">
                  <c:v>2107.2049253571922</c:v>
                </c:pt>
                <c:pt idx="10">
                  <c:v>1843.1933539993531</c:v>
                </c:pt>
                <c:pt idx="11">
                  <c:v>1533.7962450580226</c:v>
                </c:pt>
                <c:pt idx="12">
                  <c:v>1186.6319821854695</c:v>
                </c:pt>
                <c:pt idx="13">
                  <c:v>810.24890170574838</c:v>
                </c:pt>
                <c:pt idx="14">
                  <c:v>413.91480420409744</c:v>
                </c:pt>
                <c:pt idx="15">
                  <c:v>7.3887505184629845</c:v>
                </c:pt>
                <c:pt idx="16">
                  <c:v>-399.31923872679158</c:v>
                </c:pt>
                <c:pt idx="17">
                  <c:v>-796.19466305001981</c:v>
                </c:pt>
                <c:pt idx="18">
                  <c:v>-1173.4651323503676</c:v>
                </c:pt>
                <c:pt idx="19">
                  <c:v>-1521.8409955847551</c:v>
                </c:pt>
                <c:pt idx="20">
                  <c:v>-1832.7440828071508</c:v>
                </c:pt>
                <c:pt idx="21">
                  <c:v>-2098.5189281819498</c:v>
                </c:pt>
                <c:pt idx="22">
                  <c:v>-2312.6212729598833</c:v>
                </c:pt>
                <c:pt idx="23">
                  <c:v>-2469.7792068475751</c:v>
                </c:pt>
                <c:pt idx="24">
                  <c:v>-2566.1229799354296</c:v>
                </c:pt>
                <c:pt idx="25">
                  <c:v>-2599.2802887833736</c:v>
                </c:pt>
                <c:pt idx="26">
                  <c:v>-2568.4346904047716</c:v>
                </c:pt>
                <c:pt idx="27">
                  <c:v>-2474.3457058023769</c:v>
                </c:pt>
                <c:pt idx="28">
                  <c:v>-2319.3301180405374</c:v>
                </c:pt>
                <c:pt idx="29">
                  <c:v>-2107.2049253571895</c:v>
                </c:pt>
                <c:pt idx="30">
                  <c:v>-1843.1933539993497</c:v>
                </c:pt>
                <c:pt idx="31">
                  <c:v>-1533.7962450580167</c:v>
                </c:pt>
                <c:pt idx="32">
                  <c:v>-1186.6319821854631</c:v>
                </c:pt>
                <c:pt idx="33">
                  <c:v>-810.24890170574213</c:v>
                </c:pt>
                <c:pt idx="34">
                  <c:v>-413.91480420409107</c:v>
                </c:pt>
                <c:pt idx="35">
                  <c:v>-7.3887505184579823</c:v>
                </c:pt>
                <c:pt idx="36">
                  <c:v>399.31923872679704</c:v>
                </c:pt>
                <c:pt idx="37">
                  <c:v>796.19466305002504</c:v>
                </c:pt>
                <c:pt idx="38">
                  <c:v>1173.4651323503733</c:v>
                </c:pt>
                <c:pt idx="39">
                  <c:v>1521.8409955847605</c:v>
                </c:pt>
                <c:pt idx="40">
                  <c:v>1832.744082807154</c:v>
                </c:pt>
              </c:numCache>
            </c:numRef>
          </c:xVal>
          <c:yVal>
            <c:numRef>
              <c:f>'cornu-spiral'!$C$51:$C$91</c:f>
              <c:numCache>
                <c:formatCode>General</c:formatCode>
                <c:ptCount val="41"/>
                <c:pt idx="0">
                  <c:v>-1843.1933539993527</c:v>
                </c:pt>
                <c:pt idx="1">
                  <c:v>-1533.7962450580219</c:v>
                </c:pt>
                <c:pt idx="2">
                  <c:v>-1186.631982185469</c:v>
                </c:pt>
                <c:pt idx="3">
                  <c:v>-810.24890170574815</c:v>
                </c:pt>
                <c:pt idx="4">
                  <c:v>-413.91480420409721</c:v>
                </c:pt>
                <c:pt idx="5">
                  <c:v>-7.3887505184643487</c:v>
                </c:pt>
                <c:pt idx="6">
                  <c:v>399.31923872679045</c:v>
                </c:pt>
                <c:pt idx="7">
                  <c:v>796.19466305001879</c:v>
                </c:pt>
                <c:pt idx="8">
                  <c:v>1173.4651323503654</c:v>
                </c:pt>
                <c:pt idx="9">
                  <c:v>1521.8409955847528</c:v>
                </c:pt>
                <c:pt idx="10">
                  <c:v>1832.744082807149</c:v>
                </c:pt>
                <c:pt idx="11">
                  <c:v>2098.518928181948</c:v>
                </c:pt>
                <c:pt idx="12">
                  <c:v>2312.6212729598824</c:v>
                </c:pt>
                <c:pt idx="13">
                  <c:v>2469.7792068475737</c:v>
                </c:pt>
                <c:pt idx="14">
                  <c:v>2566.1229799354287</c:v>
                </c:pt>
                <c:pt idx="15">
                  <c:v>2599.2802887833736</c:v>
                </c:pt>
                <c:pt idx="16">
                  <c:v>2568.4346904047725</c:v>
                </c:pt>
                <c:pt idx="17">
                  <c:v>2474.3457058023778</c:v>
                </c:pt>
                <c:pt idx="18">
                  <c:v>2319.3301180405383</c:v>
                </c:pt>
                <c:pt idx="19">
                  <c:v>2107.2049253571909</c:v>
                </c:pt>
                <c:pt idx="20">
                  <c:v>1843.1933539993513</c:v>
                </c:pt>
                <c:pt idx="21">
                  <c:v>1533.7962450580203</c:v>
                </c:pt>
                <c:pt idx="22">
                  <c:v>1186.6319821854672</c:v>
                </c:pt>
                <c:pt idx="23">
                  <c:v>810.24890170574508</c:v>
                </c:pt>
                <c:pt idx="24">
                  <c:v>413.91480420409403</c:v>
                </c:pt>
                <c:pt idx="25">
                  <c:v>7.3887505184611655</c:v>
                </c:pt>
                <c:pt idx="26">
                  <c:v>-399.31923872679454</c:v>
                </c:pt>
                <c:pt idx="27">
                  <c:v>-796.194663050023</c:v>
                </c:pt>
                <c:pt idx="28">
                  <c:v>-1173.4651323503695</c:v>
                </c:pt>
                <c:pt idx="29">
                  <c:v>-1521.8409955847569</c:v>
                </c:pt>
                <c:pt idx="30">
                  <c:v>-1832.7440828071524</c:v>
                </c:pt>
                <c:pt idx="31">
                  <c:v>-2098.5189281819526</c:v>
                </c:pt>
                <c:pt idx="32">
                  <c:v>-2312.6212729598856</c:v>
                </c:pt>
                <c:pt idx="33">
                  <c:v>-2469.779206847576</c:v>
                </c:pt>
                <c:pt idx="34">
                  <c:v>-2566.1229799354305</c:v>
                </c:pt>
                <c:pt idx="35">
                  <c:v>-2599.2802887833736</c:v>
                </c:pt>
                <c:pt idx="36">
                  <c:v>-2568.4346904047716</c:v>
                </c:pt>
                <c:pt idx="37">
                  <c:v>-2474.3457058023764</c:v>
                </c:pt>
                <c:pt idx="38">
                  <c:v>-2319.3301180405356</c:v>
                </c:pt>
                <c:pt idx="39">
                  <c:v>-2107.2049253571868</c:v>
                </c:pt>
                <c:pt idx="40">
                  <c:v>-1843.1933539993481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2-46F6-A0B5-3BFFF8C5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34384"/>
        <c:axId val="378734712"/>
      </c:scatterChart>
      <c:valAx>
        <c:axId val="3787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4712"/>
        <c:crosses val="autoZero"/>
        <c:crossBetween val="midCat"/>
      </c:valAx>
      <c:valAx>
        <c:axId val="3787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67</xdr:row>
      <xdr:rowOff>38100</xdr:rowOff>
    </xdr:from>
    <xdr:to>
      <xdr:col>8</xdr:col>
      <xdr:colOff>657225</xdr:colOff>
      <xdr:row>81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15AD3-396E-47ED-B942-762E76F4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9249-0AAC-4E6B-9EAA-15B03B47BEE3}">
  <dimension ref="A1:J34"/>
  <sheetViews>
    <sheetView workbookViewId="0">
      <selection activeCell="B17" sqref="B17"/>
    </sheetView>
  </sheetViews>
  <sheetFormatPr defaultRowHeight="15" x14ac:dyDescent="0.25"/>
  <cols>
    <col min="1" max="1" width="13.140625" customWidth="1"/>
    <col min="2" max="2" width="21.7109375" customWidth="1"/>
    <col min="3" max="3" width="17.5703125" customWidth="1"/>
    <col min="4" max="4" width="10.7109375" customWidth="1"/>
    <col min="7" max="7" width="18.28515625" customWidth="1"/>
    <col min="8" max="8" width="18.140625" customWidth="1"/>
    <col min="9" max="9" width="20.28515625" customWidth="1"/>
    <col min="10" max="10" width="18.42578125" customWidth="1"/>
  </cols>
  <sheetData>
    <row r="1" spans="1:10" ht="15.75" thickBot="1" x14ac:dyDescent="0.3">
      <c r="A1" t="s">
        <v>36</v>
      </c>
      <c r="E1" s="25" t="s">
        <v>4</v>
      </c>
      <c r="F1" s="26"/>
      <c r="G1" s="26"/>
      <c r="H1" s="26"/>
      <c r="I1" s="26"/>
      <c r="J1" s="27"/>
    </row>
    <row r="2" spans="1:10" ht="15.75" thickBot="1" x14ac:dyDescent="0.3">
      <c r="A2" t="s">
        <v>37</v>
      </c>
      <c r="B2">
        <v>600</v>
      </c>
      <c r="E2" s="15" t="s">
        <v>54</v>
      </c>
      <c r="F2" s="14" t="s">
        <v>6</v>
      </c>
      <c r="G2" s="14" t="s">
        <v>7</v>
      </c>
      <c r="H2" s="14" t="s">
        <v>45</v>
      </c>
      <c r="I2" s="14" t="s">
        <v>46</v>
      </c>
      <c r="J2" s="16" t="s">
        <v>26</v>
      </c>
    </row>
    <row r="3" spans="1:10" x14ac:dyDescent="0.25">
      <c r="A3" t="s">
        <v>38</v>
      </c>
      <c r="B3" s="1">
        <v>10</v>
      </c>
      <c r="C3" s="3">
        <f>+RADIANS(B3)</f>
        <v>0.17453292519943295</v>
      </c>
      <c r="E3" s="8">
        <v>0</v>
      </c>
      <c r="F3" s="6">
        <f>+E3*4 +1</f>
        <v>1</v>
      </c>
      <c r="G3" s="21">
        <f t="shared" ref="G3:G10" si="0">(-1)^E3/(FACT(2*E3)*F3)</f>
        <v>1</v>
      </c>
      <c r="H3" s="7">
        <f>+($B$19^$E3)*$G3</f>
        <v>1</v>
      </c>
      <c r="I3" s="7">
        <f>+($B$20^$E3)*$G3</f>
        <v>1</v>
      </c>
      <c r="J3" s="17">
        <f>+H3-I3</f>
        <v>0</v>
      </c>
    </row>
    <row r="4" spans="1:10" x14ac:dyDescent="0.25">
      <c r="A4" t="s">
        <v>39</v>
      </c>
      <c r="B4" s="1">
        <f>2*C3/PI()</f>
        <v>0.1111111111111111</v>
      </c>
      <c r="E4" s="8">
        <v>1</v>
      </c>
      <c r="F4" s="6">
        <f t="shared" ref="F4:F10" si="1">+E4*4 +1</f>
        <v>5</v>
      </c>
      <c r="G4" s="6">
        <f t="shared" si="0"/>
        <v>-0.1</v>
      </c>
      <c r="H4" s="7">
        <f>+($B$19^$E4)*$G4</f>
        <v>-1.1701444762242377E-2</v>
      </c>
      <c r="I4" s="7">
        <f>+($B$20^$E4)*$G4</f>
        <v>-7.0208668573454244E-2</v>
      </c>
      <c r="J4" s="9">
        <f>+I4-H4</f>
        <v>-5.8507223811211866E-2</v>
      </c>
    </row>
    <row r="5" spans="1:10" x14ac:dyDescent="0.25">
      <c r="A5" t="s">
        <v>42</v>
      </c>
      <c r="B5" s="1">
        <f>1/B2</f>
        <v>1.6666666666666668E-3</v>
      </c>
      <c r="E5" s="8">
        <v>2</v>
      </c>
      <c r="F5" s="6">
        <f t="shared" si="1"/>
        <v>9</v>
      </c>
      <c r="G5" s="6">
        <f t="shared" si="0"/>
        <v>4.6296296296296294E-3</v>
      </c>
      <c r="H5" s="7">
        <f t="shared" ref="H5:H10" si="2">+($B$19^$E5)*$G5</f>
        <v>6.3390652557319231E-5</v>
      </c>
      <c r="I5" s="7">
        <f t="shared" ref="I5:I10" si="3">+($B$20^$E5)*$G5</f>
        <v>2.2820634920634915E-3</v>
      </c>
      <c r="J5" s="9">
        <f t="shared" ref="J5:J10" si="4">+I5-H5</f>
        <v>2.2186728395061721E-3</v>
      </c>
    </row>
    <row r="6" spans="1:10" x14ac:dyDescent="0.25">
      <c r="B6" s="1"/>
      <c r="E6" s="8">
        <v>3</v>
      </c>
      <c r="F6" s="6">
        <f t="shared" si="1"/>
        <v>13</v>
      </c>
      <c r="G6" s="6">
        <f t="shared" si="0"/>
        <v>-1.0683760683760684E-4</v>
      </c>
      <c r="H6" s="7">
        <f t="shared" si="2"/>
        <v>-1.711758967712237E-7</v>
      </c>
      <c r="I6" s="7">
        <f t="shared" si="3"/>
        <v>-3.6973993702584309E-5</v>
      </c>
      <c r="J6" s="9">
        <f t="shared" si="4"/>
        <v>-3.6802817805813084E-5</v>
      </c>
    </row>
    <row r="7" spans="1:10" x14ac:dyDescent="0.25">
      <c r="B7" s="1"/>
      <c r="E7" s="8">
        <v>4</v>
      </c>
      <c r="F7" s="6">
        <f t="shared" si="1"/>
        <v>17</v>
      </c>
      <c r="G7" s="6">
        <f t="shared" si="0"/>
        <v>1.4589169000933706E-6</v>
      </c>
      <c r="H7" s="7">
        <f t="shared" si="2"/>
        <v>2.7351963139753261E-10</v>
      </c>
      <c r="I7" s="7">
        <f t="shared" si="3"/>
        <v>3.5448144229120201E-7</v>
      </c>
      <c r="J7" s="9">
        <f t="shared" si="4"/>
        <v>3.5420792265980449E-7</v>
      </c>
    </row>
    <row r="8" spans="1:10" x14ac:dyDescent="0.25">
      <c r="A8" t="s">
        <v>40</v>
      </c>
      <c r="B8" s="1"/>
      <c r="E8" s="8">
        <v>5</v>
      </c>
      <c r="F8" s="6">
        <f t="shared" si="1"/>
        <v>21</v>
      </c>
      <c r="G8" s="6">
        <f t="shared" si="0"/>
        <v>-1.3122532963802806E-8</v>
      </c>
      <c r="H8" s="7">
        <f t="shared" si="2"/>
        <v>-2.8788239465175187E-13</v>
      </c>
      <c r="I8" s="7">
        <f t="shared" si="3"/>
        <v>-2.2385735008120208E-9</v>
      </c>
      <c r="J8" s="9">
        <f t="shared" si="4"/>
        <v>-2.238285618417369E-9</v>
      </c>
    </row>
    <row r="9" spans="1:10" x14ac:dyDescent="0.25">
      <c r="A9" t="s">
        <v>37</v>
      </c>
      <c r="B9" s="1">
        <v>100</v>
      </c>
      <c r="E9" s="8">
        <v>6</v>
      </c>
      <c r="F9" s="6">
        <f t="shared" si="1"/>
        <v>25</v>
      </c>
      <c r="G9" s="6">
        <f t="shared" si="0"/>
        <v>8.3507027951472397E-11</v>
      </c>
      <c r="H9" s="7">
        <f t="shared" si="2"/>
        <v>2.1436799612069765E-16</v>
      </c>
      <c r="I9" s="7">
        <f t="shared" si="3"/>
        <v>1.0001553227007259E-11</v>
      </c>
      <c r="J9" s="9">
        <f t="shared" si="4"/>
        <v>1.0001338859011138E-11</v>
      </c>
    </row>
    <row r="10" spans="1:10" ht="15.75" thickBot="1" x14ac:dyDescent="0.3">
      <c r="A10" s="5" t="s">
        <v>38</v>
      </c>
      <c r="B10" s="1">
        <v>36.869</v>
      </c>
      <c r="C10">
        <f>+RADIANS(B10)</f>
        <v>0.64348544191778934</v>
      </c>
      <c r="E10" s="10">
        <v>7</v>
      </c>
      <c r="F10" s="11">
        <f t="shared" si="1"/>
        <v>29</v>
      </c>
      <c r="G10" s="11">
        <f t="shared" si="0"/>
        <v>-3.9554295164585257E-13</v>
      </c>
      <c r="H10" s="12">
        <f t="shared" si="2"/>
        <v>-1.1881466774341281E-19</v>
      </c>
      <c r="I10" s="12">
        <f t="shared" si="3"/>
        <v>-3.326050282941998E-14</v>
      </c>
      <c r="J10" s="13">
        <f t="shared" si="4"/>
        <v>-3.3260384014752237E-14</v>
      </c>
    </row>
    <row r="11" spans="1:10" x14ac:dyDescent="0.25">
      <c r="A11" s="5" t="s">
        <v>41</v>
      </c>
      <c r="B11" s="1">
        <f>2*C10/PI()</f>
        <v>0.40965555555555555</v>
      </c>
      <c r="H11" s="4">
        <f>SUM(H3:H10)</f>
        <v>0.98836177498765021</v>
      </c>
      <c r="I11" s="4">
        <f>SUM(I3:I10)</f>
        <v>0.93203677317774369</v>
      </c>
      <c r="J11" s="4">
        <f>SUM(J3:J10)</f>
        <v>-5.6325001809906385E-2</v>
      </c>
    </row>
    <row r="12" spans="1:10" ht="15.75" thickBot="1" x14ac:dyDescent="0.3">
      <c r="A12" s="5" t="s">
        <v>43</v>
      </c>
      <c r="B12" s="1">
        <f>1/B9</f>
        <v>0.01</v>
      </c>
      <c r="E12" s="28" t="s">
        <v>5</v>
      </c>
      <c r="F12" s="29"/>
      <c r="G12" s="29"/>
      <c r="H12" s="29"/>
      <c r="I12" s="29"/>
      <c r="J12" s="29"/>
    </row>
    <row r="13" spans="1:10" ht="15.75" thickBot="1" x14ac:dyDescent="0.3">
      <c r="A13" s="5" t="s">
        <v>50</v>
      </c>
      <c r="B13" s="1">
        <v>90</v>
      </c>
      <c r="C13">
        <f>+RADIANS(B13)</f>
        <v>1.5707963267948966</v>
      </c>
      <c r="E13" s="15" t="s">
        <v>54</v>
      </c>
      <c r="F13" s="14" t="s">
        <v>6</v>
      </c>
      <c r="G13" s="14" t="s">
        <v>7</v>
      </c>
      <c r="H13" s="14" t="s">
        <v>47</v>
      </c>
      <c r="I13" s="14" t="s">
        <v>48</v>
      </c>
      <c r="J13" s="19" t="s">
        <v>26</v>
      </c>
    </row>
    <row r="14" spans="1:10" x14ac:dyDescent="0.25">
      <c r="A14" s="5"/>
      <c r="B14" s="1"/>
      <c r="E14" s="8">
        <v>0</v>
      </c>
      <c r="F14" s="21">
        <f>+E14*4+3</f>
        <v>3</v>
      </c>
      <c r="G14" s="21">
        <f>+((-1)^E14)/(FACT(2*E14+1)*F14)</f>
        <v>0.33333333333333331</v>
      </c>
      <c r="H14" s="20">
        <f>+($B$19^$E14)*$G14</f>
        <v>0.33333333333333331</v>
      </c>
      <c r="I14" s="20">
        <f>+($B$20^$E14)*$G14</f>
        <v>0.33333333333333331</v>
      </c>
      <c r="J14" s="17">
        <f>+I14-H14</f>
        <v>0</v>
      </c>
    </row>
    <row r="15" spans="1:10" x14ac:dyDescent="0.25">
      <c r="A15" s="5" t="s">
        <v>44</v>
      </c>
      <c r="B15" s="1">
        <v>0</v>
      </c>
      <c r="C15" t="s">
        <v>1</v>
      </c>
      <c r="E15" s="8">
        <v>1</v>
      </c>
      <c r="F15" s="6">
        <f t="shared" ref="F15:F21" si="5">+E15*4+3</f>
        <v>7</v>
      </c>
      <c r="G15" s="6">
        <f t="shared" ref="G15:G21" si="6">+((-1)^E15)/(FACT(2*E15+1)*F15)</f>
        <v>-2.3809523809523808E-2</v>
      </c>
      <c r="H15" s="7">
        <f t="shared" ref="H15:H21" si="7">+($B$19^$E15)*$G15</f>
        <v>-2.7860582767243749E-3</v>
      </c>
      <c r="I15" s="7">
        <f t="shared" ref="I15:I21" si="8">+($B$20^$E15)*$G15</f>
        <v>-1.6716349660346248E-2</v>
      </c>
      <c r="J15" s="9">
        <f t="shared" ref="J15:J21" si="9">+I15-H15</f>
        <v>-1.3930291383621873E-2</v>
      </c>
    </row>
    <row r="16" spans="1:10" x14ac:dyDescent="0.25">
      <c r="A16" s="5" t="s">
        <v>32</v>
      </c>
      <c r="B16" s="4">
        <f>2*C13/PI()</f>
        <v>1</v>
      </c>
      <c r="E16" s="8">
        <v>2</v>
      </c>
      <c r="F16" s="6">
        <f t="shared" si="5"/>
        <v>11</v>
      </c>
      <c r="G16" s="6">
        <f t="shared" si="6"/>
        <v>7.5757575757575758E-4</v>
      </c>
      <c r="H16" s="7">
        <f t="shared" si="7"/>
        <v>1.0373015873015874E-5</v>
      </c>
      <c r="I16" s="7">
        <f t="shared" si="8"/>
        <v>3.7342857142857137E-4</v>
      </c>
      <c r="J16" s="9">
        <f t="shared" si="9"/>
        <v>3.6305555555555548E-4</v>
      </c>
    </row>
    <row r="17" spans="1:10" x14ac:dyDescent="0.25">
      <c r="A17" s="5" t="s">
        <v>33</v>
      </c>
      <c r="B17">
        <f>+SQRT((B16-B4-B11)/(B12^2-B5^2))</f>
        <v>70.208668573454247</v>
      </c>
      <c r="E17" s="8">
        <v>3</v>
      </c>
      <c r="F17" s="6">
        <f t="shared" si="5"/>
        <v>15</v>
      </c>
      <c r="G17" s="6">
        <f t="shared" si="6"/>
        <v>-1.3227513227513228E-5</v>
      </c>
      <c r="H17" s="7">
        <f t="shared" si="7"/>
        <v>-2.1193206266913412E-8</v>
      </c>
      <c r="I17" s="7">
        <f t="shared" si="8"/>
        <v>-4.5777325536532954E-6</v>
      </c>
      <c r="J17" s="9">
        <f t="shared" si="9"/>
        <v>-4.5565393473863817E-6</v>
      </c>
    </row>
    <row r="18" spans="1:10" x14ac:dyDescent="0.25">
      <c r="E18" s="8">
        <v>4</v>
      </c>
      <c r="F18" s="6">
        <f t="shared" si="5"/>
        <v>19</v>
      </c>
      <c r="G18" s="6">
        <f t="shared" si="6"/>
        <v>1.4503852223150468E-7</v>
      </c>
      <c r="H18" s="7">
        <f t="shared" si="7"/>
        <v>2.7192010138935991E-11</v>
      </c>
      <c r="I18" s="7">
        <f t="shared" si="8"/>
        <v>3.5240845140061025E-8</v>
      </c>
      <c r="J18" s="9">
        <f t="shared" si="9"/>
        <v>3.5213653129922088E-8</v>
      </c>
    </row>
    <row r="19" spans="1:10" x14ac:dyDescent="0.25">
      <c r="A19" s="5" t="s">
        <v>35</v>
      </c>
      <c r="B19">
        <f>+B5*B17</f>
        <v>0.11701444762242376</v>
      </c>
      <c r="E19" s="8">
        <v>5</v>
      </c>
      <c r="F19" s="6">
        <f t="shared" si="5"/>
        <v>23</v>
      </c>
      <c r="G19" s="6">
        <f t="shared" si="6"/>
        <v>-1.0892221037148573E-9</v>
      </c>
      <c r="H19" s="7">
        <f t="shared" si="7"/>
        <v>-2.3895376631173076E-14</v>
      </c>
      <c r="I19" s="7">
        <f t="shared" si="8"/>
        <v>-1.8581044868400173E-10</v>
      </c>
      <c r="J19" s="9">
        <f t="shared" si="9"/>
        <v>-1.8578655330737055E-10</v>
      </c>
    </row>
    <row r="20" spans="1:10" x14ac:dyDescent="0.25">
      <c r="A20" s="5" t="s">
        <v>34</v>
      </c>
      <c r="B20">
        <f>+B12*B17</f>
        <v>0.70208668573454247</v>
      </c>
      <c r="E20" s="8">
        <v>6</v>
      </c>
      <c r="F20" s="6">
        <f t="shared" si="5"/>
        <v>27</v>
      </c>
      <c r="G20" s="6">
        <f t="shared" si="6"/>
        <v>5.9477940136376354E-12</v>
      </c>
      <c r="H20" s="7">
        <f t="shared" si="7"/>
        <v>1.5268375792072484E-17</v>
      </c>
      <c r="I20" s="7">
        <f t="shared" si="8"/>
        <v>7.1236134095493306E-13</v>
      </c>
      <c r="J20" s="9">
        <f t="shared" si="9"/>
        <v>7.1234607257914097E-13</v>
      </c>
    </row>
    <row r="21" spans="1:10" ht="15.75" thickBot="1" x14ac:dyDescent="0.3">
      <c r="E21" s="10">
        <v>7</v>
      </c>
      <c r="F21" s="11">
        <f t="shared" si="5"/>
        <v>31</v>
      </c>
      <c r="G21" s="11">
        <f t="shared" si="6"/>
        <v>-2.4668270102644571E-14</v>
      </c>
      <c r="H21" s="12">
        <f t="shared" si="7"/>
        <v>-7.4099470205569278E-21</v>
      </c>
      <c r="I21" s="12">
        <f t="shared" si="8"/>
        <v>-2.0743109291466223E-15</v>
      </c>
      <c r="J21" s="13">
        <f t="shared" si="9"/>
        <v>-2.0743035191996016E-15</v>
      </c>
    </row>
    <row r="22" spans="1:10" x14ac:dyDescent="0.25">
      <c r="A22" s="5" t="s">
        <v>27</v>
      </c>
      <c r="B22">
        <f>+B4-B19^2</f>
        <v>9.7418730158730149E-2</v>
      </c>
      <c r="H22" s="4">
        <f>SUM(H14:H21)</f>
        <v>0.33055762690644386</v>
      </c>
      <c r="I22" s="4">
        <f>SUM(I14:I21)</f>
        <v>0.31698586956760705</v>
      </c>
      <c r="J22" s="4">
        <f>+I22-H22</f>
        <v>-1.357175733883681E-2</v>
      </c>
    </row>
    <row r="23" spans="1:10" x14ac:dyDescent="0.25">
      <c r="A23" s="5" t="s">
        <v>49</v>
      </c>
      <c r="B23">
        <f>+PI()*B17</f>
        <v>220.56703740868446</v>
      </c>
    </row>
    <row r="25" spans="1:10" x14ac:dyDescent="0.25">
      <c r="A25" s="5" t="s">
        <v>8</v>
      </c>
      <c r="B25">
        <f>+B23*B22*J11</f>
        <v>-1.2102756302740818</v>
      </c>
    </row>
    <row r="26" spans="1:10" x14ac:dyDescent="0.25">
      <c r="A26" s="5" t="s">
        <v>9</v>
      </c>
      <c r="B26">
        <f>+B23*B22*J22</f>
        <v>-0.29162124526196997</v>
      </c>
      <c r="C26">
        <f>+SQRT(B26^2+B25^2)</f>
        <v>1.2449136724783241</v>
      </c>
    </row>
    <row r="28" spans="1:10" x14ac:dyDescent="0.25">
      <c r="A28" s="5" t="s">
        <v>51</v>
      </c>
      <c r="B28">
        <f>+(2/PI())*(C13-C3-C10)</f>
        <v>0.47923333333333334</v>
      </c>
    </row>
    <row r="29" spans="1:10" x14ac:dyDescent="0.25">
      <c r="A29" s="5" t="s">
        <v>52</v>
      </c>
      <c r="B29">
        <f>+(1/B9^2)-(1/B2^2)</f>
        <v>9.722222222222223E-5</v>
      </c>
      <c r="D29" s="2"/>
    </row>
    <row r="30" spans="1:10" x14ac:dyDescent="0.25">
      <c r="B30">
        <f>+SQRT(B28/B29)</f>
        <v>70.208668573454247</v>
      </c>
    </row>
    <row r="32" spans="1:10" x14ac:dyDescent="0.25">
      <c r="B32">
        <v>88.912999999999997</v>
      </c>
      <c r="C32">
        <f>+RADIANS(B32)</f>
        <v>1.5518245978257181</v>
      </c>
    </row>
    <row r="33" spans="2:3" x14ac:dyDescent="0.25">
      <c r="B33">
        <v>85.638999999999996</v>
      </c>
      <c r="C33">
        <f>+RADIANS(B33)</f>
        <v>1.4946825181154237</v>
      </c>
    </row>
    <row r="34" spans="2:3" x14ac:dyDescent="0.25">
      <c r="C34">
        <f>+C32-C33</f>
        <v>5.7142079710294391E-2</v>
      </c>
    </row>
  </sheetData>
  <mergeCells count="2">
    <mergeCell ref="E1:J1"/>
    <mergeCell ref="E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18BD-84EC-447D-98D8-4139A45E7752}">
  <dimension ref="A1:J35"/>
  <sheetViews>
    <sheetView workbookViewId="0">
      <selection activeCell="B18" sqref="B18"/>
    </sheetView>
  </sheetViews>
  <sheetFormatPr defaultRowHeight="15" x14ac:dyDescent="0.25"/>
  <cols>
    <col min="2" max="5" width="18.5703125" customWidth="1"/>
    <col min="6" max="6" width="10.42578125" customWidth="1"/>
    <col min="7" max="7" width="21.7109375" customWidth="1"/>
    <col min="8" max="8" width="19.7109375" customWidth="1"/>
    <col min="9" max="9" width="18.140625" customWidth="1"/>
    <col min="10" max="10" width="19.85546875" customWidth="1"/>
  </cols>
  <sheetData>
    <row r="1" spans="1:10" ht="15.75" thickBot="1" x14ac:dyDescent="0.3">
      <c r="A1" s="25" t="s">
        <v>4</v>
      </c>
      <c r="B1" s="26"/>
      <c r="C1" s="26"/>
      <c r="D1" s="26"/>
      <c r="E1" s="27"/>
      <c r="F1" s="28" t="s">
        <v>5</v>
      </c>
      <c r="G1" s="29"/>
      <c r="H1" s="29"/>
      <c r="I1" s="29"/>
      <c r="J1" s="29"/>
    </row>
    <row r="2" spans="1:10" ht="15.75" thickBot="1" x14ac:dyDescent="0.3">
      <c r="A2" s="15" t="s">
        <v>6</v>
      </c>
      <c r="B2" s="14" t="s">
        <v>7</v>
      </c>
      <c r="C2" s="14" t="s">
        <v>24</v>
      </c>
      <c r="D2" s="14" t="s">
        <v>25</v>
      </c>
      <c r="E2" s="16" t="s">
        <v>26</v>
      </c>
      <c r="F2" s="15" t="s">
        <v>6</v>
      </c>
      <c r="G2" s="14" t="s">
        <v>7</v>
      </c>
      <c r="H2" s="14" t="s">
        <v>24</v>
      </c>
      <c r="I2" s="14" t="s">
        <v>25</v>
      </c>
      <c r="J2" s="19" t="s">
        <v>26</v>
      </c>
    </row>
    <row r="3" spans="1:10" ht="15.75" thickBot="1" x14ac:dyDescent="0.3">
      <c r="A3" s="8">
        <v>0</v>
      </c>
      <c r="B3" s="6">
        <v>1</v>
      </c>
      <c r="C3" s="7">
        <v>1</v>
      </c>
      <c r="D3" s="7">
        <v>1</v>
      </c>
      <c r="E3" s="17">
        <f>+C3-D3</f>
        <v>0</v>
      </c>
      <c r="F3" s="8">
        <v>1</v>
      </c>
      <c r="G3" s="6">
        <f>1/3</f>
        <v>0.33333333333333331</v>
      </c>
      <c r="H3" s="7">
        <f>+B$12^$F3*$G3</f>
        <v>9.6796118394051316E-3</v>
      </c>
      <c r="I3" s="7">
        <f>+C$12^$F3*$G3</f>
        <v>0.145194177591077</v>
      </c>
      <c r="J3" s="17">
        <f>+H3-I3</f>
        <v>-0.13551456575167187</v>
      </c>
    </row>
    <row r="4" spans="1:10" x14ac:dyDescent="0.25">
      <c r="A4" s="8">
        <v>2</v>
      </c>
      <c r="B4" s="6">
        <v>-0.1</v>
      </c>
      <c r="C4" s="7">
        <f>+C3+(C$12^$A4)*$B4</f>
        <v>0.9810267857142857</v>
      </c>
      <c r="D4" s="7">
        <f>+D3+(B$12^$A4)*$B4</f>
        <v>0.99991567460317465</v>
      </c>
      <c r="E4" s="17">
        <f t="shared" ref="E4:E10" si="0">+C4-D4</f>
        <v>-1.8888888888888955E-2</v>
      </c>
      <c r="F4" s="8">
        <v>3</v>
      </c>
      <c r="G4" s="6">
        <f>-1/42</f>
        <v>-2.3809523809523808E-2</v>
      </c>
      <c r="H4" s="7">
        <f>+H3+(B$12^$F4*$G4)</f>
        <v>9.6790288128983642E-3</v>
      </c>
      <c r="I4" s="7">
        <f>+I3+(C$12^$F4*$G4)</f>
        <v>0.14322646313073875</v>
      </c>
      <c r="J4" s="9">
        <f t="shared" ref="J4:J10" si="1">+H4-I4</f>
        <v>-0.13354743431784039</v>
      </c>
    </row>
    <row r="5" spans="1:10" x14ac:dyDescent="0.25">
      <c r="A5" s="8">
        <v>4</v>
      </c>
      <c r="B5" s="6">
        <f>1/216</f>
        <v>4.6296296296296294E-3</v>
      </c>
      <c r="C5" s="7">
        <f t="shared" ref="C5:C10" si="2">+C4+(C$12^$A5)*$B5</f>
        <v>0.98119344444592071</v>
      </c>
      <c r="D5" s="7">
        <f t="shared" ref="D5:D10" si="3">+D4+(B$12^$A5)*$B5</f>
        <v>0.99991567789519897</v>
      </c>
      <c r="E5" s="9">
        <f t="shared" si="0"/>
        <v>-1.8722233449278258E-2</v>
      </c>
      <c r="F5" s="8">
        <v>5</v>
      </c>
      <c r="G5" s="6">
        <f>1/1320</f>
        <v>7.5757575757575758E-4</v>
      </c>
      <c r="H5" s="7">
        <f t="shared" ref="H5:H10" si="4">+H4+(B$12^$F5*$G5)</f>
        <v>9.6790288285414361E-3</v>
      </c>
      <c r="I5" s="7">
        <f t="shared" ref="I5:I10" si="5">+I4+(C$12^$F5*$G5)</f>
        <v>0.14323834208877345</v>
      </c>
      <c r="J5" s="9">
        <f t="shared" si="1"/>
        <v>-0.13355931326023202</v>
      </c>
    </row>
    <row r="6" spans="1:10" x14ac:dyDescent="0.25">
      <c r="A6" s="8">
        <v>6</v>
      </c>
      <c r="B6" s="6">
        <f>-1/9630</f>
        <v>-1.0384215991692627E-4</v>
      </c>
      <c r="C6" s="7">
        <f t="shared" si="2"/>
        <v>0.98119273520065087</v>
      </c>
      <c r="D6" s="7">
        <f t="shared" si="3"/>
        <v>0.99991567789513669</v>
      </c>
      <c r="E6" s="9">
        <f t="shared" si="0"/>
        <v>-1.8722942694485822E-2</v>
      </c>
      <c r="F6" s="8">
        <v>7</v>
      </c>
      <c r="G6" s="6">
        <f>-1/75600</f>
        <v>-1.3227513227513228E-5</v>
      </c>
      <c r="H6" s="7">
        <f t="shared" si="4"/>
        <v>9.6790288285412054E-3</v>
      </c>
      <c r="I6" s="7">
        <f t="shared" si="5"/>
        <v>0.1432383027363579</v>
      </c>
      <c r="J6" s="9">
        <f t="shared" si="1"/>
        <v>-0.13355927390781669</v>
      </c>
    </row>
    <row r="7" spans="1:10" x14ac:dyDescent="0.25">
      <c r="A7" s="8">
        <v>8</v>
      </c>
      <c r="B7" s="6">
        <f>1/685440</f>
        <v>1.4589169000933706E-6</v>
      </c>
      <c r="C7" s="7">
        <f t="shared" si="2"/>
        <v>0.98119273709122712</v>
      </c>
      <c r="D7" s="7">
        <f t="shared" si="3"/>
        <v>0.99991567789513669</v>
      </c>
      <c r="E7" s="9">
        <f t="shared" si="0"/>
        <v>-1.8722940803909571E-2</v>
      </c>
      <c r="F7" s="8">
        <v>9</v>
      </c>
      <c r="G7" s="6">
        <f>1/6894720</f>
        <v>1.4503852223150468E-7</v>
      </c>
      <c r="H7" s="7">
        <f t="shared" si="4"/>
        <v>9.6790288285412054E-3</v>
      </c>
      <c r="I7" s="7">
        <f t="shared" si="5"/>
        <v>0.14323830281822653</v>
      </c>
      <c r="J7" s="9">
        <f t="shared" si="1"/>
        <v>-0.13355927398968531</v>
      </c>
    </row>
    <row r="8" spans="1:10" x14ac:dyDescent="0.25">
      <c r="A8" s="8">
        <v>10</v>
      </c>
      <c r="B8" s="6">
        <f>-1/76204800</f>
        <v>-1.3122532963802806E-8</v>
      </c>
      <c r="C8" s="7">
        <f t="shared" si="2"/>
        <v>0.9811927370880007</v>
      </c>
      <c r="D8" s="7">
        <f t="shared" si="3"/>
        <v>0.99991567789513669</v>
      </c>
      <c r="E8" s="9">
        <f t="shared" si="0"/>
        <v>-1.872294080713599E-2</v>
      </c>
      <c r="F8" s="8">
        <v>11</v>
      </c>
      <c r="G8" s="6">
        <f>-1/9180856400</f>
        <v>-1.0892230053832451E-10</v>
      </c>
      <c r="H8" s="7">
        <f t="shared" si="4"/>
        <v>9.6790288285412054E-3</v>
      </c>
      <c r="I8" s="7">
        <f t="shared" si="5"/>
        <v>0.14323830281821487</v>
      </c>
      <c r="J8" s="9">
        <f t="shared" si="1"/>
        <v>-0.13355927398967365</v>
      </c>
    </row>
    <row r="9" spans="1:10" x14ac:dyDescent="0.25">
      <c r="A9" s="8">
        <v>12</v>
      </c>
      <c r="B9" s="6">
        <f>1/11975040000</f>
        <v>8.3507027951472397E-11</v>
      </c>
      <c r="C9" s="7">
        <f t="shared" si="2"/>
        <v>0.98119273708800459</v>
      </c>
      <c r="D9" s="7">
        <f t="shared" si="3"/>
        <v>0.99991567789513669</v>
      </c>
      <c r="E9" s="9">
        <f t="shared" si="0"/>
        <v>-1.8722940807132105E-2</v>
      </c>
      <c r="F9" s="8">
        <v>13</v>
      </c>
      <c r="G9" s="6">
        <f>1/168129561600</f>
        <v>5.9477940136376354E-12</v>
      </c>
      <c r="H9" s="7">
        <f t="shared" si="4"/>
        <v>9.6790288285412054E-3</v>
      </c>
      <c r="I9" s="7">
        <f t="shared" si="5"/>
        <v>0.14323830281821498</v>
      </c>
      <c r="J9" s="9">
        <f t="shared" si="1"/>
        <v>-0.13355927398967377</v>
      </c>
    </row>
    <row r="10" spans="1:10" ht="15.75" thickBot="1" x14ac:dyDescent="0.3">
      <c r="A10" s="10">
        <v>14</v>
      </c>
      <c r="B10" s="11">
        <f>-1/2528170444800</f>
        <v>-3.9554295164585257E-13</v>
      </c>
      <c r="C10" s="12">
        <f t="shared" si="2"/>
        <v>0.98119273708800459</v>
      </c>
      <c r="D10" s="12">
        <f t="shared" si="3"/>
        <v>0.99991567789513669</v>
      </c>
      <c r="E10" s="13">
        <f t="shared" si="0"/>
        <v>-1.8722940807132105E-2</v>
      </c>
      <c r="F10" s="10">
        <v>15</v>
      </c>
      <c r="G10" s="11">
        <f>-1/40583905408000</f>
        <v>-2.4640309747096874E-14</v>
      </c>
      <c r="H10" s="12">
        <f t="shared" si="4"/>
        <v>9.6790288285412054E-3</v>
      </c>
      <c r="I10" s="12">
        <f t="shared" si="5"/>
        <v>0.14323830281821498</v>
      </c>
      <c r="J10" s="13">
        <f t="shared" si="1"/>
        <v>-0.13355927398967377</v>
      </c>
    </row>
    <row r="11" spans="1:10" x14ac:dyDescent="0.25">
      <c r="B11" t="s">
        <v>35</v>
      </c>
      <c r="C11" t="s">
        <v>34</v>
      </c>
    </row>
    <row r="12" spans="1:10" x14ac:dyDescent="0.25">
      <c r="A12" t="s">
        <v>0</v>
      </c>
      <c r="B12">
        <f>+B21*B27</f>
        <v>2.9038835518215397E-2</v>
      </c>
      <c r="C12" s="4">
        <f>+$B$22*$B$27</f>
        <v>0.435582532773231</v>
      </c>
    </row>
    <row r="13" spans="1:10" x14ac:dyDescent="0.25">
      <c r="A13" t="s">
        <v>2</v>
      </c>
      <c r="B13">
        <v>50</v>
      </c>
    </row>
    <row r="14" spans="1:10" x14ac:dyDescent="0.25">
      <c r="A14" t="s">
        <v>8</v>
      </c>
      <c r="B14">
        <f>+D10*B13</f>
        <v>49.995783894756833</v>
      </c>
    </row>
    <row r="15" spans="1:10" x14ac:dyDescent="0.25">
      <c r="A15" t="s">
        <v>9</v>
      </c>
      <c r="B15">
        <f>+H10*B13</f>
        <v>0.48395144142706026</v>
      </c>
    </row>
    <row r="17" spans="1:7" x14ac:dyDescent="0.25">
      <c r="A17" t="s">
        <v>16</v>
      </c>
      <c r="B17">
        <v>0</v>
      </c>
      <c r="D17">
        <f>+(B17*PI())/180</f>
        <v>0</v>
      </c>
      <c r="G17" t="s">
        <v>23</v>
      </c>
    </row>
    <row r="18" spans="1:7" x14ac:dyDescent="0.25">
      <c r="A18" t="s">
        <v>17</v>
      </c>
      <c r="B18">
        <v>30</v>
      </c>
      <c r="D18">
        <f>+(B18*PI())/180</f>
        <v>0.52359877559829882</v>
      </c>
    </row>
    <row r="19" spans="1:7" x14ac:dyDescent="0.25">
      <c r="A19" t="s">
        <v>12</v>
      </c>
      <c r="B19">
        <v>1500</v>
      </c>
      <c r="G19" t="s">
        <v>18</v>
      </c>
    </row>
    <row r="20" spans="1:7" x14ac:dyDescent="0.25">
      <c r="A20" t="s">
        <v>13</v>
      </c>
      <c r="B20">
        <v>100</v>
      </c>
    </row>
    <row r="21" spans="1:7" x14ac:dyDescent="0.25">
      <c r="A21" t="s">
        <v>10</v>
      </c>
      <c r="B21">
        <f>1/B19</f>
        <v>6.6666666666666664E-4</v>
      </c>
      <c r="G21" t="s">
        <v>19</v>
      </c>
    </row>
    <row r="22" spans="1:7" x14ac:dyDescent="0.25">
      <c r="A22" t="s">
        <v>11</v>
      </c>
      <c r="B22">
        <f>1/B20</f>
        <v>0.01</v>
      </c>
    </row>
    <row r="23" spans="1:7" x14ac:dyDescent="0.25">
      <c r="A23" t="s">
        <v>14</v>
      </c>
      <c r="B23">
        <f>+(PI() * $D17) / 2</f>
        <v>0</v>
      </c>
      <c r="G23" t="s">
        <v>20</v>
      </c>
    </row>
    <row r="24" spans="1:7" x14ac:dyDescent="0.25">
      <c r="A24" t="s">
        <v>15</v>
      </c>
      <c r="B24">
        <f>+(PI() * $D18) / 2</f>
        <v>0.82246703342411309</v>
      </c>
    </row>
    <row r="25" spans="1:7" x14ac:dyDescent="0.25">
      <c r="A25" t="s">
        <v>32</v>
      </c>
      <c r="B25">
        <f>+(2*D18)/PI()</f>
        <v>0.33333333333333331</v>
      </c>
      <c r="G25" t="s">
        <v>21</v>
      </c>
    </row>
    <row r="27" spans="1:7" x14ac:dyDescent="0.25">
      <c r="A27" t="s">
        <v>33</v>
      </c>
      <c r="B27">
        <f>+SQRT((B25-B29-B30)/(B22^2 - B21^2))</f>
        <v>43.558253277323097</v>
      </c>
      <c r="G27" t="s">
        <v>22</v>
      </c>
    </row>
    <row r="29" spans="1:7" x14ac:dyDescent="0.25">
      <c r="A29" t="s">
        <v>30</v>
      </c>
      <c r="B29">
        <f>(2*C29) / PI()</f>
        <v>0.1111111111111111</v>
      </c>
      <c r="C29">
        <f>(10*PI()) / 180</f>
        <v>0.17453292519943295</v>
      </c>
    </row>
    <row r="30" spans="1:7" x14ac:dyDescent="0.25">
      <c r="A30" t="s">
        <v>31</v>
      </c>
      <c r="B30">
        <f>(2*C30) / PI()</f>
        <v>3.3333333333333333E-2</v>
      </c>
      <c r="C30">
        <f>+(3*PI()) / 180</f>
        <v>5.2359877559829883E-2</v>
      </c>
    </row>
    <row r="32" spans="1:7" x14ac:dyDescent="0.25">
      <c r="A32" t="s">
        <v>27</v>
      </c>
      <c r="B32">
        <f>+B29-((B21^2)*(B27^2))</f>
        <v>0.11026785714285714</v>
      </c>
    </row>
    <row r="34" spans="1:2" x14ac:dyDescent="0.25">
      <c r="A34" t="s">
        <v>28</v>
      </c>
      <c r="B34">
        <f>+B32*E10</f>
        <v>-2.0645385622150131E-3</v>
      </c>
    </row>
    <row r="35" spans="1:2" x14ac:dyDescent="0.25">
      <c r="A35" t="s">
        <v>29</v>
      </c>
      <c r="B35">
        <f>+J10*B32</f>
        <v>-1.4727294944397062E-2</v>
      </c>
    </row>
  </sheetData>
  <mergeCells count="2">
    <mergeCell ref="A1:E1"/>
    <mergeCell ref="F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949E-C4F5-43DA-908E-BC3ADB07101C}">
  <dimension ref="A1:F22"/>
  <sheetViews>
    <sheetView workbookViewId="0">
      <selection activeCell="D3" sqref="D3"/>
    </sheetView>
  </sheetViews>
  <sheetFormatPr defaultRowHeight="15" x14ac:dyDescent="0.25"/>
  <cols>
    <col min="1" max="1" width="9.140625" style="22"/>
    <col min="2" max="2" width="27.42578125" style="23" customWidth="1"/>
    <col min="3" max="3" width="25" style="4" customWidth="1"/>
    <col min="4" max="4" width="28" style="4" customWidth="1"/>
    <col min="5" max="16384" width="9.140625" style="22"/>
  </cols>
  <sheetData>
    <row r="1" spans="1:6" x14ac:dyDescent="0.25">
      <c r="A1" s="22" t="s">
        <v>4</v>
      </c>
      <c r="C1" s="4" t="s">
        <v>55</v>
      </c>
      <c r="D1" s="4" t="s">
        <v>3</v>
      </c>
    </row>
    <row r="2" spans="1:6" x14ac:dyDescent="0.25">
      <c r="A2" s="22" t="s">
        <v>53</v>
      </c>
      <c r="B2" s="23" t="s">
        <v>54</v>
      </c>
      <c r="C2" s="4">
        <v>0.5</v>
      </c>
      <c r="D2" s="4">
        <v>1</v>
      </c>
      <c r="F2" s="22">
        <f>+(-1)^0</f>
        <v>1</v>
      </c>
    </row>
    <row r="3" spans="1:6" x14ac:dyDescent="0.25">
      <c r="A3" s="22">
        <v>1</v>
      </c>
      <c r="B3" s="23">
        <v>1</v>
      </c>
      <c r="C3" s="4">
        <f>+(C2^(2*$A3-2))*$B3</f>
        <v>1</v>
      </c>
      <c r="D3" s="4">
        <f>+((-1)^$A3 * $D$2^((4*$A3) + 1))/(+FACT(2*$A3)*(4*$A3+1))</f>
        <v>-0.1</v>
      </c>
      <c r="F3" s="22">
        <f>+(-1)^1</f>
        <v>-1</v>
      </c>
    </row>
    <row r="4" spans="1:6" x14ac:dyDescent="0.25">
      <c r="A4" s="22">
        <v>2</v>
      </c>
      <c r="B4" s="23">
        <f>-1/10</f>
        <v>-0.1</v>
      </c>
      <c r="C4" s="4">
        <f>+C3+($C$2^(2*$A4-2))*$B4</f>
        <v>0.97499999999999998</v>
      </c>
      <c r="D4" s="4">
        <f t="shared" ref="D4:D10" si="0">+D3+((-1)^$A4 * $D$2^((4*$A4) + 1))/(+FACT(2*$A4)*(4*$A4+1))</f>
        <v>-9.5370370370370383E-2</v>
      </c>
    </row>
    <row r="5" spans="1:6" x14ac:dyDescent="0.25">
      <c r="A5" s="22">
        <v>3</v>
      </c>
      <c r="B5" s="23">
        <v>4.6296296296296294E-3</v>
      </c>
      <c r="C5" s="4">
        <f t="shared" ref="C5:C10" si="1">+C4+($C$2^(2*$A5-2))*$B5</f>
        <v>0.97528935185185184</v>
      </c>
      <c r="D5" s="4">
        <f t="shared" si="0"/>
        <v>-9.547720797720799E-2</v>
      </c>
    </row>
    <row r="6" spans="1:6" x14ac:dyDescent="0.25">
      <c r="A6" s="22">
        <v>4</v>
      </c>
      <c r="B6" s="23">
        <v>-1.06837606837607E-4</v>
      </c>
      <c r="C6" s="4">
        <f t="shared" si="1"/>
        <v>0.97528768251424502</v>
      </c>
      <c r="D6" s="4">
        <f t="shared" si="0"/>
        <v>-9.5475749060307896E-2</v>
      </c>
    </row>
    <row r="7" spans="1:6" x14ac:dyDescent="0.25">
      <c r="A7" s="22">
        <v>5</v>
      </c>
      <c r="B7" s="23">
        <f>1/685440</f>
        <v>1.4589169000933706E-6</v>
      </c>
      <c r="C7" s="4">
        <f t="shared" si="1"/>
        <v>0.97528768821313916</v>
      </c>
      <c r="D7" s="4">
        <f t="shared" si="0"/>
        <v>-9.5475762182840859E-2</v>
      </c>
    </row>
    <row r="8" spans="1:6" x14ac:dyDescent="0.25">
      <c r="A8" s="22">
        <v>6</v>
      </c>
      <c r="B8" s="23">
        <f>-1/76204800</f>
        <v>-1.3122532963802806E-8</v>
      </c>
      <c r="C8" s="4">
        <f t="shared" si="1"/>
        <v>0.97528768820032419</v>
      </c>
      <c r="D8" s="4">
        <f t="shared" si="0"/>
        <v>-9.5475762099333825E-2</v>
      </c>
    </row>
    <row r="9" spans="1:6" x14ac:dyDescent="0.25">
      <c r="A9" s="22">
        <v>7</v>
      </c>
      <c r="B9" s="23">
        <f>1/11975040000</f>
        <v>8.3507027951472397E-11</v>
      </c>
      <c r="C9" s="4">
        <f t="shared" si="1"/>
        <v>0.97528768820034462</v>
      </c>
      <c r="D9" s="4">
        <f t="shared" si="0"/>
        <v>-9.5475762099729369E-2</v>
      </c>
    </row>
    <row r="10" spans="1:6" x14ac:dyDescent="0.25">
      <c r="A10" s="22">
        <v>8</v>
      </c>
      <c r="B10" s="23">
        <f>-1/2528170444800</f>
        <v>-3.9554295164585257E-13</v>
      </c>
      <c r="C10" s="4">
        <f t="shared" si="1"/>
        <v>0.97528768820034462</v>
      </c>
      <c r="D10" s="4">
        <f t="shared" si="0"/>
        <v>-9.5475762099727926E-2</v>
      </c>
    </row>
    <row r="13" spans="1:6" x14ac:dyDescent="0.25">
      <c r="A13" s="22" t="s">
        <v>5</v>
      </c>
    </row>
    <row r="14" spans="1:6" x14ac:dyDescent="0.25">
      <c r="A14" s="22" t="s">
        <v>53</v>
      </c>
      <c r="B14" s="23" t="s">
        <v>54</v>
      </c>
      <c r="C14" s="4">
        <v>0.5</v>
      </c>
    </row>
    <row r="15" spans="1:6" x14ac:dyDescent="0.25">
      <c r="A15" s="22">
        <v>1</v>
      </c>
      <c r="B15" s="23">
        <v>0.33333333333333331</v>
      </c>
      <c r="C15" s="4">
        <f>+$C$14^(2*A15-1)*B15</f>
        <v>0.16666666666666666</v>
      </c>
    </row>
    <row r="16" spans="1:6" x14ac:dyDescent="0.25">
      <c r="A16" s="22">
        <v>2</v>
      </c>
      <c r="B16" s="23">
        <v>-2.3809523809523801E-2</v>
      </c>
      <c r="C16" s="4">
        <f t="shared" ref="C16:C22" si="2">+C15+$C$14^(2*A16-1)*B16</f>
        <v>0.16369047619047619</v>
      </c>
    </row>
    <row r="17" spans="1:3" x14ac:dyDescent="0.25">
      <c r="A17" s="22">
        <v>3</v>
      </c>
      <c r="B17" s="23">
        <v>7.5757575757575758E-4</v>
      </c>
      <c r="C17" s="4">
        <f t="shared" si="2"/>
        <v>0.16371415043290044</v>
      </c>
    </row>
    <row r="18" spans="1:3" x14ac:dyDescent="0.25">
      <c r="A18" s="22">
        <v>4</v>
      </c>
      <c r="B18" s="23">
        <f>-1/75600</f>
        <v>-1.3227513227513228E-5</v>
      </c>
      <c r="C18" s="4">
        <f t="shared" si="2"/>
        <v>0.16371404709295334</v>
      </c>
    </row>
    <row r="19" spans="1:3" x14ac:dyDescent="0.25">
      <c r="A19" s="22">
        <v>5</v>
      </c>
      <c r="B19" s="23">
        <f>1/689720</f>
        <v>1.4498637128109957E-6</v>
      </c>
      <c r="C19" s="4">
        <f t="shared" si="2"/>
        <v>0.16371404992471841</v>
      </c>
    </row>
    <row r="20" spans="1:3" x14ac:dyDescent="0.25">
      <c r="A20" s="22">
        <v>6</v>
      </c>
      <c r="B20" s="23">
        <f>-1/918086400</f>
        <v>-1.0892221037148573E-9</v>
      </c>
      <c r="C20" s="4">
        <f t="shared" si="2"/>
        <v>0.16371404992418656</v>
      </c>
    </row>
    <row r="21" spans="1:3" x14ac:dyDescent="0.25">
      <c r="A21" s="22">
        <v>7</v>
      </c>
      <c r="B21" s="23">
        <f>1/168129561600</f>
        <v>5.9477940136376354E-12</v>
      </c>
      <c r="C21" s="4">
        <f t="shared" si="2"/>
        <v>0.16371404992418728</v>
      </c>
    </row>
    <row r="22" spans="1:3" x14ac:dyDescent="0.25">
      <c r="A22" s="22">
        <v>8</v>
      </c>
      <c r="B22" s="23">
        <f>-1/40537905408000</f>
        <v>-2.4668270102644571E-14</v>
      </c>
      <c r="C22" s="4">
        <f t="shared" si="2"/>
        <v>0.16371404992418728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C41C-06DF-49C1-B73B-3717A43F7ED0}">
  <dimension ref="A1:M91"/>
  <sheetViews>
    <sheetView tabSelected="1" workbookViewId="0">
      <selection activeCell="G18" sqref="G18"/>
    </sheetView>
  </sheetViews>
  <sheetFormatPr defaultRowHeight="15" x14ac:dyDescent="0.25"/>
  <cols>
    <col min="1" max="1" width="13.140625" customWidth="1"/>
    <col min="2" max="2" width="21.7109375" customWidth="1"/>
    <col min="3" max="3" width="17.5703125" customWidth="1"/>
    <col min="4" max="4" width="29.5703125" customWidth="1"/>
    <col min="7" max="7" width="18.28515625" customWidth="1"/>
    <col min="8" max="8" width="22.42578125" customWidth="1"/>
    <col min="9" max="9" width="28.140625" customWidth="1"/>
    <col min="10" max="10" width="18.42578125" customWidth="1"/>
  </cols>
  <sheetData>
    <row r="1" spans="1:13" ht="15.75" thickBot="1" x14ac:dyDescent="0.3">
      <c r="A1" t="s">
        <v>60</v>
      </c>
      <c r="E1" s="25" t="s">
        <v>4</v>
      </c>
      <c r="F1" s="26"/>
      <c r="G1" s="26"/>
      <c r="H1" s="26"/>
      <c r="I1" s="26"/>
      <c r="J1" s="27"/>
    </row>
    <row r="2" spans="1:13" ht="15.75" thickBot="1" x14ac:dyDescent="0.3">
      <c r="A2" t="s">
        <v>37</v>
      </c>
      <c r="B2">
        <v>2600</v>
      </c>
      <c r="E2" s="15" t="s">
        <v>54</v>
      </c>
      <c r="F2" s="14" t="s">
        <v>6</v>
      </c>
      <c r="G2" s="14" t="s">
        <v>7</v>
      </c>
      <c r="H2" s="14" t="s">
        <v>56</v>
      </c>
      <c r="I2" s="14" t="s">
        <v>57</v>
      </c>
      <c r="J2" s="16" t="s">
        <v>26</v>
      </c>
    </row>
    <row r="3" spans="1:13" x14ac:dyDescent="0.25">
      <c r="A3" t="s">
        <v>38</v>
      </c>
      <c r="B3" s="1">
        <v>44.821592613698002</v>
      </c>
      <c r="C3" s="3">
        <f>+RADIANS(B3)</f>
        <v>0.78228436709660099</v>
      </c>
      <c r="E3" s="8">
        <v>0</v>
      </c>
      <c r="F3" s="6">
        <f>+E3*4 +1</f>
        <v>1</v>
      </c>
      <c r="G3" s="21">
        <f>(-1)^E3/(FACT(2*E3)*F3)</f>
        <v>1</v>
      </c>
      <c r="H3" s="7">
        <f>+($M$3^$F3)*$G3</f>
        <v>3.75</v>
      </c>
      <c r="I3" s="7">
        <f>+($M$4^$F3)*$G3</f>
        <v>0.25791524236074631</v>
      </c>
      <c r="J3" s="17">
        <f>+I3-H3</f>
        <v>-3.4920847576392537</v>
      </c>
      <c r="L3" t="s">
        <v>63</v>
      </c>
      <c r="M3">
        <v>3.75</v>
      </c>
    </row>
    <row r="4" spans="1:13" x14ac:dyDescent="0.25">
      <c r="A4" t="s">
        <v>61</v>
      </c>
      <c r="B4" s="1">
        <f>1/B2</f>
        <v>3.8461538461538462E-4</v>
      </c>
      <c r="E4" s="8">
        <v>1</v>
      </c>
      <c r="F4" s="6">
        <f t="shared" ref="F4:F10" si="0">+E4*4 +1</f>
        <v>5</v>
      </c>
      <c r="G4" s="6">
        <f t="shared" ref="G4:G10" si="1">(-1)^E4/(FACT(2*E4)*F4)</f>
        <v>-0.1</v>
      </c>
      <c r="H4" s="7">
        <f t="shared" ref="H4:H18" si="2">+($M$3^$F4)*$G4</f>
        <v>-74.15771484375</v>
      </c>
      <c r="I4" s="7">
        <f t="shared" ref="I4:I18" si="3">+($M$4^$F4)*$G4</f>
        <v>-1.1412611797114708E-4</v>
      </c>
      <c r="J4" s="9">
        <f t="shared" ref="J4:J10" si="4">+I4-H4</f>
        <v>74.157600717632022</v>
      </c>
      <c r="L4" t="s">
        <v>64</v>
      </c>
      <c r="M4">
        <f>+C26</f>
        <v>0.25791524236074631</v>
      </c>
    </row>
    <row r="5" spans="1:13" x14ac:dyDescent="0.25">
      <c r="A5" t="s">
        <v>39</v>
      </c>
      <c r="B5" s="1">
        <f>2*C3/PI()</f>
        <v>0.49801769570775556</v>
      </c>
      <c r="E5" s="8">
        <v>2</v>
      </c>
      <c r="F5" s="6">
        <f t="shared" si="0"/>
        <v>9</v>
      </c>
      <c r="G5" s="6">
        <f t="shared" si="1"/>
        <v>4.6296296296296294E-3</v>
      </c>
      <c r="H5" s="7">
        <f t="shared" si="2"/>
        <v>678.93415689468384</v>
      </c>
      <c r="I5" s="7">
        <f t="shared" si="3"/>
        <v>2.3379721290423893E-8</v>
      </c>
      <c r="J5" s="9">
        <f t="shared" si="4"/>
        <v>-678.93415687130414</v>
      </c>
    </row>
    <row r="6" spans="1:13" x14ac:dyDescent="0.25">
      <c r="B6" s="1"/>
      <c r="E6" s="8">
        <v>3</v>
      </c>
      <c r="F6" s="6">
        <f t="shared" si="0"/>
        <v>13</v>
      </c>
      <c r="G6" s="6">
        <f t="shared" si="1"/>
        <v>-1.0683760683760684E-4</v>
      </c>
      <c r="H6" s="7">
        <f t="shared" si="2"/>
        <v>-3098.3511141340177</v>
      </c>
      <c r="I6" s="7">
        <f t="shared" si="3"/>
        <v>-2.3874004310938504E-12</v>
      </c>
      <c r="J6" s="9">
        <f t="shared" si="4"/>
        <v>3098.3511141340155</v>
      </c>
    </row>
    <row r="7" spans="1:13" x14ac:dyDescent="0.25">
      <c r="B7" s="1"/>
      <c r="E7" s="8">
        <v>4</v>
      </c>
      <c r="F7" s="6">
        <f t="shared" si="0"/>
        <v>17</v>
      </c>
      <c r="G7" s="6">
        <f t="shared" si="1"/>
        <v>1.4589169000933706E-6</v>
      </c>
      <c r="H7" s="7">
        <f t="shared" si="2"/>
        <v>8366.8523789942647</v>
      </c>
      <c r="I7" s="7">
        <f t="shared" si="3"/>
        <v>1.4425793388617837E-16</v>
      </c>
      <c r="J7" s="9">
        <f t="shared" si="4"/>
        <v>-8366.8523789942647</v>
      </c>
    </row>
    <row r="8" spans="1:13" x14ac:dyDescent="0.25">
      <c r="A8" t="s">
        <v>62</v>
      </c>
      <c r="B8" s="1"/>
      <c r="E8" s="8">
        <v>5</v>
      </c>
      <c r="F8" s="6">
        <f t="shared" si="0"/>
        <v>21</v>
      </c>
      <c r="G8" s="6">
        <f t="shared" si="1"/>
        <v>-1.3122532963802806E-8</v>
      </c>
      <c r="H8" s="7">
        <f t="shared" si="2"/>
        <v>-14882.445289087178</v>
      </c>
      <c r="I8" s="7">
        <f t="shared" si="3"/>
        <v>-5.7416254847613107E-21</v>
      </c>
      <c r="J8" s="9">
        <f t="shared" si="4"/>
        <v>14882.445289087178</v>
      </c>
    </row>
    <row r="9" spans="1:13" x14ac:dyDescent="0.25">
      <c r="A9" t="s">
        <v>37</v>
      </c>
      <c r="B9" s="1">
        <v>1750</v>
      </c>
      <c r="E9" s="8">
        <v>6</v>
      </c>
      <c r="F9" s="6">
        <f t="shared" si="0"/>
        <v>25</v>
      </c>
      <c r="G9" s="6">
        <f t="shared" si="1"/>
        <v>8.3507027951472397E-11</v>
      </c>
      <c r="H9" s="7">
        <f t="shared" si="2"/>
        <v>18728.574393892999</v>
      </c>
      <c r="I9" s="7">
        <f t="shared" si="3"/>
        <v>1.616770035823141E-25</v>
      </c>
      <c r="J9" s="9">
        <f t="shared" si="4"/>
        <v>-18728.574393892999</v>
      </c>
    </row>
    <row r="10" spans="1:13" x14ac:dyDescent="0.25">
      <c r="A10" s="5" t="s">
        <v>38</v>
      </c>
      <c r="B10" s="1">
        <v>16.074936823811999</v>
      </c>
      <c r="C10">
        <f>+RADIANS(B10)</f>
        <v>0.28056057462559902</v>
      </c>
      <c r="E10" s="8">
        <v>7</v>
      </c>
      <c r="F10" s="6">
        <f t="shared" si="0"/>
        <v>29</v>
      </c>
      <c r="G10" s="6">
        <f t="shared" si="1"/>
        <v>-3.9554295164585257E-13</v>
      </c>
      <c r="H10" s="7">
        <f t="shared" si="2"/>
        <v>-17542.860671116268</v>
      </c>
      <c r="I10" s="7">
        <f t="shared" si="3"/>
        <v>-3.3886515270741009E-30</v>
      </c>
      <c r="J10" s="9">
        <f t="shared" si="4"/>
        <v>17542.860671116268</v>
      </c>
    </row>
    <row r="11" spans="1:13" x14ac:dyDescent="0.25">
      <c r="A11" s="5" t="s">
        <v>61</v>
      </c>
      <c r="B11" s="1">
        <f>1/B9</f>
        <v>5.7142857142857147E-4</v>
      </c>
      <c r="E11" s="8">
        <v>8</v>
      </c>
      <c r="F11" s="6">
        <f t="shared" ref="F11:F18" si="5">+E11*4 +1</f>
        <v>33</v>
      </c>
      <c r="G11" s="6">
        <f t="shared" ref="G11:G18" si="6">(-1)^E11/(FACT(2*E11)*F11)</f>
        <v>1.4483264643598138E-15</v>
      </c>
      <c r="H11" s="7">
        <f t="shared" si="2"/>
        <v>12702.766099857252</v>
      </c>
      <c r="I11" s="7">
        <f t="shared" si="3"/>
        <v>5.4904477453021402E-35</v>
      </c>
      <c r="J11" s="9">
        <f>+I11-H11</f>
        <v>-12702.766099857252</v>
      </c>
    </row>
    <row r="12" spans="1:13" x14ac:dyDescent="0.25">
      <c r="A12" s="5" t="s">
        <v>41</v>
      </c>
      <c r="B12" s="1">
        <f>2*C10/PI()</f>
        <v>0.17861040915346668</v>
      </c>
      <c r="E12" s="8">
        <v>9</v>
      </c>
      <c r="F12" s="6">
        <f t="shared" si="5"/>
        <v>37</v>
      </c>
      <c r="G12" s="6">
        <f t="shared" si="6"/>
        <v>-4.2214072888070882E-18</v>
      </c>
      <c r="H12" s="7">
        <f t="shared" si="2"/>
        <v>-7321.7376207459829</v>
      </c>
      <c r="I12" s="7">
        <f t="shared" si="3"/>
        <v>-7.0811955503483499E-40</v>
      </c>
      <c r="J12" s="9">
        <f t="shared" ref="J12:J18" si="7">+I12-H12</f>
        <v>7321.7376207459829</v>
      </c>
    </row>
    <row r="13" spans="1:13" x14ac:dyDescent="0.25">
      <c r="A13" s="5"/>
      <c r="B13" s="1"/>
      <c r="E13" s="8">
        <v>10</v>
      </c>
      <c r="F13" s="24">
        <f t="shared" si="5"/>
        <v>41</v>
      </c>
      <c r="G13" s="24">
        <f t="shared" si="6"/>
        <v>1.0025164934907719E-20</v>
      </c>
      <c r="H13" s="7">
        <f t="shared" si="2"/>
        <v>3438.535427245421</v>
      </c>
      <c r="I13" s="7">
        <f t="shared" si="3"/>
        <v>7.4413013830040452E-45</v>
      </c>
      <c r="J13" s="9">
        <f t="shared" si="7"/>
        <v>-3438.535427245421</v>
      </c>
    </row>
    <row r="14" spans="1:13" x14ac:dyDescent="0.25">
      <c r="A14" s="5"/>
      <c r="B14" s="1"/>
      <c r="E14" s="8">
        <v>11</v>
      </c>
      <c r="F14" s="6">
        <f t="shared" si="5"/>
        <v>45</v>
      </c>
      <c r="G14" s="6">
        <f t="shared" si="6"/>
        <v>-1.9770647538779051E-23</v>
      </c>
      <c r="H14" s="7">
        <f t="shared" si="2"/>
        <v>-1340.9974176617884</v>
      </c>
      <c r="I14" s="7">
        <f t="shared" si="3"/>
        <v>-6.4936114346745472E-50</v>
      </c>
      <c r="J14" s="9">
        <f t="shared" si="7"/>
        <v>1340.9974176617884</v>
      </c>
    </row>
    <row r="15" spans="1:13" x14ac:dyDescent="0.25">
      <c r="A15" s="5"/>
      <c r="B15" s="1"/>
      <c r="E15" s="8">
        <v>12</v>
      </c>
      <c r="F15" s="6">
        <f t="shared" si="5"/>
        <v>49</v>
      </c>
      <c r="G15" s="6">
        <f t="shared" si="6"/>
        <v>3.2892603491757519E-26</v>
      </c>
      <c r="H15" s="7">
        <f t="shared" si="2"/>
        <v>441.19478307527964</v>
      </c>
      <c r="I15" s="7">
        <f t="shared" si="3"/>
        <v>4.7804820259435052E-55</v>
      </c>
      <c r="J15" s="9">
        <f t="shared" si="7"/>
        <v>-441.19478307527964</v>
      </c>
    </row>
    <row r="16" spans="1:13" x14ac:dyDescent="0.25">
      <c r="A16" s="5"/>
      <c r="B16" s="4"/>
      <c r="E16" s="8">
        <v>13</v>
      </c>
      <c r="F16" s="6">
        <f t="shared" si="5"/>
        <v>53</v>
      </c>
      <c r="G16" s="6">
        <f t="shared" si="6"/>
        <v>-4.678483515518485E-29</v>
      </c>
      <c r="H16" s="7">
        <f t="shared" si="2"/>
        <v>-124.09728872982987</v>
      </c>
      <c r="I16" s="7">
        <f t="shared" si="3"/>
        <v>-3.0087532979730825E-60</v>
      </c>
      <c r="J16" s="9">
        <f t="shared" si="7"/>
        <v>124.09728872982987</v>
      </c>
    </row>
    <row r="17" spans="1:13" x14ac:dyDescent="0.25">
      <c r="A17" s="5"/>
      <c r="E17" s="8">
        <v>14</v>
      </c>
      <c r="F17" s="6">
        <f t="shared" si="5"/>
        <v>57</v>
      </c>
      <c r="G17" s="6">
        <f t="shared" si="6"/>
        <v>5.7541916439821728E-32</v>
      </c>
      <c r="H17" s="7">
        <f t="shared" si="2"/>
        <v>30.183290422165879</v>
      </c>
      <c r="I17" s="7">
        <f t="shared" si="3"/>
        <v>1.6374718158528459E-65</v>
      </c>
      <c r="J17" s="9">
        <f t="shared" si="7"/>
        <v>-30.183290422165879</v>
      </c>
    </row>
    <row r="18" spans="1:13" ht="15.75" thickBot="1" x14ac:dyDescent="0.3">
      <c r="E18" s="10">
        <v>15</v>
      </c>
      <c r="F18" s="11">
        <f t="shared" si="5"/>
        <v>61</v>
      </c>
      <c r="G18" s="11">
        <f t="shared" si="6"/>
        <v>-6.1803075882227951E-35</v>
      </c>
      <c r="H18" s="12">
        <f t="shared" si="2"/>
        <v>-6.4108766593990234</v>
      </c>
      <c r="I18" s="12">
        <f t="shared" si="3"/>
        <v>-7.782294072058889E-71</v>
      </c>
      <c r="J18" s="13">
        <f t="shared" si="7"/>
        <v>6.4108766593990234</v>
      </c>
    </row>
    <row r="19" spans="1:13" x14ac:dyDescent="0.25">
      <c r="H19" s="4">
        <f>SUM(H3:H18)</f>
        <v>-0.26746259614737244</v>
      </c>
      <c r="I19" s="4">
        <f>SUM(I3:I18)</f>
        <v>0.2578011396201092</v>
      </c>
      <c r="J19" s="4">
        <f>+I19-H19</f>
        <v>0.52526373576748164</v>
      </c>
    </row>
    <row r="20" spans="1:13" x14ac:dyDescent="0.25">
      <c r="A20" s="5"/>
      <c r="B20">
        <f>+RADIANS(46.265)</f>
        <v>0.80747657843517662</v>
      </c>
      <c r="H20" s="4"/>
      <c r="I20" s="4"/>
      <c r="J20" s="4"/>
    </row>
    <row r="21" spans="1:13" x14ac:dyDescent="0.25">
      <c r="A21" s="5" t="s">
        <v>66</v>
      </c>
      <c r="B21">
        <f>+COS(PI()*$B$20/2)</f>
        <v>0.29782655990079682</v>
      </c>
      <c r="C21">
        <f>+-SIN(PI()*$B$20/2)</f>
        <v>-0.95461999780941997</v>
      </c>
      <c r="H21" s="4"/>
      <c r="I21" s="4"/>
      <c r="J21" s="4"/>
    </row>
    <row r="22" spans="1:13" ht="15.75" thickBot="1" x14ac:dyDescent="0.3">
      <c r="A22" s="5"/>
      <c r="B22">
        <f>+SIN(PI()*$B$20/2)</f>
        <v>0.95461999780941997</v>
      </c>
      <c r="C22">
        <f>+COS(PI()*$B$20/2)</f>
        <v>0.29782655990079682</v>
      </c>
      <c r="H22" s="4"/>
      <c r="I22" s="4"/>
      <c r="J22" s="4"/>
    </row>
    <row r="23" spans="1:13" ht="15.75" thickBot="1" x14ac:dyDescent="0.3">
      <c r="E23" s="25" t="s">
        <v>5</v>
      </c>
      <c r="F23" s="26"/>
      <c r="G23" s="26"/>
      <c r="H23" s="26"/>
      <c r="I23" s="26"/>
      <c r="J23" s="30"/>
    </row>
    <row r="24" spans="1:13" ht="15.75" thickBot="1" x14ac:dyDescent="0.3">
      <c r="A24" s="5" t="s">
        <v>32</v>
      </c>
      <c r="B24">
        <f>2*RADIANS(64.1711276025) / PI()</f>
        <v>0.71301252891666667</v>
      </c>
      <c r="E24" s="15" t="s">
        <v>54</v>
      </c>
      <c r="F24" s="14" t="s">
        <v>6</v>
      </c>
      <c r="G24" s="14" t="s">
        <v>7</v>
      </c>
      <c r="H24" s="14" t="s">
        <v>58</v>
      </c>
      <c r="I24" s="14" t="s">
        <v>59</v>
      </c>
      <c r="J24" s="19" t="s">
        <v>26</v>
      </c>
    </row>
    <row r="25" spans="1:13" x14ac:dyDescent="0.25">
      <c r="A25" s="5" t="s">
        <v>33</v>
      </c>
      <c r="B25">
        <f>+SQRT((B24-B5-B12)/(B11^2-B4^2))</f>
        <v>451.35167413130597</v>
      </c>
      <c r="E25" s="8">
        <v>0</v>
      </c>
      <c r="F25" s="21">
        <f>+E25*4+3</f>
        <v>3</v>
      </c>
      <c r="G25" s="21">
        <f>+((-1)^E25)/(FACT(2*E25+1)*F25)</f>
        <v>0.33333333333333331</v>
      </c>
      <c r="H25" s="20">
        <f>+($M$32^$F25)*$G25</f>
        <v>17.578125</v>
      </c>
      <c r="I25" s="20">
        <f>+($M$33^$F25)*$G25</f>
        <v>5.7188640457329675E-3</v>
      </c>
      <c r="J25" s="17">
        <f>+I25-H25</f>
        <v>-17.572406135954267</v>
      </c>
    </row>
    <row r="26" spans="1:13" x14ac:dyDescent="0.25">
      <c r="A26" s="5" t="s">
        <v>34</v>
      </c>
      <c r="B26">
        <f>+B11*B25</f>
        <v>0.25791524236074631</v>
      </c>
      <c r="C26">
        <f>+B26</f>
        <v>0.25791524236074631</v>
      </c>
      <c r="E26" s="8">
        <v>1</v>
      </c>
      <c r="F26" s="6">
        <f t="shared" ref="F26:F40" si="8">+E26*4+3</f>
        <v>7</v>
      </c>
      <c r="G26" s="6">
        <f t="shared" ref="G26:G40" si="9">+((-1)^E26)/(FACT(2*E26+1)*F26)</f>
        <v>-2.3809523809523808E-2</v>
      </c>
      <c r="H26" s="7">
        <f>+($M$32^$F26)*$G26</f>
        <v>-248.29592023577007</v>
      </c>
      <c r="I26" s="7">
        <f t="shared" ref="I26:I40" si="10">+($M$33^$F26)*$G26</f>
        <v>-1.8075477231818091E-6</v>
      </c>
      <c r="J26" s="9">
        <f t="shared" ref="J26:J40" si="11">+I26-H26</f>
        <v>248.29591842822234</v>
      </c>
    </row>
    <row r="27" spans="1:13" x14ac:dyDescent="0.25">
      <c r="A27" s="5" t="s">
        <v>35</v>
      </c>
      <c r="B27">
        <f>+B4*B25</f>
        <v>0.17359679774280998</v>
      </c>
      <c r="C27">
        <f>+B27</f>
        <v>0.17359679774280998</v>
      </c>
      <c r="E27" s="8">
        <v>2</v>
      </c>
      <c r="F27" s="6">
        <f t="shared" si="8"/>
        <v>11</v>
      </c>
      <c r="G27" s="6">
        <f t="shared" si="9"/>
        <v>7.5757575757575758E-4</v>
      </c>
      <c r="H27" s="7">
        <f t="shared" ref="H27:H39" si="12">+($M$32^$F27)*$G27</f>
        <v>1562.3200769451532</v>
      </c>
      <c r="I27" s="7">
        <f t="shared" si="10"/>
        <v>2.5449143321145922E-10</v>
      </c>
      <c r="J27" s="9">
        <f t="shared" si="11"/>
        <v>-1562.3200769448988</v>
      </c>
    </row>
    <row r="28" spans="1:13" x14ac:dyDescent="0.25">
      <c r="A28" s="5"/>
      <c r="E28" s="8">
        <v>3</v>
      </c>
      <c r="F28" s="6">
        <f t="shared" si="8"/>
        <v>15</v>
      </c>
      <c r="G28" s="6">
        <f t="shared" si="9"/>
        <v>-1.3227513227513228E-5</v>
      </c>
      <c r="H28" s="7">
        <f t="shared" si="12"/>
        <v>-5394.4506005011917</v>
      </c>
      <c r="I28" s="7">
        <f t="shared" si="10"/>
        <v>-1.9662255677633164E-14</v>
      </c>
      <c r="J28" s="9">
        <f t="shared" si="11"/>
        <v>5394.4506005011917</v>
      </c>
    </row>
    <row r="29" spans="1:13" x14ac:dyDescent="0.25">
      <c r="A29" s="5" t="s">
        <v>27</v>
      </c>
      <c r="B29">
        <f>+B5-B27^2</f>
        <v>0.46788184752119749</v>
      </c>
      <c r="E29" s="8">
        <v>4</v>
      </c>
      <c r="F29" s="6">
        <f t="shared" si="8"/>
        <v>19</v>
      </c>
      <c r="G29" s="6">
        <f t="shared" si="9"/>
        <v>1.4503852223150468E-7</v>
      </c>
      <c r="H29" s="7">
        <f t="shared" si="12"/>
        <v>11697.079806159747</v>
      </c>
      <c r="I29" s="7">
        <f t="shared" si="10"/>
        <v>9.5399596256149451E-19</v>
      </c>
      <c r="J29" s="9">
        <f t="shared" si="11"/>
        <v>-11697.079806159747</v>
      </c>
    </row>
    <row r="30" spans="1:13" x14ac:dyDescent="0.25">
      <c r="A30" s="5" t="s">
        <v>65</v>
      </c>
      <c r="B30">
        <f>+PI()*B25</f>
        <v>1417.9631036363651</v>
      </c>
      <c r="E30" s="8">
        <v>5</v>
      </c>
      <c r="F30" s="24">
        <f t="shared" si="8"/>
        <v>23</v>
      </c>
      <c r="G30" s="24">
        <f t="shared" si="9"/>
        <v>-1.0892221037148573E-9</v>
      </c>
      <c r="H30" s="7">
        <f t="shared" si="12"/>
        <v>-17371.431321871765</v>
      </c>
      <c r="I30" s="7">
        <f t="shared" si="10"/>
        <v>-3.1702072322200723E-23</v>
      </c>
      <c r="J30" s="9">
        <f t="shared" si="11"/>
        <v>17371.431321871765</v>
      </c>
    </row>
    <row r="31" spans="1:13" x14ac:dyDescent="0.25">
      <c r="A31" s="5"/>
      <c r="E31" s="8">
        <v>6</v>
      </c>
      <c r="F31" s="24">
        <f t="shared" si="8"/>
        <v>27</v>
      </c>
      <c r="G31" s="24">
        <f t="shared" si="9"/>
        <v>5.9477940136376354E-12</v>
      </c>
      <c r="H31" s="7">
        <f t="shared" si="12"/>
        <v>18758.588134908852</v>
      </c>
      <c r="I31" s="7">
        <f t="shared" si="10"/>
        <v>7.6601127447056609E-28</v>
      </c>
      <c r="J31" s="9">
        <f t="shared" si="11"/>
        <v>-18758.588134908852</v>
      </c>
    </row>
    <row r="32" spans="1:13" x14ac:dyDescent="0.25">
      <c r="A32" s="5" t="s">
        <v>8</v>
      </c>
      <c r="B32">
        <f>+J19*B30</f>
        <v>744.80459699648986</v>
      </c>
      <c r="E32" s="8">
        <v>7</v>
      </c>
      <c r="F32" s="24">
        <f t="shared" si="8"/>
        <v>31</v>
      </c>
      <c r="G32" s="24">
        <f t="shared" si="9"/>
        <v>-2.4668270102644571E-14</v>
      </c>
      <c r="H32" s="7">
        <f t="shared" si="12"/>
        <v>-15385.371757934632</v>
      </c>
      <c r="I32" s="7">
        <f t="shared" si="10"/>
        <v>-1.4058078798522914E-32</v>
      </c>
      <c r="J32" s="9">
        <f t="shared" si="11"/>
        <v>15385.371757934632</v>
      </c>
      <c r="L32" s="18" t="s">
        <v>63</v>
      </c>
      <c r="M32">
        <v>3.75</v>
      </c>
    </row>
    <row r="33" spans="1:13" x14ac:dyDescent="0.25">
      <c r="A33" s="5" t="s">
        <v>9</v>
      </c>
      <c r="B33">
        <f>+B30*J41</f>
        <v>-253.27883584569713</v>
      </c>
      <c r="E33" s="8">
        <v>8</v>
      </c>
      <c r="F33" s="24">
        <f t="shared" si="8"/>
        <v>35</v>
      </c>
      <c r="G33" s="24">
        <f t="shared" si="9"/>
        <v>8.0327350124157733E-17</v>
      </c>
      <c r="H33" s="7">
        <f t="shared" si="12"/>
        <v>9907.3569633865627</v>
      </c>
      <c r="I33" s="7">
        <f t="shared" si="10"/>
        <v>2.0256236300308532E-37</v>
      </c>
      <c r="J33" s="9">
        <f t="shared" si="11"/>
        <v>-9907.3569633865627</v>
      </c>
      <c r="L33" t="s">
        <v>64</v>
      </c>
      <c r="M33">
        <f>+C26</f>
        <v>0.25791524236074631</v>
      </c>
    </row>
    <row r="34" spans="1:13" x14ac:dyDescent="0.25">
      <c r="A34" s="5"/>
      <c r="E34" s="8">
        <v>9</v>
      </c>
      <c r="F34" s="24">
        <f t="shared" si="8"/>
        <v>39</v>
      </c>
      <c r="G34" s="24">
        <f t="shared" si="9"/>
        <v>-2.1078551914421359E-19</v>
      </c>
      <c r="H34" s="7">
        <f t="shared" si="12"/>
        <v>-5141.1492655794791</v>
      </c>
      <c r="I34" s="7">
        <f t="shared" si="10"/>
        <v>-2.3520368508633029E-42</v>
      </c>
      <c r="J34" s="9">
        <f t="shared" si="11"/>
        <v>5141.1492655794791</v>
      </c>
    </row>
    <row r="35" spans="1:13" x14ac:dyDescent="0.25">
      <c r="A35" s="5"/>
      <c r="B35">
        <f>+B32*B21+C21*B33</f>
        <v>463.60763264195577</v>
      </c>
      <c r="D35" s="2"/>
      <c r="E35" s="8">
        <v>10</v>
      </c>
      <c r="F35" s="6">
        <f t="shared" si="8"/>
        <v>43</v>
      </c>
      <c r="G35" s="6">
        <f t="shared" si="9"/>
        <v>4.5518467589281999E-22</v>
      </c>
      <c r="H35" s="7">
        <f t="shared" si="12"/>
        <v>2195.493446590463</v>
      </c>
      <c r="I35" s="7">
        <f t="shared" si="10"/>
        <v>2.2474964725493875E-47</v>
      </c>
      <c r="J35" s="9">
        <f t="shared" si="11"/>
        <v>-2195.493446590463</v>
      </c>
    </row>
    <row r="36" spans="1:13" x14ac:dyDescent="0.25">
      <c r="A36" s="5"/>
      <c r="B36">
        <f>+B32*B22+B33*C22</f>
        <v>635.5721983776325</v>
      </c>
      <c r="E36" s="8">
        <v>11</v>
      </c>
      <c r="F36" s="6">
        <f t="shared" si="8"/>
        <v>47</v>
      </c>
      <c r="G36" s="6">
        <f t="shared" si="9"/>
        <v>-8.230149299214221E-25</v>
      </c>
      <c r="H36" s="7">
        <f t="shared" si="12"/>
        <v>-785.01380977252597</v>
      </c>
      <c r="I36" s="7">
        <f t="shared" si="10"/>
        <v>-1.7981550435776975E-52</v>
      </c>
      <c r="J36" s="9">
        <f t="shared" si="11"/>
        <v>785.01380977252597</v>
      </c>
    </row>
    <row r="37" spans="1:13" x14ac:dyDescent="0.25">
      <c r="A37" s="5"/>
      <c r="E37" s="8">
        <v>12</v>
      </c>
      <c r="F37" s="6">
        <f t="shared" si="8"/>
        <v>51</v>
      </c>
      <c r="G37" s="6">
        <f t="shared" ref="G37:G38" si="13">+((-1)^E37)/(FACT(2*E37+1)*F37)</f>
        <v>1.2641078988989164E-27</v>
      </c>
      <c r="H37" s="7">
        <f t="shared" si="12"/>
        <v>238.43982761789013</v>
      </c>
      <c r="I37" s="7">
        <f t="shared" si="10"/>
        <v>1.2221136725391623E-57</v>
      </c>
      <c r="J37" s="9">
        <f t="shared" ref="J37:J38" si="14">+I37-H37</f>
        <v>-238.43982761789013</v>
      </c>
    </row>
    <row r="38" spans="1:13" x14ac:dyDescent="0.25">
      <c r="A38" t="s">
        <v>67</v>
      </c>
      <c r="B38" s="1">
        <v>8833.85</v>
      </c>
      <c r="C38">
        <v>89508.38</v>
      </c>
      <c r="E38" s="8">
        <v>13</v>
      </c>
      <c r="F38" s="24">
        <f t="shared" si="8"/>
        <v>55</v>
      </c>
      <c r="G38" s="24">
        <f t="shared" si="13"/>
        <v>-1.6697617934173721E-30</v>
      </c>
      <c r="H38" s="7">
        <f t="shared" si="12"/>
        <v>-62.283677108721442</v>
      </c>
      <c r="I38" s="7">
        <f t="shared" si="10"/>
        <v>-7.1431539999866657E-63</v>
      </c>
      <c r="J38" s="9">
        <f t="shared" si="14"/>
        <v>62.283677108721442</v>
      </c>
    </row>
    <row r="39" spans="1:13" x14ac:dyDescent="0.25">
      <c r="A39" s="5"/>
      <c r="B39">
        <f>(SIN(C3)/B4)</f>
        <v>1832.7440828071494</v>
      </c>
      <c r="C39">
        <v>-720.93</v>
      </c>
      <c r="E39" s="8">
        <v>14</v>
      </c>
      <c r="F39" s="6">
        <f t="shared" si="8"/>
        <v>59</v>
      </c>
      <c r="G39" s="6">
        <f t="shared" ref="G39" si="15">+((-1)^E39)/(FACT(2*E39+1)*F39)</f>
        <v>1.9169428621097826E-33</v>
      </c>
      <c r="H39" s="7">
        <f t="shared" si="12"/>
        <v>14.140148292821353</v>
      </c>
      <c r="I39" s="7">
        <f t="shared" si="10"/>
        <v>3.6287136445416928E-68</v>
      </c>
      <c r="J39" s="9">
        <f t="shared" ref="J39" si="16">+I39-H39</f>
        <v>-14.140148292821353</v>
      </c>
    </row>
    <row r="40" spans="1:13" ht="15.75" thickBot="1" x14ac:dyDescent="0.3">
      <c r="A40" s="5"/>
      <c r="B40">
        <f>(1-COS(C3)/B4)</f>
        <v>-1843.1933539993527</v>
      </c>
      <c r="C40">
        <v>1846.74</v>
      </c>
      <c r="E40" s="10">
        <v>15</v>
      </c>
      <c r="F40" s="11">
        <f t="shared" si="8"/>
        <v>63</v>
      </c>
      <c r="G40" s="11">
        <f t="shared" si="9"/>
        <v>-1.9303572088151077E-36</v>
      </c>
      <c r="H40" s="12">
        <f>+($M$32^$F40)*$G40</f>
        <v>-2.8158372423915643</v>
      </c>
      <c r="I40" s="12">
        <f t="shared" si="10"/>
        <v>-1.616922659538221E-73</v>
      </c>
      <c r="J40" s="13">
        <f t="shared" si="11"/>
        <v>2.8158372423915643</v>
      </c>
    </row>
    <row r="41" spans="1:13" x14ac:dyDescent="0.25">
      <c r="A41" s="5"/>
      <c r="H41" s="4">
        <f>SUM(H25:H40)</f>
        <v>0.18433865501280566</v>
      </c>
      <c r="I41" s="4">
        <f>SUM(I25:I40)</f>
        <v>5.7170567524815578E-3</v>
      </c>
      <c r="J41" s="4">
        <f>+I41-H41</f>
        <v>-0.17862159826032412</v>
      </c>
    </row>
    <row r="42" spans="1:13" x14ac:dyDescent="0.25">
      <c r="A42" s="5" t="s">
        <v>68</v>
      </c>
      <c r="B42">
        <v>0</v>
      </c>
    </row>
    <row r="43" spans="1:13" x14ac:dyDescent="0.25">
      <c r="A43" s="5"/>
    </row>
    <row r="44" spans="1:13" x14ac:dyDescent="0.25">
      <c r="A44" s="5"/>
      <c r="B44">
        <f>+COS(PI()*B42 / 2)</f>
        <v>1</v>
      </c>
      <c r="C44">
        <f>-SIN(PI()*B42/2)</f>
        <v>0</v>
      </c>
    </row>
    <row r="45" spans="1:13" x14ac:dyDescent="0.25">
      <c r="A45" s="5"/>
      <c r="B45">
        <f>SIN(PI()*B42 / 2)</f>
        <v>0</v>
      </c>
      <c r="C45">
        <f>+COS(PI()*B42 / 2)</f>
        <v>1</v>
      </c>
    </row>
    <row r="46" spans="1:13" x14ac:dyDescent="0.25">
      <c r="A46" s="5"/>
    </row>
    <row r="47" spans="1:13" x14ac:dyDescent="0.25">
      <c r="A47" s="5"/>
      <c r="B47">
        <f>+B44*B39+C44*B40</f>
        <v>1832.7440828071494</v>
      </c>
      <c r="C47">
        <f>+B45*B39+C45*B40</f>
        <v>-1843.1933539993527</v>
      </c>
    </row>
    <row r="48" spans="1:13" x14ac:dyDescent="0.25">
      <c r="A48" s="5"/>
    </row>
    <row r="51" spans="1:3" x14ac:dyDescent="0.25">
      <c r="A51">
        <v>0</v>
      </c>
      <c r="B51">
        <f>+COS(PI()*A51 / 2)*$B$39-SIN(PI()*A51/2)*$B$40</f>
        <v>1832.7440828071494</v>
      </c>
      <c r="C51">
        <f>+COS(PI()*A51 / 2)*$B$40+SIN(PI()*A51/2)*$B$39</f>
        <v>-1843.1933539993527</v>
      </c>
    </row>
    <row r="52" spans="1:3" x14ac:dyDescent="0.25">
      <c r="A52">
        <f>+A51+0.1</f>
        <v>0.1</v>
      </c>
      <c r="B52">
        <f t="shared" ref="B52:B91" si="17">+COS(PI()*A52 / 2)*$B$39-SIN(PI()*A52/2)*$B$40</f>
        <v>2098.5189281819485</v>
      </c>
      <c r="C52">
        <f t="shared" ref="C52:C91" si="18">+COS(PI()*A52 / 2)*$B$40+SIN(PI()*A52/2)*$B$39</f>
        <v>-1533.7962450580219</v>
      </c>
    </row>
    <row r="53" spans="1:3" x14ac:dyDescent="0.25">
      <c r="A53">
        <f t="shared" ref="A53:A91" si="19">+A52+0.1</f>
        <v>0.2</v>
      </c>
      <c r="B53">
        <f t="shared" si="17"/>
        <v>2312.6212729598824</v>
      </c>
      <c r="C53">
        <f t="shared" si="18"/>
        <v>-1186.631982185469</v>
      </c>
    </row>
    <row r="54" spans="1:3" x14ac:dyDescent="0.25">
      <c r="A54">
        <f t="shared" si="19"/>
        <v>0.30000000000000004</v>
      </c>
      <c r="B54">
        <f t="shared" si="17"/>
        <v>2469.7792068475737</v>
      </c>
      <c r="C54">
        <f t="shared" si="18"/>
        <v>-810.24890170574815</v>
      </c>
    </row>
    <row r="55" spans="1:3" x14ac:dyDescent="0.25">
      <c r="A55">
        <f t="shared" si="19"/>
        <v>0.4</v>
      </c>
      <c r="B55">
        <f t="shared" si="17"/>
        <v>2566.1229799354292</v>
      </c>
      <c r="C55">
        <f t="shared" si="18"/>
        <v>-413.91480420409721</v>
      </c>
    </row>
    <row r="56" spans="1:3" x14ac:dyDescent="0.25">
      <c r="A56">
        <f t="shared" si="19"/>
        <v>0.5</v>
      </c>
      <c r="B56">
        <f t="shared" si="17"/>
        <v>2599.2802887833736</v>
      </c>
      <c r="C56">
        <f t="shared" si="18"/>
        <v>-7.3887505184643487</v>
      </c>
    </row>
    <row r="57" spans="1:3" x14ac:dyDescent="0.25">
      <c r="A57">
        <f t="shared" si="19"/>
        <v>0.6</v>
      </c>
      <c r="B57">
        <f t="shared" si="17"/>
        <v>2568.4346904047725</v>
      </c>
      <c r="C57">
        <f t="shared" si="18"/>
        <v>399.31923872679045</v>
      </c>
    </row>
    <row r="58" spans="1:3" x14ac:dyDescent="0.25">
      <c r="A58">
        <f t="shared" si="19"/>
        <v>0.7</v>
      </c>
      <c r="B58">
        <f t="shared" si="17"/>
        <v>2474.3457058023782</v>
      </c>
      <c r="C58">
        <f t="shared" si="18"/>
        <v>796.19466305001879</v>
      </c>
    </row>
    <row r="59" spans="1:3" x14ac:dyDescent="0.25">
      <c r="A59">
        <f t="shared" si="19"/>
        <v>0.79999999999999993</v>
      </c>
      <c r="B59">
        <f t="shared" si="17"/>
        <v>2319.3301180405392</v>
      </c>
      <c r="C59">
        <f t="shared" si="18"/>
        <v>1173.4651323503654</v>
      </c>
    </row>
    <row r="60" spans="1:3" x14ac:dyDescent="0.25">
      <c r="A60">
        <f t="shared" si="19"/>
        <v>0.89999999999999991</v>
      </c>
      <c r="B60">
        <f t="shared" si="17"/>
        <v>2107.2049253571922</v>
      </c>
      <c r="C60">
        <f t="shared" si="18"/>
        <v>1521.8409955847528</v>
      </c>
    </row>
    <row r="61" spans="1:3" x14ac:dyDescent="0.25">
      <c r="A61">
        <f t="shared" si="19"/>
        <v>0.99999999999999989</v>
      </c>
      <c r="B61">
        <f t="shared" si="17"/>
        <v>1843.1933539993531</v>
      </c>
      <c r="C61">
        <f t="shared" si="18"/>
        <v>1832.744082807149</v>
      </c>
    </row>
    <row r="62" spans="1:3" x14ac:dyDescent="0.25">
      <c r="A62">
        <f t="shared" si="19"/>
        <v>1.0999999999999999</v>
      </c>
      <c r="B62">
        <f t="shared" si="17"/>
        <v>1533.7962450580226</v>
      </c>
      <c r="C62">
        <f t="shared" si="18"/>
        <v>2098.518928181948</v>
      </c>
    </row>
    <row r="63" spans="1:3" x14ac:dyDescent="0.25">
      <c r="A63">
        <f t="shared" si="19"/>
        <v>1.2</v>
      </c>
      <c r="B63">
        <f t="shared" si="17"/>
        <v>1186.6319821854695</v>
      </c>
      <c r="C63">
        <f t="shared" si="18"/>
        <v>2312.6212729598824</v>
      </c>
    </row>
    <row r="64" spans="1:3" x14ac:dyDescent="0.25">
      <c r="A64">
        <f t="shared" si="19"/>
        <v>1.3</v>
      </c>
      <c r="B64">
        <f t="shared" si="17"/>
        <v>810.24890170574838</v>
      </c>
      <c r="C64">
        <f t="shared" si="18"/>
        <v>2469.7792068475737</v>
      </c>
    </row>
    <row r="65" spans="1:3" x14ac:dyDescent="0.25">
      <c r="A65">
        <f t="shared" si="19"/>
        <v>1.4000000000000001</v>
      </c>
      <c r="B65">
        <f t="shared" si="17"/>
        <v>413.91480420409744</v>
      </c>
      <c r="C65">
        <f t="shared" si="18"/>
        <v>2566.1229799354287</v>
      </c>
    </row>
    <row r="66" spans="1:3" x14ac:dyDescent="0.25">
      <c r="A66">
        <f t="shared" si="19"/>
        <v>1.5000000000000002</v>
      </c>
      <c r="B66">
        <f t="shared" si="17"/>
        <v>7.3887505184629845</v>
      </c>
      <c r="C66">
        <f t="shared" si="18"/>
        <v>2599.2802887833736</v>
      </c>
    </row>
    <row r="67" spans="1:3" x14ac:dyDescent="0.25">
      <c r="A67">
        <f t="shared" si="19"/>
        <v>1.6000000000000003</v>
      </c>
      <c r="B67">
        <f t="shared" si="17"/>
        <v>-399.31923872679158</v>
      </c>
      <c r="C67">
        <f t="shared" si="18"/>
        <v>2568.4346904047725</v>
      </c>
    </row>
    <row r="68" spans="1:3" x14ac:dyDescent="0.25">
      <c r="A68">
        <f t="shared" si="19"/>
        <v>1.7000000000000004</v>
      </c>
      <c r="B68">
        <f t="shared" si="17"/>
        <v>-796.19466305001981</v>
      </c>
      <c r="C68">
        <f t="shared" si="18"/>
        <v>2474.3457058023778</v>
      </c>
    </row>
    <row r="69" spans="1:3" x14ac:dyDescent="0.25">
      <c r="A69">
        <f t="shared" si="19"/>
        <v>1.8000000000000005</v>
      </c>
      <c r="B69">
        <f t="shared" si="17"/>
        <v>-1173.4651323503676</v>
      </c>
      <c r="C69">
        <f t="shared" si="18"/>
        <v>2319.3301180405383</v>
      </c>
    </row>
    <row r="70" spans="1:3" x14ac:dyDescent="0.25">
      <c r="A70">
        <f t="shared" si="19"/>
        <v>1.9000000000000006</v>
      </c>
      <c r="B70">
        <f t="shared" si="17"/>
        <v>-1521.8409955847551</v>
      </c>
      <c r="C70">
        <f t="shared" si="18"/>
        <v>2107.2049253571909</v>
      </c>
    </row>
    <row r="71" spans="1:3" x14ac:dyDescent="0.25">
      <c r="A71">
        <f t="shared" si="19"/>
        <v>2.0000000000000004</v>
      </c>
      <c r="B71">
        <f t="shared" si="17"/>
        <v>-1832.7440828071508</v>
      </c>
      <c r="C71">
        <f t="shared" si="18"/>
        <v>1843.1933539993513</v>
      </c>
    </row>
    <row r="72" spans="1:3" x14ac:dyDescent="0.25">
      <c r="A72">
        <f t="shared" si="19"/>
        <v>2.1000000000000005</v>
      </c>
      <c r="B72">
        <f t="shared" si="17"/>
        <v>-2098.5189281819498</v>
      </c>
      <c r="C72">
        <f t="shared" si="18"/>
        <v>1533.7962450580203</v>
      </c>
    </row>
    <row r="73" spans="1:3" x14ac:dyDescent="0.25">
      <c r="A73">
        <f t="shared" si="19"/>
        <v>2.2000000000000006</v>
      </c>
      <c r="B73">
        <f t="shared" si="17"/>
        <v>-2312.6212729598833</v>
      </c>
      <c r="C73">
        <f t="shared" si="18"/>
        <v>1186.6319821854672</v>
      </c>
    </row>
    <row r="74" spans="1:3" x14ac:dyDescent="0.25">
      <c r="A74">
        <f t="shared" si="19"/>
        <v>2.3000000000000007</v>
      </c>
      <c r="B74">
        <f t="shared" si="17"/>
        <v>-2469.7792068475751</v>
      </c>
      <c r="C74">
        <f t="shared" si="18"/>
        <v>810.24890170574508</v>
      </c>
    </row>
    <row r="75" spans="1:3" x14ac:dyDescent="0.25">
      <c r="A75">
        <f t="shared" si="19"/>
        <v>2.4000000000000008</v>
      </c>
      <c r="B75">
        <f t="shared" si="17"/>
        <v>-2566.1229799354296</v>
      </c>
      <c r="C75">
        <f t="shared" si="18"/>
        <v>413.91480420409403</v>
      </c>
    </row>
    <row r="76" spans="1:3" x14ac:dyDescent="0.25">
      <c r="A76">
        <f t="shared" si="19"/>
        <v>2.5000000000000009</v>
      </c>
      <c r="B76">
        <f t="shared" si="17"/>
        <v>-2599.2802887833736</v>
      </c>
      <c r="C76">
        <f t="shared" si="18"/>
        <v>7.3887505184611655</v>
      </c>
    </row>
    <row r="77" spans="1:3" x14ac:dyDescent="0.25">
      <c r="A77">
        <f t="shared" si="19"/>
        <v>2.600000000000001</v>
      </c>
      <c r="B77">
        <f t="shared" si="17"/>
        <v>-2568.4346904047716</v>
      </c>
      <c r="C77">
        <f t="shared" si="18"/>
        <v>-399.31923872679454</v>
      </c>
    </row>
    <row r="78" spans="1:3" x14ac:dyDescent="0.25">
      <c r="A78">
        <f t="shared" si="19"/>
        <v>2.7000000000000011</v>
      </c>
      <c r="B78">
        <f t="shared" si="17"/>
        <v>-2474.3457058023769</v>
      </c>
      <c r="C78">
        <f t="shared" si="18"/>
        <v>-796.194663050023</v>
      </c>
    </row>
    <row r="79" spans="1:3" x14ac:dyDescent="0.25">
      <c r="A79">
        <f t="shared" si="19"/>
        <v>2.8000000000000012</v>
      </c>
      <c r="B79">
        <f t="shared" si="17"/>
        <v>-2319.3301180405374</v>
      </c>
      <c r="C79">
        <f t="shared" si="18"/>
        <v>-1173.4651323503695</v>
      </c>
    </row>
    <row r="80" spans="1:3" x14ac:dyDescent="0.25">
      <c r="A80">
        <f t="shared" si="19"/>
        <v>2.9000000000000012</v>
      </c>
      <c r="B80">
        <f t="shared" si="17"/>
        <v>-2107.2049253571895</v>
      </c>
      <c r="C80">
        <f t="shared" si="18"/>
        <v>-1521.8409955847569</v>
      </c>
    </row>
    <row r="81" spans="1:3" x14ac:dyDescent="0.25">
      <c r="A81">
        <f t="shared" si="19"/>
        <v>3.0000000000000013</v>
      </c>
      <c r="B81">
        <f t="shared" si="17"/>
        <v>-1843.1933539993497</v>
      </c>
      <c r="C81">
        <f t="shared" si="18"/>
        <v>-1832.7440828071524</v>
      </c>
    </row>
    <row r="82" spans="1:3" x14ac:dyDescent="0.25">
      <c r="A82">
        <f t="shared" si="19"/>
        <v>3.1000000000000014</v>
      </c>
      <c r="B82">
        <f t="shared" si="17"/>
        <v>-1533.7962450580167</v>
      </c>
      <c r="C82">
        <f t="shared" si="18"/>
        <v>-2098.5189281819526</v>
      </c>
    </row>
    <row r="83" spans="1:3" x14ac:dyDescent="0.25">
      <c r="A83">
        <f t="shared" si="19"/>
        <v>3.2000000000000015</v>
      </c>
      <c r="B83">
        <f t="shared" si="17"/>
        <v>-1186.6319821854631</v>
      </c>
      <c r="C83">
        <f t="shared" si="18"/>
        <v>-2312.6212729598856</v>
      </c>
    </row>
    <row r="84" spans="1:3" x14ac:dyDescent="0.25">
      <c r="A84">
        <f t="shared" si="19"/>
        <v>3.3000000000000016</v>
      </c>
      <c r="B84">
        <f t="shared" si="17"/>
        <v>-810.24890170574213</v>
      </c>
      <c r="C84">
        <f t="shared" si="18"/>
        <v>-2469.779206847576</v>
      </c>
    </row>
    <row r="85" spans="1:3" x14ac:dyDescent="0.25">
      <c r="A85">
        <f t="shared" si="19"/>
        <v>3.4000000000000017</v>
      </c>
      <c r="B85">
        <f t="shared" si="17"/>
        <v>-413.91480420409107</v>
      </c>
      <c r="C85">
        <f t="shared" si="18"/>
        <v>-2566.1229799354305</v>
      </c>
    </row>
    <row r="86" spans="1:3" x14ac:dyDescent="0.25">
      <c r="A86">
        <f t="shared" si="19"/>
        <v>3.5000000000000018</v>
      </c>
      <c r="B86">
        <f t="shared" si="17"/>
        <v>-7.3887505184579823</v>
      </c>
      <c r="C86">
        <f t="shared" si="18"/>
        <v>-2599.2802887833736</v>
      </c>
    </row>
    <row r="87" spans="1:3" x14ac:dyDescent="0.25">
      <c r="A87">
        <f t="shared" si="19"/>
        <v>3.6000000000000019</v>
      </c>
      <c r="B87">
        <f t="shared" si="17"/>
        <v>399.31923872679704</v>
      </c>
      <c r="C87">
        <f t="shared" si="18"/>
        <v>-2568.4346904047716</v>
      </c>
    </row>
    <row r="88" spans="1:3" x14ac:dyDescent="0.25">
      <c r="A88">
        <f t="shared" si="19"/>
        <v>3.700000000000002</v>
      </c>
      <c r="B88">
        <f t="shared" si="17"/>
        <v>796.19466305002504</v>
      </c>
      <c r="C88">
        <f t="shared" si="18"/>
        <v>-2474.3457058023764</v>
      </c>
    </row>
    <row r="89" spans="1:3" x14ac:dyDescent="0.25">
      <c r="A89">
        <f t="shared" si="19"/>
        <v>3.800000000000002</v>
      </c>
      <c r="B89">
        <f t="shared" si="17"/>
        <v>1173.4651323503733</v>
      </c>
      <c r="C89">
        <f t="shared" si="18"/>
        <v>-2319.3301180405356</v>
      </c>
    </row>
    <row r="90" spans="1:3" x14ac:dyDescent="0.25">
      <c r="A90">
        <f t="shared" si="19"/>
        <v>3.9000000000000021</v>
      </c>
      <c r="B90">
        <f t="shared" si="17"/>
        <v>1521.8409955847605</v>
      </c>
      <c r="C90">
        <f t="shared" si="18"/>
        <v>-2107.2049253571868</v>
      </c>
    </row>
    <row r="91" spans="1:3" x14ac:dyDescent="0.25">
      <c r="A91">
        <f t="shared" si="19"/>
        <v>4.0000000000000018</v>
      </c>
      <c r="B91">
        <f t="shared" si="17"/>
        <v>1832.744082807154</v>
      </c>
      <c r="C91">
        <f t="shared" si="18"/>
        <v>-1843.1933539993481</v>
      </c>
    </row>
  </sheetData>
  <mergeCells count="2">
    <mergeCell ref="E1:J1"/>
    <mergeCell ref="E23:J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cornu-spiral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Joel C</dc:creator>
  <cp:lastModifiedBy>Graff, Joel C</cp:lastModifiedBy>
  <dcterms:created xsi:type="dcterms:W3CDTF">2019-06-06T15:07:34Z</dcterms:created>
  <dcterms:modified xsi:type="dcterms:W3CDTF">2019-06-13T17:08:06Z</dcterms:modified>
</cp:coreProperties>
</file>