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704"/>
  </bookViews>
  <sheets>
    <sheet name="RGTI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<sst xmlns="http://schemas.openxmlformats.org/spreadsheetml/2006/main" count="36" uniqueCount="35">
  <si>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RGTI</t>
  </si>
  <si>
    <t>Price</t>
  </si>
  <si>
    <t>Shares</t>
  </si>
  <si>
    <t>MC</t>
  </si>
  <si>
    <t>Cash</t>
  </si>
  <si>
    <t>Debt</t>
  </si>
  <si>
    <t>EV</t>
  </si>
  <si>
    <t>11/26/24: Sold 50m shares at $2.00 for $100m.</t>
  </si>
  <si>
    <t>11/25/243: post-Q3 ATM: sold 38.1m shares at $1.53 for $58.4m</t>
  </si>
  <si>
    <t>Founded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</si>
  <si>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</si>
  <si>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</si>
  <si>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</si>
  <si>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</si>
  <si>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</si>
  <si>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</si>
  <si>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</si>
  <si>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</si>
  <si>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</si>
  <si>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</si>
  <si>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</si>
  <si>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</si>
  <si>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</si>
  <si>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COGS</t>
  </si>
  <si>
    <t>Gross Profit</t>
  </si>
  <si>
    <t>R&amp;D</t>
  </si>
  <si>
    <t>SG&amp;A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</si>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</sst>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_-;\-* #,##0_-;_-* &quot;-&quot;??_-;_-@_-"/>
  </numFmts>
  <fonts count="2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/>
    <xf numFmtId="3" fontId="2" fillId="0" borderId="0" xfId="0" applyNumberFormat="1" applyFont="1" applyFill="1" applyAlignment="1"/>
    <xf numFmtId="3" fontId="1" fillId="0" borderId="0" xfId="0" applyNumberFormat="1" applyFont="1" applyFill="1" applyAlignment="1"/>
    <xf numFmtId="0" fontId="1" fillId="0" borderId="0" xfId="0" applyFont="1" applyFill="1" applyAlignment="1">
      <alignment horizontal="right"/>
    </xf>
    <xf numFmtId="3" fontId="2" fillId="0" borderId="0" xfId="0" applyNumberFormat="1" applyFont="1" applyFill="1" applyAlignment="1">
      <alignment horizontal="right"/>
    </xf>
    <xf numFmtId="3" fontId="1" fillId="0" borderId="0" xfId="0" applyNumberFormat="1" applyFont="1" applyFill="1" applyAlignment="1">
      <alignment horizontal="right"/>
    </xf>
    <xf numFmtId="4" fontId="1" fillId="0" borderId="0" xfId="0" applyNumberFormat="1" applyFont="1" applyFill="1" applyAlignment="1">
      <alignment horizontal="right"/>
    </xf>
    <xf numFmtId="9" fontId="1" fillId="0" borderId="0" xfId="0" applyNumberFormat="1" applyFont="1" applyFill="1" applyAlignment="1">
      <alignment horizontal="right"/>
    </xf>
    <xf numFmtId="178" fontId="0" fillId="0" borderId="0" xfId="1" applyNumberFormat="1">
      <alignment vertical="center"/>
    </xf>
    <xf numFmtId="4" fontId="1" fillId="0" borderId="0" xfId="0" applyNumberFormat="1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18143</xdr:colOff>
      <xdr:row>0</xdr:row>
      <xdr:rowOff>0</xdr:rowOff>
    </xdr:from>
    <xdr:to>
      <xdr:col>12</xdr:col>
      <xdr:colOff>18143</xdr:colOff>
      <xdr:row>32</xdr:row>
      <xdr:rowOff>108857</xdr:rowOff>
    </xdr:to>
    <xdr:cxnSp>
      <xdr:nvCxnSpPr>
        <xdr:cNvPr id="2" name="Straight Connector 1"/>
        <xdr:cNvCxnSpPr/>
      </xdr:nvCxnSpPr>
      <xdr:spPr>
        <a:xfrm>
          <a:off x="7775575" y="0"/>
          <a:ext cx="0" cy="547306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29028</xdr:colOff>
      <xdr:row>0</xdr:row>
      <xdr:rowOff>0</xdr:rowOff>
    </xdr:from>
    <xdr:to>
      <xdr:col>16</xdr:col>
      <xdr:colOff>29028</xdr:colOff>
      <xdr:row>32</xdr:row>
      <xdr:rowOff>108857</xdr:rowOff>
    </xdr:to>
    <xdr:cxnSp>
      <xdr:nvCxnSpPr>
        <xdr:cNvPr id="3" name="Straight Connector 2"/>
        <xdr:cNvCxnSpPr/>
      </xdr:nvCxnSpPr>
      <xdr:spPr>
        <a:xfrm>
          <a:off x="10236200" y="0"/>
          <a:ext cx="0" cy="547306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H3" sqref="H3"/>
    </sheetView>
  </sheetViews>
  <sheetFormatPr defaultColWidth="8.88888888888889" defaultRowHeight="14.4" outlineLevelCol="5"/>
  <cols>
    <col min="1" max="1" width="5.77777777777778" customWidth="1"/>
    <col min="3" max="3" width="9.55555555555556" style="9"/>
  </cols>
  <sheetData>
    <row r="1" spans="1:1">
      <c r="A1" t="s">
        <v>0</v>
      </c>
    </row>
    <row r="2" spans="2:3">
      <c r="B2" s="1" t="s">
        <v>1</v>
      </c>
      <c r="C2" s="10">
        <v>10</v>
      </c>
    </row>
    <row r="3" spans="2:3">
      <c r="B3" s="1" t="s">
        <v>2</v>
      </c>
      <c r="C3" s="3">
        <f>192.295809+50+38.1</f>
        <v>280.395809</v>
      </c>
    </row>
    <row r="4" spans="2:3">
      <c r="B4" s="1" t="s">
        <v>3</v>
      </c>
      <c r="C4" s="3">
        <f>+C2*C3</f>
        <v>2803.95809</v>
      </c>
    </row>
    <row r="5" spans="2:3">
      <c r="B5" s="1" t="s">
        <v>4</v>
      </c>
      <c r="C5" s="3">
        <f>20.286+72.294+100+58.4</f>
        <v>250.98</v>
      </c>
    </row>
    <row r="6" spans="2:3">
      <c r="B6" s="1" t="s">
        <v>5</v>
      </c>
      <c r="C6" s="3">
        <f>11.247+2.061</f>
        <v>13.308</v>
      </c>
    </row>
    <row r="7" spans="2:3">
      <c r="B7" s="1" t="s">
        <v>6</v>
      </c>
      <c r="C7" s="3">
        <f>+C4-C5+C6</f>
        <v>2566.28609</v>
      </c>
    </row>
    <row r="10" spans="2:6">
      <c r="B10" s="1" t="s">
        <v>7</v>
      </c>
      <c r="C10" s="1"/>
      <c r="D10" s="1"/>
      <c r="E10" s="1"/>
      <c r="F10" s="1"/>
    </row>
    <row r="11" spans="2:6">
      <c r="B11" s="1" t="s">
        <v>8</v>
      </c>
      <c r="C11" s="1"/>
      <c r="D11" s="1"/>
      <c r="E11" s="1"/>
      <c r="F11" s="1"/>
    </row>
    <row r="12" spans="2:6">
      <c r="B12" s="1"/>
      <c r="C12" s="1"/>
      <c r="D12" s="1"/>
      <c r="E12" s="1"/>
      <c r="F12" s="1"/>
    </row>
    <row r="13" spans="2:6">
      <c r="B13" s="1"/>
      <c r="C13" s="1"/>
      <c r="D13" s="1"/>
      <c r="E13" s="1" t="s">
        <v>9</v>
      </c>
      <c r="F13" s="1">
        <v>2013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workbookViewId="0">
      <selection activeCell="A1" sqref="A$1:A$1048576"/>
    </sheetView>
  </sheetViews>
  <sheetFormatPr defaultColWidth="9" defaultRowHeight="13.2"/>
  <cols>
    <col min="1" max="1" width="17.1759259259259" style="1" customWidth="1"/>
    <col min="2" max="13" width="8.72222222222222" style="4"/>
    <col min="14" max="16383" width="9" style="1"/>
  </cols>
  <sheetData>
    <row r="1" s="1" customFormat="1" spans="2:1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="1" customFormat="1" spans="2:17"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4" t="s">
        <v>21</v>
      </c>
      <c r="O2" s="1">
        <v>2022</v>
      </c>
      <c r="P2" s="1">
        <v>2023</v>
      </c>
      <c r="Q2" s="1">
        <v>2024</v>
      </c>
    </row>
    <row r="3" s="2" customFormat="1" spans="1:17">
      <c r="A3" s="2" t="s">
        <v>22</v>
      </c>
      <c r="B3" s="5"/>
      <c r="C3" s="5"/>
      <c r="D3" s="5"/>
      <c r="E3" s="5"/>
      <c r="F3" s="5">
        <v>2201</v>
      </c>
      <c r="G3" s="5">
        <v>3327</v>
      </c>
      <c r="H3" s="5">
        <v>3105</v>
      </c>
      <c r="I3" s="5">
        <f>12008-H3-G3-F3</f>
        <v>3375</v>
      </c>
      <c r="J3" s="5">
        <v>3052</v>
      </c>
      <c r="K3" s="5">
        <v>3086</v>
      </c>
      <c r="L3" s="5">
        <v>2378</v>
      </c>
      <c r="M3" s="5">
        <f>+I3</f>
        <v>3375</v>
      </c>
      <c r="O3" s="2">
        <v>13102</v>
      </c>
      <c r="P3" s="2">
        <f t="shared" ref="P3:P7" si="0">SUM(F3:I3)</f>
        <v>12008</v>
      </c>
      <c r="Q3" s="2">
        <f t="shared" ref="Q3:Q7" si="1">SUM(J3:M3)</f>
        <v>11891</v>
      </c>
    </row>
    <row r="4" s="3" customFormat="1" spans="1:17">
      <c r="A4" s="3" t="s">
        <v>23</v>
      </c>
      <c r="B4" s="6"/>
      <c r="C4" s="6"/>
      <c r="D4" s="6"/>
      <c r="E4" s="6"/>
      <c r="F4" s="6">
        <v>510</v>
      </c>
      <c r="G4" s="6">
        <v>597</v>
      </c>
      <c r="H4" s="6">
        <v>834</v>
      </c>
      <c r="I4" s="6">
        <f>2800-H4-G4-F4</f>
        <v>859</v>
      </c>
      <c r="J4" s="6">
        <v>1552</v>
      </c>
      <c r="K4" s="6">
        <v>1096</v>
      </c>
      <c r="L4" s="6">
        <v>1174</v>
      </c>
      <c r="M4" s="6">
        <f>+M3*0.5</f>
        <v>1687.5</v>
      </c>
      <c r="O4" s="3">
        <v>2873</v>
      </c>
      <c r="P4" s="3">
        <f t="shared" si="0"/>
        <v>2800</v>
      </c>
      <c r="Q4" s="3">
        <f t="shared" si="1"/>
        <v>5509.5</v>
      </c>
    </row>
    <row r="5" s="3" customFormat="1" spans="1:17">
      <c r="A5" s="3" t="s">
        <v>24</v>
      </c>
      <c r="B5" s="6"/>
      <c r="C5" s="6"/>
      <c r="D5" s="6"/>
      <c r="E5" s="6"/>
      <c r="F5" s="6">
        <f t="shared" ref="F5:M5" si="2">+F3-F4</f>
        <v>1691</v>
      </c>
      <c r="G5" s="6">
        <f t="shared" si="2"/>
        <v>2730</v>
      </c>
      <c r="H5" s="6">
        <f t="shared" si="2"/>
        <v>2271</v>
      </c>
      <c r="I5" s="6">
        <f t="shared" si="2"/>
        <v>2516</v>
      </c>
      <c r="J5" s="6">
        <f t="shared" si="2"/>
        <v>1500</v>
      </c>
      <c r="K5" s="6">
        <f t="shared" si="2"/>
        <v>1990</v>
      </c>
      <c r="L5" s="6">
        <f t="shared" si="2"/>
        <v>1204</v>
      </c>
      <c r="M5" s="6">
        <f t="shared" si="2"/>
        <v>1687.5</v>
      </c>
      <c r="O5" s="3">
        <f t="shared" ref="O5:Q5" si="3">+O3-O4</f>
        <v>10229</v>
      </c>
      <c r="P5" s="3">
        <f t="shared" si="3"/>
        <v>9208</v>
      </c>
      <c r="Q5" s="3">
        <f t="shared" si="3"/>
        <v>6381.5</v>
      </c>
    </row>
    <row r="6" s="3" customFormat="1" spans="1:17">
      <c r="A6" s="3" t="s">
        <v>25</v>
      </c>
      <c r="B6" s="6"/>
      <c r="C6" s="6"/>
      <c r="D6" s="6"/>
      <c r="E6" s="6"/>
      <c r="F6" s="6">
        <v>13707</v>
      </c>
      <c r="G6" s="6">
        <v>13219</v>
      </c>
      <c r="H6" s="6">
        <v>13056</v>
      </c>
      <c r="I6" s="6">
        <f>52768-H6-G6-F6</f>
        <v>12786</v>
      </c>
      <c r="J6" s="6">
        <v>11471</v>
      </c>
      <c r="K6" s="6">
        <v>11870</v>
      </c>
      <c r="L6" s="6">
        <v>12752</v>
      </c>
      <c r="M6" s="6">
        <f t="shared" ref="M6:M10" si="4">+L6</f>
        <v>12752</v>
      </c>
      <c r="O6" s="3">
        <v>59952</v>
      </c>
      <c r="P6" s="3">
        <f t="shared" si="0"/>
        <v>52768</v>
      </c>
      <c r="Q6" s="3">
        <f t="shared" si="1"/>
        <v>48845</v>
      </c>
    </row>
    <row r="7" s="3" customFormat="1" spans="1:17">
      <c r="A7" s="3" t="s">
        <v>26</v>
      </c>
      <c r="B7" s="6"/>
      <c r="C7" s="6"/>
      <c r="D7" s="6"/>
      <c r="E7" s="6"/>
      <c r="F7" s="6">
        <v>9013</v>
      </c>
      <c r="G7" s="6">
        <v>5747</v>
      </c>
      <c r="H7" s="6">
        <v>6047</v>
      </c>
      <c r="I7" s="6">
        <f>27744-H7-G7-F7</f>
        <v>6937</v>
      </c>
      <c r="J7" s="6">
        <v>6614</v>
      </c>
      <c r="K7" s="6">
        <v>6205</v>
      </c>
      <c r="L7" s="6">
        <v>5798</v>
      </c>
      <c r="M7" s="6">
        <f t="shared" si="4"/>
        <v>5798</v>
      </c>
      <c r="O7" s="3">
        <v>53980</v>
      </c>
      <c r="P7" s="3">
        <f t="shared" si="0"/>
        <v>27744</v>
      </c>
      <c r="Q7" s="3">
        <f t="shared" si="1"/>
        <v>24415</v>
      </c>
    </row>
    <row r="8" s="3" customFormat="1" spans="1:17">
      <c r="A8" s="3" t="s">
        <v>27</v>
      </c>
      <c r="B8" s="6"/>
      <c r="C8" s="6"/>
      <c r="D8" s="6"/>
      <c r="E8" s="6"/>
      <c r="F8" s="6">
        <f t="shared" ref="F8:M8" si="5">+F7+F6</f>
        <v>22720</v>
      </c>
      <c r="G8" s="6">
        <f t="shared" si="5"/>
        <v>18966</v>
      </c>
      <c r="H8" s="6">
        <f t="shared" si="5"/>
        <v>19103</v>
      </c>
      <c r="I8" s="6">
        <f t="shared" si="5"/>
        <v>19723</v>
      </c>
      <c r="J8" s="6">
        <f t="shared" si="5"/>
        <v>18085</v>
      </c>
      <c r="K8" s="6">
        <f t="shared" si="5"/>
        <v>18075</v>
      </c>
      <c r="L8" s="6">
        <f t="shared" si="5"/>
        <v>18550</v>
      </c>
      <c r="M8" s="6">
        <f t="shared" si="5"/>
        <v>18550</v>
      </c>
      <c r="O8" s="6">
        <f t="shared" ref="O8:Q8" si="6">+O7+O6</f>
        <v>113932</v>
      </c>
      <c r="P8" s="6">
        <f t="shared" si="6"/>
        <v>80512</v>
      </c>
      <c r="Q8" s="6">
        <f t="shared" si="6"/>
        <v>73260</v>
      </c>
    </row>
    <row r="9" s="3" customFormat="1" spans="1:17">
      <c r="A9" s="3" t="s">
        <v>28</v>
      </c>
      <c r="B9" s="6"/>
      <c r="C9" s="6"/>
      <c r="D9" s="6"/>
      <c r="E9" s="6"/>
      <c r="F9" s="6">
        <f t="shared" ref="F9:M9" si="7">+F5-F8</f>
        <v>-21029</v>
      </c>
      <c r="G9" s="6">
        <f t="shared" si="7"/>
        <v>-16236</v>
      </c>
      <c r="H9" s="6">
        <f t="shared" si="7"/>
        <v>-16832</v>
      </c>
      <c r="I9" s="6">
        <f t="shared" si="7"/>
        <v>-17207</v>
      </c>
      <c r="J9" s="6">
        <f t="shared" si="7"/>
        <v>-16585</v>
      </c>
      <c r="K9" s="6">
        <f t="shared" si="7"/>
        <v>-16085</v>
      </c>
      <c r="L9" s="6">
        <f t="shared" si="7"/>
        <v>-17346</v>
      </c>
      <c r="M9" s="6">
        <f t="shared" si="7"/>
        <v>-16862.5</v>
      </c>
      <c r="O9" s="6">
        <f t="shared" ref="O9:Q9" si="8">+O5-O8</f>
        <v>-103703</v>
      </c>
      <c r="P9" s="6">
        <f t="shared" si="8"/>
        <v>-71304</v>
      </c>
      <c r="Q9" s="6">
        <f t="shared" si="8"/>
        <v>-66878.5</v>
      </c>
    </row>
    <row r="10" s="1" customFormat="1" spans="1:13">
      <c r="A10" s="3" t="s">
        <v>29</v>
      </c>
      <c r="B10" s="4"/>
      <c r="C10" s="4"/>
      <c r="D10" s="6"/>
      <c r="E10" s="4"/>
      <c r="F10" s="6">
        <f>-1464+1284</f>
        <v>-180</v>
      </c>
      <c r="G10" s="6">
        <f>-1574+1199</f>
        <v>-375</v>
      </c>
      <c r="H10" s="6">
        <f>-1473+1263</f>
        <v>-210</v>
      </c>
      <c r="I10" s="6">
        <f>-5779+5076-H10-G10-F10</f>
        <v>62</v>
      </c>
      <c r="J10" s="6">
        <f>-1107+1123</f>
        <v>16</v>
      </c>
      <c r="K10" s="6">
        <f>-969+1218</f>
        <v>249</v>
      </c>
      <c r="L10" s="6">
        <f>-733+1226</f>
        <v>493</v>
      </c>
      <c r="M10" s="6">
        <f t="shared" si="4"/>
        <v>493</v>
      </c>
    </row>
    <row r="11" s="1" customFormat="1" spans="1:17">
      <c r="A11" s="3" t="s">
        <v>30</v>
      </c>
      <c r="B11" s="4"/>
      <c r="C11" s="4"/>
      <c r="D11" s="6"/>
      <c r="E11" s="4"/>
      <c r="F11" s="6">
        <f t="shared" ref="F11:M11" si="9">+F9+F10</f>
        <v>-21209</v>
      </c>
      <c r="G11" s="6">
        <f t="shared" si="9"/>
        <v>-16611</v>
      </c>
      <c r="H11" s="6">
        <f t="shared" si="9"/>
        <v>-17042</v>
      </c>
      <c r="I11" s="6">
        <f t="shared" si="9"/>
        <v>-17145</v>
      </c>
      <c r="J11" s="6">
        <f t="shared" si="9"/>
        <v>-16569</v>
      </c>
      <c r="K11" s="6">
        <f t="shared" si="9"/>
        <v>-15836</v>
      </c>
      <c r="L11" s="6">
        <f t="shared" si="9"/>
        <v>-16853</v>
      </c>
      <c r="M11" s="6">
        <f t="shared" si="9"/>
        <v>-16369.5</v>
      </c>
      <c r="N11" s="6"/>
      <c r="O11" s="6">
        <f t="shared" ref="O11:Q11" si="10">+O9+O10</f>
        <v>-103703</v>
      </c>
      <c r="P11" s="6">
        <f t="shared" si="10"/>
        <v>-71304</v>
      </c>
      <c r="Q11" s="6">
        <f t="shared" si="10"/>
        <v>-66878.5</v>
      </c>
    </row>
    <row r="12" s="1" customFormat="1" spans="1:13">
      <c r="A12" s="3" t="s">
        <v>31</v>
      </c>
      <c r="B12" s="4"/>
      <c r="C12" s="4"/>
      <c r="D12" s="6"/>
      <c r="E12" s="4"/>
      <c r="F12" s="6">
        <v>0</v>
      </c>
      <c r="G12" s="6">
        <v>0</v>
      </c>
      <c r="H12" s="6">
        <v>0</v>
      </c>
      <c r="I12" s="4">
        <v>0</v>
      </c>
      <c r="J12" s="4">
        <v>0</v>
      </c>
      <c r="K12" s="4">
        <v>0</v>
      </c>
      <c r="L12" s="4">
        <v>0</v>
      </c>
      <c r="M12" s="4">
        <f>+L12</f>
        <v>0</v>
      </c>
    </row>
    <row r="13" s="1" customFormat="1" spans="1:17">
      <c r="A13" s="3" t="s">
        <v>32</v>
      </c>
      <c r="B13" s="4"/>
      <c r="C13" s="4"/>
      <c r="D13" s="6"/>
      <c r="E13" s="4"/>
      <c r="F13" s="6">
        <f t="shared" ref="F13:M13" si="11">+F11-F12</f>
        <v>-21209</v>
      </c>
      <c r="G13" s="6">
        <f t="shared" si="11"/>
        <v>-16611</v>
      </c>
      <c r="H13" s="6">
        <f t="shared" si="11"/>
        <v>-17042</v>
      </c>
      <c r="I13" s="6">
        <f t="shared" si="11"/>
        <v>-17145</v>
      </c>
      <c r="J13" s="6">
        <f t="shared" si="11"/>
        <v>-16569</v>
      </c>
      <c r="K13" s="6">
        <f t="shared" si="11"/>
        <v>-15836</v>
      </c>
      <c r="L13" s="6">
        <f t="shared" si="11"/>
        <v>-16853</v>
      </c>
      <c r="M13" s="6">
        <f t="shared" si="11"/>
        <v>-16369.5</v>
      </c>
      <c r="O13" s="6">
        <f t="shared" ref="O13:Q13" si="12">+O11-O12</f>
        <v>-103703</v>
      </c>
      <c r="P13" s="6">
        <f t="shared" si="12"/>
        <v>-71304</v>
      </c>
      <c r="Q13" s="6">
        <f t="shared" si="12"/>
        <v>-66878.5</v>
      </c>
    </row>
    <row r="14" s="1" customFormat="1" spans="1:17">
      <c r="A14" s="3" t="s">
        <v>33</v>
      </c>
      <c r="B14" s="4"/>
      <c r="C14" s="4"/>
      <c r="D14" s="7"/>
      <c r="E14" s="4"/>
      <c r="F14" s="7">
        <f t="shared" ref="F14:M14" si="13">+F13/F15</f>
        <v>-0.169973873599513</v>
      </c>
      <c r="G14" s="7">
        <f t="shared" si="13"/>
        <v>-0.129253394545384</v>
      </c>
      <c r="H14" s="7">
        <f t="shared" si="13"/>
        <v>-0.1273064108885</v>
      </c>
      <c r="I14" s="7" t="e">
        <f t="shared" si="13"/>
        <v>#DIV/0!</v>
      </c>
      <c r="J14" s="7">
        <f t="shared" si="13"/>
        <v>-0.109110664778901</v>
      </c>
      <c r="K14" s="7">
        <f t="shared" si="13"/>
        <v>-0.0921217198071005</v>
      </c>
      <c r="L14" s="7">
        <f t="shared" si="13"/>
        <v>-0.0894585140321356</v>
      </c>
      <c r="M14" s="7">
        <f t="shared" si="13"/>
        <v>-0.0584625</v>
      </c>
      <c r="O14" s="7" t="e">
        <f t="shared" ref="O14:Q14" si="14">+O13/O15</f>
        <v>#DIV/0!</v>
      </c>
      <c r="P14" s="7" t="e">
        <f t="shared" si="14"/>
        <v>#DIV/0!</v>
      </c>
      <c r="Q14" s="7">
        <f t="shared" si="14"/>
        <v>-0.337707521457507</v>
      </c>
    </row>
    <row r="15" s="3" customFormat="1" spans="1:17">
      <c r="A15" s="3" t="s">
        <v>2</v>
      </c>
      <c r="B15" s="6"/>
      <c r="C15" s="6"/>
      <c r="D15" s="6"/>
      <c r="E15" s="6"/>
      <c r="F15" s="6">
        <v>124778</v>
      </c>
      <c r="G15" s="6">
        <v>128515</v>
      </c>
      <c r="H15" s="6">
        <v>133866</v>
      </c>
      <c r="I15" s="6"/>
      <c r="J15" s="6">
        <v>151855</v>
      </c>
      <c r="K15" s="6">
        <v>171903</v>
      </c>
      <c r="L15" s="6">
        <v>188389</v>
      </c>
      <c r="M15" s="6">
        <v>280000</v>
      </c>
      <c r="Q15" s="3">
        <f>AVERAGE(J15:M15)</f>
        <v>198036.75</v>
      </c>
    </row>
    <row r="17" s="1" customFormat="1" spans="1:13">
      <c r="A17" s="3" t="s">
        <v>34</v>
      </c>
      <c r="B17" s="4"/>
      <c r="C17" s="4"/>
      <c r="D17" s="4"/>
      <c r="E17" s="4"/>
      <c r="F17" s="4"/>
      <c r="G17" s="4"/>
      <c r="H17" s="4"/>
      <c r="I17" s="4"/>
      <c r="J17" s="8">
        <f t="shared" ref="J17:M17" si="15">+J3/F3-1</f>
        <v>0.386642435256701</v>
      </c>
      <c r="K17" s="8">
        <f t="shared" si="15"/>
        <v>-0.0724376314998497</v>
      </c>
      <c r="L17" s="8">
        <f t="shared" si="15"/>
        <v>-0.234138486312399</v>
      </c>
      <c r="M17" s="8">
        <f t="shared" si="15"/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3" sqref="E13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RGTI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MyaT</dc:creator>
  <cp:lastModifiedBy>MyaT</cp:lastModifiedBy>
  <dcterms:created xsi:type="dcterms:W3CDTF">2025-01-08T18:06:45Z</dcterms:created>
  <dcterms:modified xsi:type="dcterms:W3CDTF">2025-01-08T18:30:07Z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C22D8826750C4E5CA1E48BE5DB34AE6A_11</vt:lpwstr>
  </property>
  <property fmtid="{D5CDD505-2E9C-101B-9397-08002B2CF9AE}" pid="3" name="KSOProductBuildVer">
    <vt:lpwstr>1033-12.2.0.19307</vt:lpwstr>
  </property>
</Properties>
</file>