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hunhua/pro360v2/"/>
    </mc:Choice>
  </mc:AlternateContent>
  <xr:revisionPtr revIDLastSave="0" documentId="8_{B3727B97-438B-874A-A30E-C19E7133DBAA}" xr6:coauthVersionLast="47" xr6:coauthVersionMax="47" xr10:uidLastSave="{00000000-0000-0000-0000-000000000000}"/>
  <bookViews>
    <workbookView xWindow="0" yWindow="500" windowWidth="38400" windowHeight="20160" xr2:uid="{00000000-000D-0000-FFFF-FFFF00000000}"/>
  </bookViews>
  <sheets>
    <sheet name="Index" sheetId="1" r:id="rId1"/>
    <sheet name="合盤Data" sheetId="2" r:id="rId2"/>
    <sheet name="合盤trans" sheetId="3" r:id="rId3"/>
    <sheet name="診斷Data" sheetId="4" r:id="rId4"/>
    <sheet name="診斷trans" sheetId="5" r:id="rId5"/>
    <sheet name="教練分析Data" sheetId="6" r:id="rId6"/>
    <sheet name="教練分析tra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6" i="7" l="1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B1" i="7"/>
  <c r="A1" i="7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1" i="5"/>
  <c r="A1" i="5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1" i="3"/>
  <c r="A1" i="3"/>
</calcChain>
</file>

<file path=xl/sharedStrings.xml><?xml version="1.0" encoding="utf-8"?>
<sst xmlns="http://schemas.openxmlformats.org/spreadsheetml/2006/main" count="1499" uniqueCount="955">
  <si>
    <t>開始前請先輸入姓名</t>
  </si>
  <si>
    <t>姓名：</t>
  </si>
  <si>
    <t>A按鈕3的內容
B按鈕3的內容
B按鈕2的內容
A按鈕3的內容
A按鈕1的內容
A按鈕1的內容
A按鈕3的內容
C按鈕3的內容
A按鈕3的內容</t>
  </si>
  <si>
    <t>緣份</t>
  </si>
  <si>
    <t>內容</t>
  </si>
  <si>
    <t>se</t>
  </si>
  <si>
    <t>你只是來報恩的姻緣</t>
  </si>
  <si>
    <t>在你們的命盤中，你們的緣份很玄殊，比較痛苦的組合，代表你只是來報恩的姻緣。
一，你愛他，他不愛你。
二，你完全對他付出，他沒辦法回應你的愛，甚至也傾向於冷漠一些。
三，你很喜歡他，你心裡的理想對象就是像他這樣的人，所以你也很難放下他。
四，你對他一見鐘情機率大，或是剛接觸就喜歡他了。</t>
  </si>
  <si>
    <t>s</t>
  </si>
  <si>
    <t>他只是來報恩的姻緣</t>
  </si>
  <si>
    <t>在你們的命盤中，你們的緣份很玄殊，比較痛苦的組合，代表他只是來報恩的姻緣。
一，他比較喜歡你，反而你會思考他是不是你想要的人。
二，他在感情上會完全地付出，而你則沒辦法回應他的喜歡。
三，若果，你們分手後，很大機會他放不下你。
四，他對你一見鐘情，甚至他都以你為先。</t>
  </si>
  <si>
    <t>e</t>
  </si>
  <si>
    <t>你命中要找的「人」</t>
  </si>
  <si>
    <t>老實說，你命途中要找的「人」很大機會是他，不一定會相處良好，但是你必須要面對他這個「愛情課題」，從他身上，你將會得到人生的領悟，不管好壞，他都是與你有「緣」，但有沒有「份」去長相廂守就得看你們的福報了。很多時候上天送給你「正緣」，不見得大家會珍惜，每次的不尊重不包容，都是有在破壞你們之間的緣份！
你們之間「有姻緣」但不一定有「福份相伴一輩子」的主因：
一：多次前世，你們的「問題」變成「情債」還沒解決
二：有愛情功課，需要透過「他」化成「考驗」給你上課
三：你對他的心態傾向於「只在乎曾經擁有，不在乎天長地久」，那就沒必要執著太深（現在硬要抓著他在自己身邊）
建議：認真把你對他的「不滿」或 你們相處的「問題」一個個都整理好，NANA才有辦法針對問題幫你解決。</t>
  </si>
  <si>
    <t>他命中要找的「人」</t>
  </si>
  <si>
    <t>老實說，他命途中要找的「人」很大機會是你，不一定會相處良好，但是他必須要面對你這個「愛情課題」，從你身上，他將會得到人生的領悟，不管好壞，他都是與你有「緣」，但有沒有「份」去長相廂守就得看你們的福報了。
你們之間「有姻緣」但不一定有「福份相伴一輩子」的主因：
一：多次前世，你們的「問題」變成「情債」還沒解決
二：有愛情功課，需要透過「你」化成「考驗」給他上課
三：他對你的心態傾向於「只在乎曾經擁有，不在乎天長地久」
建議：認真把他對你的「不滿」或 你們相處的「問題」一個個都整理好，NANA才有辦法針對問題幫你解決。</t>
  </si>
  <si>
    <t>你們命中要找的「人」</t>
  </si>
  <si>
    <t>老實說，你們命途中要找的「人」很大機會是對方，不一定會相處良好，但是你們必須要面對彼此這個「愛情課題」，從對方身上，你們將會得到人生的領悟，不管好壞，你們都是與對方有「緣」，但有沒有「份」去長相廂守就得看你們的福報了。很多時候上天送給你們「正緣」，不見得大家會珍惜，每次的不尊重不包容，都是有在破壞你們之間的緣份！
更簡單的說法就是，你們彼此來到對方的世界裡，是為了讓彼此上一堂愛情課，時機到了，就會完全消失在你的生命裡。
如何不讓他消失在你的世界？就要趁著還沒斷聯的時候，趕快處理「愛情課題」，把情債還光光了，再製造正向緣份，就不會狠心絕心地斷聯。已經斷聯消失了，再求也求不回來，這也是緣盡的表現！
你們之間「有姻緣」但不一定有「福份相伴一輩子」的主因：
一：多次前世，你們的「問題」變成「情債」還沒解決
二：有愛情功課，需要透過「彼此」化成「考驗」給你們上課
三：你們的心態傾向於「只在乎曾經擁有，不在乎天長地久」</t>
  </si>
  <si>
    <t>0%沒有緣份</t>
  </si>
  <si>
    <t>在你們的命盤中，屬於 有緣無份 的組合 。代表你們不一定是彼此心目中的理想伴侶，所以，你們的關係就停滯在這邊，無法前進更親密的關係，像是走不進彼此的心，或許也只有肉體上的互動。
對於 你們目前的狀況，你更需要釐清 你們之間的情感，要來自於「責任」或「陪伴」或「習慣」，有時候口說的喜歡，也不是真心的喜歡。</t>
  </si>
  <si>
    <t>30%少緣份</t>
  </si>
  <si>
    <t>在你們的命盤中，屬於 比較少有緣份（差不多30%）的組合。代表你們不一定是彼此心目中的理想伴侶，但是也會有互相欣賞的地方。剛開始接觸時，你們可能對彼此就抱有好感，不見得一見鍾情，但是也會有喜歡對方的可能性。認識好一段時間，可能會發現對方的想法或個性，跟自己想像的格格不入，所以乾脆不要了，錯過了愛情的衝動。
主要分別就是，分手也沒差，因為覺得對方也不像自己心目中的人選，所以分手時，雖然難過，但是如果換到更適合自己的人也好像可以，只是一時之間不習慣沒有對方，或是不想被拋棄。</t>
  </si>
  <si>
    <t>30%曖昧</t>
  </si>
  <si>
    <t>在你們的命盤中，屬於 比較少有緣份（差不多30%）的組合。代表你們不一定是彼此心目中的理想伴侶，但是也會有互相欣賞的地方。剛開始接觸時，你們可能對彼此就抱有好感，不見得一見鍾情，但是也會有喜歡對方的可能性。認識好一段時間，可能會發現對方的想法或個性，跟自己想像的格格不入，所以乾脆不要了，錯過了愛情的衝動。
主要分別就是，不聯絡也沒差，因為覺得對方也不像自己心目中的人選，所以不聯絡時，雖然難過，但是如果換到更適合自己的人也好像可以，只是一時之間不習慣沒有對方，或是不想被拋棄。
為何他會直接放棄？不想再跟你聯絡？因為，他根本不喜歡你，你也沒辦法滿足他的條件。在他心裡面，他認定你不是他想要的人，所以他會乾脆選擇不聯絡。相處久了，他會覺得，一定會找到比你更好而又喜歡的人，尤其遇上了就會果斷跟你斷聯。因為，你跟他沒有實際的愛跟喜歡。即使復聯了，沒有好好處理，也會很快斷聯。</t>
  </si>
  <si>
    <t>50%他喜歡你多一些</t>
  </si>
  <si>
    <t>在你們的命盤中，屬於 緣份脆弱 的組合（隨時因為變數而一拍兩散）。他會比較喜歡你多一些，尤其是他剛接觸你的時候，他就已經有一見鐘情，或是認識不久就喜歡你，所以他會顯得更投入在感情關係裡。現代愛情觀，希望能夠找一位比較愛自己的人，那他正是如此。他比較喜歡你多一些，剛接觸時就會有比較強烈的感覺，但是你對他比較一般般。</t>
  </si>
  <si>
    <t>50%你喜歡他多一些</t>
  </si>
  <si>
    <t>在你們的命盤中，屬於 緣份脆弱 的組合（隨時因為變數而一拍兩散）。你會喜歡他多一些，尤其是你剛接觸他的時候，你就已經有一見鐘情，或是認識不久就喜歡他，所以你會顯得更投入在感情關係裡。交往後，他可能會發現你的想法或個性，跟他想像的格格不入。交往久了，可能就會覺得還好，他想要出去找新鮮感的可能性多。</t>
  </si>
  <si>
    <t>60%不能長相廝守</t>
  </si>
  <si>
    <t>在你們的命盤中，屬於 有機會 長相廝守（60%的緣份）的組合，但不完全是足夠讓你們平安相愛到老，容易因為有變數而放棄。同時，也代表你們可能不完全是彼此心目中的理想伴侶，剛接觸的時候已經喜歡，或是帶點一見鍾情，交往後，可能會發現對方的想法或個性，跟自己想像的格格不入。剛開始時，你會覺得他某些個性特質好像符合自己的理想條件，但是到後來，卻發現不一樣。或是，交往久了，可能就會覺得還好。</t>
  </si>
  <si>
    <t>70%斷不開的組合</t>
  </si>
  <si>
    <t>在你們的命盤中，屬於 感情斷不開 的組合（70%的緣份），代表你們互相喜歡，也符合彼此心目中的理想伴侶。同時，你們剛開始接觸時，就已經喜歡對方，或是有一見鐘情的可能性。即使分開，也會互相糾纏一段時間。復合率比較高，而且會有患難見真情的表現。如果，其中一方願意原諒，請給時間去療癒心靈，時間到了，就會回來。</t>
  </si>
  <si>
    <t>90%互相喜歡</t>
  </si>
  <si>
    <t>在你們的命盤中，屬於 緣份很高 的組合（有90%緣份），代表你們互相喜歡，也符合彼此心目中的理想伴侶，是一組很漂亮的合盤（彼此是人生中其中一位正緣）。同時，你們剛開始接觸時，就已經喜歡對方，或是有一見鐘情的可能性。
「緣份多」的表現 則會在剛交往時，就會有一㮔似曾相識，相逢恨晚 的感覺，在相處上會比較包容尊重，相比其他交往經驗，會更容易感到幸福，快樂，知足 的心靈滿足感。
但是，能不能長相廂守就得看你們的福報了（福報不足，容易一個干擾就喊分手）。不想放棄，雙方就需要增加福報，可以邀請對方「多做布施」、一起「學習吃素」、自己幫忙「定期還情債」三管齊下，感情堅定下來，就能穩定地長相廝守相愛到老。
你們緣份多，即使當下分開斷聯，也會在未來有一天相遇。所以，別因為現在的處境否定了你們的緣份。有些人念念不忘，在三年或五年後，還是會重遇，重新相愛。你不想跟他錯過或浪費時間，最後才發現彼此是正緣，請你一定要及時處理這段姻緣。</t>
  </si>
  <si>
    <t>曖昧不夠緣份</t>
  </si>
  <si>
    <t>你們之間比較沒有緣份，代表他只是短暫性喜歡你（新鮮感/生理衝動），但是喜歡也不一定會馬上就提出交往。
不夠緣份，即使在一起，也會佷快分手。或是，你們各自遇到更喜歡的人就會直接放棄。
建議，不要浪費心思在沒有緣份的對象上，目前更需要集中心思在自己的魅力上，例如打扮、學習、增強磁場，提升自信，會更能吸引真正欣賞你裡裡外外的對象。（有心想要找正緣，不再糾結合盤對象，請主動諮詢NANA（祕訣不外傳，只給用心經營愛情的善緣））</t>
  </si>
  <si>
    <t>你一見鐘情</t>
  </si>
  <si>
    <t>同時，你對他傾向於一見鐘情，但是交往後，深入了解才發現他沒有那麼吸引你，也覺得他也很一般。</t>
  </si>
  <si>
    <t>他不一見鐘情</t>
  </si>
  <si>
    <t>相反，他對你不會有一見鐘情，是需要深入了解你後，才會思考跟你交往的可能性。因為他喜歡你的特質都要透過溝通才可以展現出來，除非你美到吸引他主動認識你，否則，真的要透過深入認識才可以讓他看見你的好。</t>
  </si>
  <si>
    <t>你不一見鐘情</t>
  </si>
  <si>
    <t>你對他不見得是一見鍾情的，反而是認識後才慢慢喜歡他，而他則是一開始就追你或喜歡你，但是交往後才發現你沒有那麼吸引他，也覺得你也很一般，才發現你不是他要的人。</t>
  </si>
  <si>
    <t>命盤很像</t>
  </si>
  <si>
    <t>但是你們命盤很像，個性也好像，彼此會成為彼此的朋友，但你比較喜歡他多一些，剛接觸時就會有比較強烈的感覺，但是他對你比較一般般。</t>
  </si>
  <si>
    <t>為何不想再跟你復合？</t>
  </si>
  <si>
    <t>為何他會直接放棄？不想再跟你復合？因為，他根本不喜歡你，你也沒辦法滿足他的條件。在他心裡面，他認定你不是他想要的人，所以他會乾脆選擇分手。交往久了，他會覺得，一定會找到比你更好而又喜歡的人，尤其遇上了就會果斷跟你分手。因為，你跟他只有交往的關係，沒有實際的愛跟喜歡。即使復合了，沒有好好處理，也會很快分手。</t>
  </si>
  <si>
    <t>為何他會跟你分分合合？</t>
  </si>
  <si>
    <t>為何他會跟你分分合合？因為，你是備胎（後備炮友的可能）。你其實也沒辦法滿足他的條件。在他心裡面，他認定你不是他想要的人，所以他會乾脆選擇分手。交往久了，他會覺得，一定會找到比你更好而又喜歡的人，尤其遇上了就會果斷跟你分手。因為，你跟他只有交往的關係，沒有實際的愛跟喜歡。即使復合了，沒有好好處理，也會很快分手。還沒找到更好更喜歡的人，先暫時復合。</t>
  </si>
  <si>
    <t>陰陽 天干</t>
  </si>
  <si>
    <t>陽陽</t>
  </si>
  <si>
    <t>你們雙方在溝通都會有過度主動強硬、不願妥協的時候，若要穩定和諧相處，建議你們在日常生活中學會互相謙讓，先冷靜思考你們討論的目的是什麼，再來進行有效溝通，不要為了爭一個「我是對的」「你要聽我的」答案。 而不是硬碰硬，鬥個輸贏，這樣會很快產生怨氣、不爽，感情阻礙就是這樣越積越多而不自知，最後真正離開了才後悔。</t>
  </si>
  <si>
    <t>陰陰</t>
  </si>
  <si>
    <t>你們雙方的性格都拖拖拉拉、糾纏不清，表達也不夠主動，當出現問題時也可能傾向於冷戰或啞忍，也可能因為過度內斂而難以讓對方感受到愛。當吵架或發生問題時，其實是需要其中有一方踏出第一步，才能突破僵局。不然，兩個人很被動，都不會和好，或是聊開。你們會把問題藏很深，直到吵架才會拿出來講，超級沒意義的，何必呢？建議，你要做主動的一方，你太被動，只會讓自己錯過他，不要再以「矜持」為由而讓自己最後傷心又流淚，你說為了面子，而失去他，值得嗎？</t>
  </si>
  <si>
    <t>女陽男陰</t>
  </si>
  <si>
    <t>在你們的相處中，你會比較強勢，而他則是比較陰柔一些，你提出的意見，他會傾向默默接受，要注意的是，他提出意見時，你也比較有主見，也容易反對他或意圖改變他的想法，你會給他有壓迫感，要他聽你的話，長期下來，他會不想跟你共同生活下去，因為跟你在一起只有妥協，沒有共識。所以，建議你要多反思自己的強硬的態度，是不是忽略了他的感受或想法，讓他心累，不想再想聽從於你。若你不反思及調整自己，事事以「自己是對的」自把自為，即使和好或復合，也會重蹈覆轍。</t>
  </si>
  <si>
    <t>流年（比劫、印P、財）</t>
  </si>
  <si>
    <t>你走比劫</t>
  </si>
  <si>
    <t>你在2024期間，朋友來往變多（舊朋友突然聯絡），社交聚會活動也變多，小心朋友來借錢，或找投資合作，很容易一去不回頭，拿不回來。另外，流年的磁場會吸引情敵出現，或感情被界入，多有第三者出現，或玩交友軟體跟異性曖昧的狀況發生。
所以，2024年磁場，會讓你變得很混亂。而且，你也會變得更聽朋友的話，忽略了伴侶的意見，意思就是說你聽朋友的建議，也不見得聽他的看法。這樣，很容易讓他受挫敗，而不想面對，最後，導致雙方感情破裂。（自己及對方都有機會「允許異性跟自己頻密來往」）</t>
  </si>
  <si>
    <t>他走比劫</t>
  </si>
  <si>
    <t>他在2024期間，朋友來往變多，社交聚會活動也變多，小心朋友來找他投資合作，很容易一去不回頭，拿不回來。另外，就是他身邊異性緣變多，或感情被界入，多有第三者出現，或玩交友軟體跟異性曖昧的狀況發生。所以，2024年磁場，會讓他變得很混亂。而且，他也會變得更聽朋友的話，忽略了伴侶的意見，意思就是說他聽朋友的建議，也不見得聽你的看法。這樣，很容易讓你受挫敗，而不想面對，最後，導致雙方感情破裂。他有機會「允許異性跟自己頻密來往」。
所以，2024年建議從他的朋友入手，讓他的朋友講出你的「好」，他才聽得進去，他也才會發現你的好，也才留下好印象，朋友說的他會考慮看看。</t>
  </si>
  <si>
    <t>你們比劫</t>
  </si>
  <si>
    <t>你們在2024期間，朋友來往變多（舊朋友突然聯絡），社交聚會活動也變多，小心朋友來借錢，或找投資合作，很容易一去不回頭，拿不回來。另外，流年的磁場會吸引情敵出現，或感情被界入，多有第三者出現，或玩交友軟體跟異性曖昧的狀況發生。
所以，2024年磁場，會讓你變得很混亂。而且，你們也會變得更聽朋友的話，忽略了伴侶的意見，意思就是說你們聽朋友的建議，也不見得聽對方的看法。這樣，很容易讓雙方受挫敗，而不想面對，最後，導致雙方感情破裂。（自己及對方都有機會「允許異性跟自己頻密來往」）</t>
  </si>
  <si>
    <t>他走P</t>
  </si>
  <si>
    <t>要注意的是，他在2024會出現小人多，意思就是不論愛情還是身邊，都會多個麻煩人干擾他，也就是我們所說的「走小人運」。所以，他在這年期間比較力不從心，人際上也有不安的感覺，是正常的。他的心思不在感情生活上，因為會有人際雜事在干擾他，讓他只想解決小人是非。
而且，他今年口舌是非多，也是因為他嘴巴容易講出令人不中聽的說話，而得罪人，為反對而反對，故意想歪講歪理。而且，容易做錯決定，衝動分手，其實他只是害怕面對人際關係，包括愛情。</t>
  </si>
  <si>
    <t>他走梟印奪食</t>
  </si>
  <si>
    <t>要注意的是，他在2024會出現小人多，意思就是不論愛情還是身邊，都會多個麻煩人干擾他，也就是我們所說的「走小人運」。所以，他在這年期間比較力不從心，人際上也有不安的感覺，是正常的。他的心思不在感情生活上，因為會有人際雜事在干擾他，讓他只想解決小人是非。
而且，他今年口舌是非多，也是因為他嘴巴容易講出令人不中聽的說話，而得罪人，為反對而反對，故意想歪講歪理。而且，容易做錯決定，衝動分手，其實他只是害怕面對人際關係，包括愛情。
而且，在他的命盤有，嚴重的流年不利影響，輕則小人是非陷害他，嚴重會有意外之災，建議今年先自保，破解命盤不利，多於求感情。
今年對他來說，會比較反反覆覆，你要多關心他的情緒，少出一張嘴，要做「愛情療癒組合」提升自己的正能量，不然最後你們兩個狀況太差還是會失去彼此。</t>
  </si>
  <si>
    <t>你走P</t>
  </si>
  <si>
    <t>要注意的是，你在2024會出現小人多，意思就是不論愛情還是身邊，都會多個麻煩人干擾你，也就是我們所說的「走小人運」。所以，你在這年期間比較力不從心，人際上也有不安的感覺，是正常的。你的心思不在感情生活上，因為會有人際雜事在干擾你，讓你只想解決小人是非。
而且，你今年口舌是非多，也是因為你嘴巴容易講出令人不中聽的說話，而得罪人，為反對而反對，故意想歪講歪理。而且，容易做錯決定，衝動分手，其實你只是害怕面對人際關係，包括愛情。</t>
  </si>
  <si>
    <t>你走梟印奪食</t>
  </si>
  <si>
    <t>要注意的是，你在2024會出現小人多，意思就是不論愛情還是身邊，都會多個麻煩人干擾你，也就是我們所說的「走小人運」。所以，你在這年期間比較力不從心，人際上也有不安的感覺，是正常的。你的心思不在感情生活上，因為會有人際雜事在干擾你，讓你只想解決小人是非。而且，你今年口舌是非多，也是因為你嘴巴容易講出令人不中聽的說話，而得罪人，為反對而反對，故意想歪講歪理。而且，容易做錯決定，衝動分手，其實你只是害怕面對人際關係，包括愛情。
而且，在你的命盤有，嚴重的流年不利影響，輕則小人是非陷害你，嚴重會有意外之災，建議今年先自保破解命盤不利，多於求感情。
今年對你來說，會比較反反覆覆，要多照顧自己的情緒，要「愛情療癒組合」提升自己的正能量，不然最後你的狀況太差，你會親手摧毀自己的愛情，他受不了你，而失去他。</t>
  </si>
  <si>
    <t>你身強走印</t>
  </si>
  <si>
    <t>你2024年則會有比較多人在身邊，但他們說話很多，沒一個可以幫上你，也有可能幫倒忙。所以，2024會人來人往，還是多注意一下，小心被扯後腿而不自知。貴人來，但能幫上的不多，這就是叫假貴人。假貴人來了，就要收拾爛攤子，所以目前你也沒有太大心思經營感情。也有一種防範人的心態，步步小心為營，小心看人。而且，你會對愛情比較有幻想，以為一切美好，到後來才發現只是一直以來的想像的。</t>
  </si>
  <si>
    <t>他走印</t>
  </si>
  <si>
    <t>他2024年則會有比較多人在身邊，但他們說話很多，沒一個可以幫上他，也有可能幫倒忙。所以，2024會人來人往，還是多注意一下，小心被扯後腿而不自知。貴人來，但能幫上的不多，這就是叫假貴人。假貴人來了，就要收拾爛攤子，所以目前他也沒有太大心思經營感情。也有一種防範人的心態，步步小心為營，小心看人。</t>
  </si>
  <si>
    <t>你身弱走印</t>
  </si>
  <si>
    <t>你2024年走貴人年，意思是做事情會有人幫忙，有求於人都會答應你，也可以說是會有姻緣貴人出現，所以，想撮合感情建議請別人幫忙代你開口，或是請朋友同事幫你們製造機會。如果不想麻煩別人，而事事靠自己，則不成功，甚至於失敗。再加上，今年你的想法比較不切實際，只想著而不行動，會更顯得被動，所以才需要請別人幫忙。</t>
  </si>
  <si>
    <t>配偶走財</t>
  </si>
  <si>
    <t>他2024走桃花運，代表他這年人緣多，也容易色心起，或是一時意亂情迷就出軌。2024會更明顯，會比較想要找外面的第三者。要注意他的精神狀況及健康情況，因為越衰弱越容易想歪、做錯事。（他親手摧毀自己的愛情，或是他有更喜歡的人出現，就會馬上甩開你）。同時，他也在重新思考你是不是他想要的情人、認真思考你跟他有沒有未來、他想不想扛起你這個人的責任。如果，他想清楚後，認為你「不值得」，他也是會果斷分手。</t>
  </si>
  <si>
    <t>曖昧走財</t>
  </si>
  <si>
    <t>他2024走正緣運，代表他在這年交往的情人就是他的正緣，他身邊人緣也變多，如果在他走正緣年也沒有跟你在一起，就要小心他其實心有其他人，或是他還是覺得你不適合他，才遲遲沒有開口確認關係。正緣年，會在他的潛意識當中，會挑選適合他而他愛的人，但是如果在這一年，一切什麼都沒有發生，也代表，他沒選擇你，他還在等待「符合他心目中最喜歡」的正緣。</t>
  </si>
  <si>
    <t>前任走財</t>
  </si>
  <si>
    <t>他2024走正緣運，代表他在這2年交往的情人就是他的正緣，他身邊人緣也變多，如果在他走正緣年分手，就要小心他其實心有其他人，或是代表他還是覺得你不適合他，才會在這一年吵架分手。正緣年，會在他的潛意識當中，會挑選適合他而他愛的人，但是如果在這一年，是分手狀態，也代表，他沒選擇你，發現原來你不是他最愛的那位，他還在等待「符合他心目中最喜歡」的正緣。</t>
  </si>
  <si>
    <t>小三走財</t>
  </si>
  <si>
    <t>他2024走財運，同時也是桃花運，代表他這2年異性緣多，也容易色心起，突然想要更多異性，會想要交往。明年會比較收心養性，疼愛正宮，也會因為把正宮放在第一位，而放棄外面的森林，全情投入戀愛中，是他疼伴侶最明顯的一年。如果，他沒有呈現這個狀態，就要注意你社交是否正常，會不會有所隱瞞，有機會發現原來自己不是他最愛的那位。</t>
  </si>
  <si>
    <t>走財關鍵</t>
  </si>
  <si>
    <t>今年，是非常關鍵的一年，因為他走桃花運，如果你一直保持低能量的狀態，他覺得跟你在一起不舒服，容易萌生「說不定其他人會讓我更快樂」的比較。你的能量越低，他越容易「思考清楚後，確定你不是他想要的伴侶」，所以，你必須要做「雙人牽線療癒組合」提升自己的正能量，不然最後你們兩個狀況太差，還是會失去彼此。</t>
  </si>
  <si>
    <t>你走財</t>
  </si>
  <si>
    <t>你在2024 只顧著賺錢，腦袋在意錢，也對金錢比較敏感，用多用少錢也變得很在乎，狀況不好就會追著錢跑，也會淘大錢，也容易卷入錢財糾紛。2025花費會比較大，愛花就花，傾向花費在玩樂、享受物質上。2024會講求實際，也可能會換到一份收入較高的工作，或加薪。會想努力認真工作，變得想要求穩定。所以，你對愛情沒有太大的慾望，除非對象有物質或金錢上的誘因，否則建議你還是好好地專注賺錢，而不是戀愛腦 。</t>
  </si>
  <si>
    <t>雙方注意爛桃花</t>
  </si>
  <si>
    <t>今年雙方注意爛桃花（小人也是指 自己、對象、家人朋友及其他阻礙你感情的所有人，自己也會扯自己後腿，對象也會做錯決定，家人也會不理性地反對，等等。）</t>
  </si>
  <si>
    <t>流年（官殺）</t>
  </si>
  <si>
    <t>交往走正官</t>
  </si>
  <si>
    <t>在2024期間，你會很在意他的一舉一動，會很細心留他的行為動作有沒有異樣，會管得他比較嚴格，或是對於他的事情你會很敏感，反應過度。所以，你們感情投入度會有所差別，是正常的，因為流年運勢的磁場會影響你的想法、心態、行為。你也會管得他比較嚴格，你自己會不自覺，但是對方卻會有明顯的束縛感，你今年會顯得比較緊張，緊張他所有事情，你的存在是他無形的壓力，容易讓他喘不過氣而心累。他受不了，就會跟你分手。同時，會有莫名其妙的壓力，諸事不順，心情或好運有被壓制的感覺。</t>
  </si>
  <si>
    <t>你重新審視愛情</t>
  </si>
  <si>
    <t>同時，你會重新審視自己的愛情，審視目前的感情是否真的想要或適合，如果本來就對現任沒有太大的喜歡，很大機會在今年正緣年裡渴望想要一段真真正正的姻緣。</t>
  </si>
  <si>
    <t>曖昧七殺</t>
  </si>
  <si>
    <t>在2024期間，你會比較在意他的一舉一動，會很細心留他的行為動作有沒有異樣，或是對於他的事情你會很敏感，反應過度。你會很在意他的一舉一動，你會比較在意他對你的行為，你自己會不自覺，但是對方卻會有明顯的束縛感，也會有無形的壓力，你今年會顯得比較緊張，緊張他所有事情，容易讓他喘不過氣而心累。同時，對方會因為你的無理、壓迫、脾氣、情緒，而選擇跟你分手！所以，不要把自己的不爽強加於他身上，否則你只會親手摧毀自己的愛情！另外，你今年狀態比較差，如果沒有固定做桃花供，提升個人正能量，就會容易「告白失敗」「別人不喜歡你」的感情狀況及「發生意外、有動刀手術、血災」。</t>
  </si>
  <si>
    <t>分手走七殺</t>
  </si>
  <si>
    <t>你在2024期間，你會很在意他的一舉一動，會管得他比較嚴格，你自己會不自覺，但是對方卻會有明顯的束縛感，你今年會顯得比較緊張，緊張他所有事情，容易讓他喘不過氣而心累。你的愛對他來說太多了！多到他已經是一種不舒服的壓力，你就是他壓力的來源，所以，他為了讓自己生活開心一些，選擇放棄你。有另一個說法就是，你如果沒有做好保護自己，容易被流年不利磁場影響，當你一時運勢低迷時，也沒預防及避免凶災，就會容易「被分手」的感情狀況 及「發生意外、有動刀手術、血災」。</t>
  </si>
  <si>
    <t>出軌先殺後官</t>
  </si>
  <si>
    <t>你2024走正緣運，代表你在這年間容易遇到自己喜歡又覺得適合的伴侶。你會重新審視自己的愛情，審視目前的感情是否真的想要或適合，如果本來就對現任沒有太大的喜歡，很大機會在正緣年裡渴望想要一段真真正正的姻緣。而去年是爛桃花年，所以，去年比較大機會衝動行事，會突破自己的心理關口，喜歡就喜歡，而來到今年，遇到個喜歡的，就會容易暈船，希望能有一段屬於自己的姻緣。</t>
  </si>
  <si>
    <t>曖昧先殺後官</t>
  </si>
  <si>
    <t>你2024走正緣運，代表你在這年間容易遇到自己喜歡又覺得適合的伴侶。而去年是爛桃花年，所以，去年比較大機會衝動行事，會突破自己的心理關口，喜歡就喜歡，而來到今年，遇到個喜歡的，就會容易暈船，希望能有一段屬於自己的姻緣。如果，你已經遇到一位你喜歡又覺得適合的人，請把握做「愛情療癒組合」，你告白的話，成功率會很高。若維持原況去等待他開口，只會錯失姻緣。</t>
  </si>
  <si>
    <t>未婚走官</t>
  </si>
  <si>
    <t>在2024期間，你會比較在意伴侶，會很細心留他的行為動作有沒有異樣，或是對於他的事情你會很敏感，反應過度。同時，也是你的正緣運，意思就是有機會結婚或同居。去年，壓力會比較大，諸事不順，心情或好運有被壓制的感覺。今年會比較好一些，感情運會更放鬆舒服。</t>
  </si>
  <si>
    <t>他傷官見官</t>
  </si>
  <si>
    <t>他在2024年期間，會過得比較吃力一些，上司給壓力，工作職場可能多麻煩事，所以他的心思都放在工作，無暇顧及戀情。2024，他命盤跟流年產生了凶相，他容易招惹是非官司，或者是會有意外流血的事件發生，也會多了一份拚勁在工作上，所以，他會寧願選擇去闖事業或應酬，時間會分配不過來，沒辦把心思都放在經營感情上。這一年，特別容易想分手，他想清靜自己的耳朵，對感情方面選擇逃避、冷戰、冷暴力、甚至是直接生氣/情緒起伏大而喊分手離婚。</t>
  </si>
  <si>
    <t>他走官</t>
  </si>
  <si>
    <t>他在2024年期間，他是走事業運，正值事業高峰期，會過得比較吃力一些，上司給壓力，工作職場可能多麻煩事，所以他的心思都放在工作，無暇顧及戀情。2024，他會多了一份拚勁在工作上，所以，他會寧願選擇去闖事業或應酬，時間會分配不過來，沒辦把心思都放在經營感情上。這一年，特別容易想分手，他想清靜自己的耳朵，對感情方面選擇逃避、冷戰、冷暴力、甚至是直接生氣/情緒起伏大而喊分手。</t>
  </si>
  <si>
    <t>他走殺</t>
  </si>
  <si>
    <t>他在2024年期間，會過得比較吃力一些，上司給壓力，工作職場可能多麻煩事，所以他的心思都放在工作，無暇顧及戀情。2024，他容易招惹是非官司，或者是會有意外流血的事件發生，也會多了一份拚勁在工作上，所以，他會寧願選擇去闖事業或應酬，時間會分配不過來，沒辦把心思都放在經營感情上。這一年，特別容易想分手，他想清靜自己的耳朵，對感情方面選擇逃避、冷戰、冷暴力、甚至是直接生氣/情緒起伏大而喊分手離婚。
所以，他基本上這年都在處理麻煩事，沒心情經營感情，所以他走這年會特別容易喊分手，他寧願少一件事煩他，也不要每次對著你只想到煩惱。他在這年裡，會選擇逃避。
今年對他來說，會比較反反覆覆，你要多關心他的情緒，少出一張嘴。他都已經對生活充滿著煩惱跟壓力，你還要求他愛你滿足你？這樣對他很不公平，難怪他想放棄你！不想逼走他，你更要做「愛情療癒組合」提升自己的正能量，不然最後你們兩個狀況太差還是會失去彼此。</t>
  </si>
  <si>
    <t>流年（食傷）</t>
  </si>
  <si>
    <t>你走食傷</t>
  </si>
  <si>
    <t>你在2024期間，會被追求完美挑剔得更嚴重，心受挫敗，而情緒不穩，起伏大，想法偏向悲觀。你在這年很容易胡思亂想，磁場太混亂，所以你會把煩惱、痛苦、壓力都發洩到他身上。
你今年負面影響太多，他比較不想要面對你，想逃避你，你讓他不舒服，所以你會被分手多。或是，你負面想法太多，太痛苦了，想要擺脫，也會想跟他分手，堅持不下去，實在太難受了。其實你只是受磁場影響，你是很需要稱讚，想要被認同，你想把事情做好，卻又容易搞砸。另外，就是職場上，充實人際是非煩惱，對工作也比較沒有心思，容易與上司、高層、公司抱有不滿意或頂撞，對外抱怨上司公司。說話也不好聽，字句中帶諷刺，容易傷害別人，而不自知。造成這個惡的循環：自己內心悲觀，心情不好而不自知地得罪人，吸引是非煩惱來針對你，生活更壓抑，最後讓自己陷入痛苦中。</t>
  </si>
  <si>
    <t>他走食傷</t>
  </si>
  <si>
    <t>他在2024期間，會被追求完美挑剔得更嚴重，心受挫敗，而情緒不穩，起伏大，想法偏向悲觀。其實受磁場影響，他是很需要稱讚，想要被認同，他想把事情做好，卻又容易搞砸。這年，就是人際是非煩惱，對工作也比較沒有心思，容易與上司、高層、公司抱有不滿意或頂撞，對外抱怨上司公司。說話也不好聽，字句中帶諷刺，容易傷害別人，而不自知。而且，今年負面影響太多，會分手多。
所以，他基本上這年都在處理麻煩事，沒心情經營感情，所以通常他走這年會特別容易喊分手，他寧願少一件事煩他，也不要每次對著你只想到煩惱。他在這年裡，會選擇逃避。
今年對他來說，會比較反反覆覆，你要多關心他的情緒，少出一張嘴。他都已經對生活充滿著煩惱跟壓力，你還要求他愛你滿足你？這樣對他很不公平，難怪他想放棄你！不想逼走他，你更要做「愛情療癒組合」提升自己的正能量，不然最後你們兩個狀況太差還是會失去彼此。</t>
  </si>
  <si>
    <t>今年對你來說</t>
  </si>
  <si>
    <t>今年對你來說，情緒及糟遇會比較反反覆覆，你更要做「愛情療癒組合」提升自己的正能量，不然就算再愛你也會被你的負能量影響，而感到厭惡，再愛你，也會想離開你。</t>
  </si>
  <si>
    <t>今年對你們來說</t>
  </si>
  <si>
    <t>今年對你們來說，會比較反反覆覆，你要多理諒他的情緒，少出一張嘴。他都已經對生活充滿著煩惱跟壓力，你還要求他愛你滿足你？這樣對他很不公平，難怪他想放棄你！你更要做「愛情療癒組合」提升自己的正能量，不然就算再愛你也會被你的負能量影響，而感到厭惡，再愛你，也會想離開你。最後，你們兩個狀況太差還是會失去彼此。</t>
  </si>
  <si>
    <t>再加上你的抱怨</t>
  </si>
  <si>
    <t>所以，再加上你的抱怨、碎碎念，他會感受更深。你愛他的方式不對，你希望他做好，但其實沒必要把標準套在他身上，他只會變得越來越冷淡，他也容易變得不想面對你，寧願出去跟其他人在一起。</t>
  </si>
  <si>
    <t>流年必要</t>
  </si>
  <si>
    <t>流年小三</t>
  </si>
  <si>
    <t>從今年開始，整體流年磁場大方向會多出現感情爆炸，會有很多不能見光的事情會被抓包，所以，在這期間，你會看到以往看不到的「醜事」「隱瞞」「問題點」，會𣊬間爆發。當你發現後，你會很痛苦。所以《愛情療癒組合》會讓你修復自己跟愛情的缺口，會更堅定地面對一切。你需要的是一份「解決問題的勇氣」。
每年看「流年運勢」很重要，要催吉避凶，才能順順利利。</t>
  </si>
  <si>
    <t>流年桃花狀況</t>
  </si>
  <si>
    <t>從今年開始，整體流年磁場大方向會多出現感情爆炸，感情容易不夠堅定而出現意外狀況，例如建立炮友關係，卻不答應交往，對方多有備胎（情敵），自己暈船後對方冷處理，嚴重會斷聯。
每年看「流年運勢」很重要，要催吉避凶，才能順順利利。</t>
  </si>
  <si>
    <t>關係</t>
  </si>
  <si>
    <t>你以他為優先</t>
  </si>
  <si>
    <t>而你，則是事事以他為優先，所以，你都比較遷就他，聽他的意見，他提出的想法，你都會接受，或跟著做。久而久之，你的在愛情的地位權力會不平衡，事事都是他作主，他會有沒有尊重你的狀況，及忽略你的需求。</t>
  </si>
  <si>
    <t>事事以你為先</t>
  </si>
  <si>
    <t>而他，則是事事以你為優先，所以，他都比較遷就你，聽你的意見，你提出的想法，他都會接受，或跟著做。久而久之，他的在愛情的地位權力會不平衡，事事都是你作主，你會有沒有尊重他的狀況，及忽略他的需求。
同時，他都比較遷就你，聽你的意見，你提出的想法，他都會接受，或跟著做。久而久之，他的在愛情的地位權力會不平衡，事事都是你作主，會有沒有尊重他的狀況，及忽略他的需求。</t>
  </si>
  <si>
    <t>你們會以對方為優先</t>
  </si>
  <si>
    <t>在你們的關係中，你們會以對方為優先，會排在家人跟朋友之前，所以，你們是真的在乎彼此的感受、想法、意見，你們盡可能滿足對方。所以，看起來很棒，但是，卻會存在一個問題，就是，你們容易把需求悶在心裡，不敢表達，最終錯過了表達的機會，造成誤會。你們沒有主見的時候，反而會更看重對方的感受，常常「以為對方不要了」，長久下來，各種胡思亂想，都會侵蝕你們的愛。</t>
  </si>
  <si>
    <t>你們無所謂</t>
  </si>
  <si>
    <t>在你們的關係中，你們都會有「無所謂」的態度，誰比較有主見就聽誰說，有時候家人朋友比較有意見或要求時，就會跟著他們的要求去做，所以，會忽略到對方的感受，覺得沒有被重視。長久下來，會覺得對方沒把自己說的話放在心上，會心裡委屈跟難受。所以，你們彼此都沒有把對方放在考量當中，會很容易產生誤會或吵架，造成誤解，其實都是「不被重視、委屈、受不了」。</t>
  </si>
  <si>
    <t>他無所謂</t>
  </si>
  <si>
    <t>而他，都會有「無所謂」的態度，誰比較有主見就聽誰說，有時候家人朋友比較有意見或要求時，他就會跟著他們的要求去做，所以，他會忽略到你的感受，你覺得沒有被重視。長久下來，你會覺得他沒把自己說的話放在心上，你會心裡委屈跟難受。所以，你們彼此都沒有把對方放在考量當中，會很容易產生誤會或吵架，造成誤解，其實都是「不被重視、委屈、受不了」。</t>
  </si>
  <si>
    <t>你無所謂</t>
  </si>
  <si>
    <t>而你，都會有「無所謂」的態度，誰比較有主見就聽誰說，有時候家人朋友比較有意見或要求時，你就會跟著他們的要求去做，所以，你會忽略到他的感受，他覺得沒有被重視。長久下來，他會覺得你沒把自己說的話放在心上，他會心裡委屈跟難受。所以，你們彼此都沒有把對方放在考量當中，會很容易產生誤會或吵架，造成誤解，其實都是「不被重視、委屈、受不了」。</t>
  </si>
  <si>
    <t>分手你們家人</t>
  </si>
  <si>
    <t>在你們的關係中，你們會以家人為優先，意思就是說你們做的決定，都是以家人的意見為考量，如果，他家人在你背後表示不喜歡你，或是對你有微言，他也有很大機會果斷不要你，或是默默對你冷漠。如果，他的新對象比較討他家人歡心，也很大機會，你地位不保，復合更難。所以，要復合請先討好他家人，你的地位才會提升，他家人幫你說話，他也會比較聽得進去。</t>
  </si>
  <si>
    <t>交往他家人</t>
  </si>
  <si>
    <t>在你們的關係中，他會顯得比較重視家人，會以家人的意見為優先考量，再去做決定。然後，他把你放在他的家人之後，所以，事事會先聽家人的話，才再考慮你的感受。如果，他家人在你背後表示不喜歡你，或是對你有微言，他也有很大機會果斷不要你，或是默默對你冷漠。如果，他的新對象比較討他家人歡心，也很大機會，你地位不保。所以，要復合請先討好他家人，你的地位才會提升，他家人幫你說話，他也會比較聽得進去。</t>
  </si>
  <si>
    <t>小三他家人</t>
  </si>
  <si>
    <t>在你們的關係中，他會以家人為優先，意思就是說他做的決定，都是以家人的意見為考量，如果，他的家人是比較喜歡原配，始終會離開小三，因為家人的肯定是非常重要，即使自己已經不喜歡原配，也會非常重視家人的認同。也就是說，他也沒有到太喜歡到要為了小三而反抗家人。</t>
  </si>
  <si>
    <t>你家人</t>
  </si>
  <si>
    <t>在你們的關係中，你會顯得比較重視家人，以家人為優先考量，意思就是你會先想再到家人的意見或需求，再去做決定。所以，你們之間可能也存在著，你不重視他的問題，他的感受可能因此而有所失望。也有可能是，你們也沒有共識，他也無可奈何，不知道怎麼處理。</t>
  </si>
  <si>
    <t>你們工作</t>
  </si>
  <si>
    <t>在你們的關係中，你們會以工作為優先，意思就是說你們做的決定，都是以工作的安排為考量，所以互相容易卡在事業跟愛情兩邊選擇，當一方有空想顧及感情時，另一方就會投入工作，所以常常會因為工作而忽略對方的感情需求，長期下來，容易會因為冷淡而分開。</t>
  </si>
  <si>
    <t>你工作</t>
  </si>
  <si>
    <t>在你們的關係中，你會顯得以工作為優先，意思就是說你們做的決定，都是以工作的安排為考量，所以互相容易卡在事業跟愛情兩邊選擇，當一方有空想顧及感情時，另一方就會投入工作，所以常常會因為工作而忽略對方的感情需求，長期下來，容易會因為冷淡而分開。
所以，你們之間可能也存在著，你不重視他的問題，他的感受可能因此而有所失望。也有可能是，你們也沒有共識，他也無可奈何，不知道怎麼處理。</t>
  </si>
  <si>
    <t>他工作</t>
  </si>
  <si>
    <t>在你們的關係中，他會顯得以工作為優先，意思就是說他做的決定，都是以工作的安排為考量，所以互相容易卡在事業跟愛情兩邊選擇，當一方有空想顧及感情時，另一方就會投入工作，所以常常會因為工作而忽略對方的感情需求，長期下來，容易會因為冷淡而分開。</t>
  </si>
  <si>
    <t>你們朋友</t>
  </si>
  <si>
    <t>在你們的關係中，你們會重視朋友，所以你們也會只聽朋友的意見，也不見得會聽對方的建議，所以，平常就有會，雙方沒把對方放在眼內，或不跟對方商量的自把自為的情況出現。</t>
  </si>
  <si>
    <t>他愛自己</t>
  </si>
  <si>
    <t>在你們的關係中，他會顯得比較愛自己，以自己為優先考量，意思就是他會先想再到自己的需求，再去做決定。而你，則是事事以他為優先，所以，你都比較遷就他，聽他的意見，他提出的想法，你都會接受，或跟著做。久而久之，你的在愛情的地位權力會不平衡，事事都是他作主，會有沒有尊重你的狀況，及忽略你的需求。</t>
  </si>
  <si>
    <t>他愛自己又重朋友</t>
  </si>
  <si>
    <t>在你們的關係中，他會顯得比較愛自己，以自己為優先考量，意思就是他會先想再到自己的需求，再去做決定。然後，他重視朋友，所以他也會只聽朋友的意見，也不見得會聽你的建議，所以，平常就有會，他沒把你放在眼內，或不跟你商量的自把自為的情況出現。</t>
  </si>
  <si>
    <t>你愛自己</t>
  </si>
  <si>
    <t>在你們的關係中，你會顯得比較愛自己，以自己為優先考量，意思就是你會先想再到自己的需求，再去做決定。所以，你們之間可能也存在著，你不重視他的問題，他的感受可能因此而有所失望。也有可能是，你們也沒有共識，他也無可奈何，不知道怎麼處理。</t>
  </si>
  <si>
    <t>你們愛自己</t>
  </si>
  <si>
    <t>在你們的關係中，你們會顯得比較愛自己，以自己為優先考量，意思就是你們會先想再到自己的需求，再去做決定。你們都是顧自己的感情及處境，忽略了彼此的需求及情緒，簡單來說就是眼中也沒有對方，只想要自己的想要的。所以，你們之間可能也存在著，你們不重視彼此的問題，你們的感受可能因此而有所失望。也有可能是，你們也沒有共識，雙方也無可奈何，不知道怎麼處理。
所以，你們彼此都沒有把對方放在考量當中，會很容易產生誤會或吵架，造成誤解，不重視對方的問題。</t>
  </si>
  <si>
    <t>各有重視</t>
  </si>
  <si>
    <t>在你們的關係裡，你會先以他作考量因素，意思就是說你做的決定，都是家人及他的感受去衡量。而他，則是會先以自己的感受為優先考量。做決定前，都是先看自己想不想做，而不是考慮你喜不喜歡。所以，你們之間可能也存在著，你們不重視彼此的問題，你們的感受可能因此而有所失望。也有可能是，你們也沒有共識，雙方也無可奈何，不知道怎麼處理。
所以，你們彼此都沒有把對方放在考量當中，會很容易產生誤會或吵架，造成誤解，不重視對方的問題。</t>
  </si>
  <si>
    <t>合盤</t>
  </si>
  <si>
    <t>你單一</t>
  </si>
  <si>
    <t>你對伴侶的要求也比較簡單，代表你少有要求伴侶，能遇上就會喜歡。但是，也是代表著，你看對方身上的缺點會比較多，會較不包容對方的做法及想法。</t>
  </si>
  <si>
    <t>非君不嫁</t>
  </si>
  <si>
    <t>在合盤看來，其實你也沒有對他有「非君不嫁」的感覺，只是在想要戀愛時，剛好遇上他，愛情的火花很快就熄滅。</t>
  </si>
  <si>
    <t>分手認定他</t>
  </si>
  <si>
    <t>在合盤看來，你有一種認定他的念頭，你很喜歡他，而且是不能自拔的地步，要你放棄他，找下一個，可能也需要一段時間去釋懷。難得遇上一個這麼喜歡的人，不想就此放手。我相信你，還是想拚一次，至少再努力一次。</t>
  </si>
  <si>
    <t>交往正緣</t>
  </si>
  <si>
    <t>在合盤看來，我知道你很喜歡他，但是如果，你不懂得用對方法跟他相處，不懂得讓他開心、也不懂滿足他的心靈需求，即使他再喜歡你，也會因為長期的不愉快，而果斷放棄你！不要以為正緣，就是一輩子！</t>
  </si>
  <si>
    <t>他懂得欣賞你的特質</t>
  </si>
  <si>
    <t>在合盤看來，他懂得欣賞你的特質，就算在一起後，他也會比較能包容及接受你，也是代表著，即使面臨情關，他也會比較願意跟你一起渡過，比較不容易放棄，能不能走到終點站，就看你們的福報了。他跟你非常有緣份，更需要做《雙人牽線療癒》讓他更清醒，更快發現你是他的正緣，成功率都很高！只看你對他的愛堅不堅定。</t>
  </si>
  <si>
    <t>你對價值觀</t>
  </si>
  <si>
    <t>在合盤看來，你對感情的價值觀，比較像是他的想法。所以，你們聊天會對上頻率，「對對對，我也這是這麼覺得。」「我也是這樣想」。所以，你們深入聊天時，特別能講出自己的感受或想法。這種合盤，就是一拍即合，走好運時，運勢推你一把，很快就會擦出火花走在一起了。</t>
  </si>
  <si>
    <t>介意他的缺點</t>
  </si>
  <si>
    <t>在合盤看來，你會介意他的缺點，深入相處後，會開始對他的缺點不耐煩，自己對他的喜歡感會被缺點磨光。如果遇到不愉快的事情或吵架，就會顯得不耐煩，特別容易不想跟他在一起。</t>
  </si>
  <si>
    <t>他對價值觀</t>
  </si>
  <si>
    <t>在合盤看來，他對感情的價值觀，比較像是你的想法。所以，你們聊天會對上頻率，「對對對，我也這是這麼覺得。」「我也是這樣想」。所以，你們深入聊天時，特別能講出自己的感受或想法。這種合盤，就是一拍即合，走好運時，運勢推你一把，很快就會擦出火花走在一起了。</t>
  </si>
  <si>
    <t>介意你的缺點</t>
  </si>
  <si>
    <t>在合盤看來，他會介意你的缺點，交往後，會開始對你的缺點不耐煩，自己對你的喜歡感會被缺點磨光，吵架時，會顯得不耐煩，特別容易不想跟你在一起。</t>
  </si>
  <si>
    <t>你們價值觀</t>
  </si>
  <si>
    <t>在合盤看來，你們對感情的價值觀，比較像是彼此的想法。所以，你們聊天會對上頻率，「對對對，我也這是這麼覺得。」「我也是這樣想」。所以，你們深入聊天時，特別能講出自己的感受或想法。這種合盤，就是一拍即合，走好運時，運勢推你一把，很快就會擦出火花走在一起了。</t>
  </si>
  <si>
    <t>你們單一</t>
  </si>
  <si>
    <t>你們對伴侶的要求也比較簡單，代表你們少有要求伴侶，能遇上就會喜歡。但是，也是代表著，你看對方身上的缺點會比較多，會較不包容對方的做法及想法。</t>
  </si>
  <si>
    <t>他單一</t>
  </si>
  <si>
    <t>他擇偶條件也比較簡單，代表他少有要求伴侶，能遇上就會喜歡。但是，也是代表著，他看你身上的缺點會比較多，會較不包容對方的做法及想法。</t>
  </si>
  <si>
    <t>他也不一定只要你</t>
  </si>
  <si>
    <t>所以，他也不一定只要你，他還有其他更適合他條件的情人，所以，每次你跟他發生不愉快的對話時，他都會更肯定「你是不適合做他情侶」「你不是他想要的情人」的想法，所以不要以為無理取鬧或過度控制，就以為威脅他更愛你，其實是反效果。只會讓他更確定分開是最明智的抉擇，跟你交往才是最痛苦的悲劇。</t>
  </si>
  <si>
    <t>只有責任跟習慣</t>
  </si>
  <si>
    <t>在合盤看來，他想要的你卻沒辦法給予他，很多時候他有提出，但是不見得你聽得進去，最後也沒辦法滿足他。所以，他整個人就沒有繼續走下去的動力，覺得未來沒希望，對愛情沒有期盼。久而久之，留下來的都只有責任跟習慣，並不是愛情。一段關係，都是從愛情 升華 到 感情。但是，你們目前就是只有「習慣」綁住你們。</t>
  </si>
  <si>
    <t>逢場作興</t>
  </si>
  <si>
    <t>在合盤看來，他其實也不是真的喜歡你，只是「人」來了，加減逢場作興一下，很快就會找到下一個喜歡的人，或是熱情過後（玩膩了）就對你冷淡，不疼惜你。</t>
  </si>
  <si>
    <t>在合盤看來，你們之間比較沒有緣份，代表他也喜歡你，但是喜歡也不一定會馬上就提出交往，因為他生性喜歡曖昧，遇上了也不會定性，還沒玩夠，以為再找就再有。這也是我們常常聽到的「對的人，錯的時間」。</t>
  </si>
  <si>
    <t>不會放棄新情人</t>
  </si>
  <si>
    <t>在合盤看來，你們之間比較沒有緣份，代表他也喜歡你，但是不至於為了跟你復合而放棄新情人，畢竟對新情人的熱戀期新鮮感，還是會讓他有所期待。</t>
  </si>
  <si>
    <t>曖昧正緣年</t>
  </si>
  <si>
    <t>在合盤看來，你們之間比較沒有緣份，但是他其實喜歡你，但是喜歡也不一定會馬上就提出交往，因為他正在走正緣年，他還在選擇他喜歡的情人，或是正在跟其他人曖昧，或是留戀心中那一位最愛。</t>
  </si>
  <si>
    <t>十神</t>
  </si>
  <si>
    <t>正官-他欣賞</t>
  </si>
  <si>
    <t>他欣賞你很有分寸，妥善處理，跟你相處也表現得有規律守規矩，是個理智的人，對於他的事凡事不馬虎，也講求信用，讓他有安全感，你是個值得信任的人。跟你生活的話，你會打理得有條理，對事也有責任感。他欣賞你的自律，事業上有執行力，有企圖心，也能專注事業，做人安守本份，不背道而馳。他也很喜歡你的愛屋及屋的態度，對他來說，你是他優秀的賢內助，也是不會讓他操心的最佳伴侶。</t>
  </si>
  <si>
    <t>正官-他希望</t>
  </si>
  <si>
    <t>他希望你對事業會有一番見解，穩定發展更好，能更自律一些更好，也希望你在事業上多點執行力，多點企圖心往上爬，能專注事業，更安守本份更好。他也希望你做人多一點擔當，也希望你多一點負責感，不要馬虎做事。為人也要有原則，不要善變。他希望你安安份份做好自己的事情，不要任何事都問他吵他，他會很沒耐煩。</t>
  </si>
  <si>
    <t>正官-但是你</t>
  </si>
  <si>
    <t>但是，你有時候會愛面子，太過重視地位或事業心重，太有自己的原則或規距，一板一眼，不太變通，寧願選擇穩定安全的方向去走，所以也會有優柔寡斷的一面。同時，你的責任感過於強烈，而把伴侶看得太重要，忽略了愛情的空間，讓他喘不過氣，更害怕跟你生活在一起。</t>
  </si>
  <si>
    <t>正官-你欣賞</t>
  </si>
  <si>
    <t>你欣賞他為人正直，做事有規律守規矩，你們可以理性溝通，對你的事情也都不馬虎，對你也很講求信用，生活有條理，對這段感情或你也比較有責任心。他對事業有自己的見解，認為要有穩定工作是重要跟理想的，要有穩定工作，每個月都安定。他給你一種安穩的安全感，你期待著給你該有的滿足，也喜歡他是一個有擔當的人。</t>
  </si>
  <si>
    <t>正官-你希望</t>
  </si>
  <si>
    <t>你希望他處理事情更有條理，對你對這段感情多一些責任感，事業多點企圖心，積極去爭取更多回來，也希望他對你多一些愛你的行動，積極實現你們之間的口頭承諾。對事業有見解是非常吸引你，他的事業能夠穩定發展更好，能更自律一些更好，也希望他在事業上多點執行力，多點企圖心往上爬，多專注事業，安守本份更好。同時，你希望他把重心放在你身上，表現得更愛你多一些。</t>
  </si>
  <si>
    <t>正官-但是他</t>
  </si>
  <si>
    <t>但是，他有時候會愛面子，太過重視地位或事業心重，太有自己的原則或規距，不太變通，寧願選擇穩定安全的方向去走，所以也會有優柔寡斷的一面。</t>
  </si>
  <si>
    <t>七殺-他欣賞</t>
  </si>
  <si>
    <t>他欣賞你是個有責任感的人，會盡責完成去完成，對工作上的事情特別很有責任感，同事或上司有求於你，你會盡力去完成。對事情有衝勁，爭強好勝，勇敢果斷，智略明敏，也具有主導的魅力。不輕易妥協認輸，有勇氣承擔責任，喜歡去改革創新，爭取自己的權益，說到做到。同時，他喜歡你你能給他更多激情的舉動，帶點狂野，床上的霸道他最愛。</t>
  </si>
  <si>
    <t>七殺-他希望</t>
  </si>
  <si>
    <t>他希望你能夠更有衝勁一些，想做就去做，果斷更好，做人要有責任心，一句不要就不要沒交帶，事業上要更有野心，更有力量，更有上進心。他也希望你能給他更多激情的舉動，帶點狂野沒關係，越刺激越好，他的情慾喜歡新鮮又帶有曖昧，床上的霸道他最愛。但是，如果你沒辦法滿足他的情慾，他容易一時的衝動，而出軌外遇，他控制不了誘惑。因為對他來說，你很無聊，外面的花花世界能激起他慾望。</t>
  </si>
  <si>
    <t>七殺-但是你</t>
  </si>
  <si>
    <t>但是，你卻常常讓他有壓迫感，做事比較衝動，也不服輸，競爭意識強烈，一旦對現狀不滿，就會希望一下子使情況好轉起來訴諸行動，所以你做事變動會很大，也很在乎面子，讓他不知道你這樣做到底對不對。你也常常導致情緒的喜怒無常，陰晴不定。尤其是，你好勝心強，有時候，會常常要吵贏而變得很暴躁，生氣他是想要他聽你的，但是對他來說，很有壓迫感，會不敢跟你分享，或是不敢跟你有再多的互動。</t>
  </si>
  <si>
    <t>七殺-你欣賞</t>
  </si>
  <si>
    <t>你喜歡他為人個性獨立，志得意滿，自尊心強，對事業有企圖心，有野心，有威嚴，做事有衝勁，直爽，對事業會有一番見解，覺得想做就去做，不需要顧慮太多。同時，他能給你更多激情的舉動，帶點狂野，他給你山盟海誓，說到做到，你渴望成為他的唯一，有些事情只允許對你做過。</t>
  </si>
  <si>
    <t>七殺-你希望</t>
  </si>
  <si>
    <t>你希望他在生活上能夠更有衝勁一些，想做就去做，果斷更好，對你的事情更有責任心，不能一句不要就不要沒交帶。你希望他在事業上表現得更有野心及企圖心。也希望他能給你更多激情的舉動，帶點狂野沒關係，也希望他給你山盟海誓，要說到做到，只有你是唯一。只對你做過。</t>
  </si>
  <si>
    <t>七殺-但是他</t>
  </si>
  <si>
    <t>但是，他卻顯得對你喜歡發號施令，讓你有壓迫感，做事比較衝動，也不服輸，競爭意識強烈，一旦對現狀不滿，就會希望一下子使情況好轉起來訴諸行動，所以他做事變動會很大，也很在乎面子，讓你不知道你這樣做到底對不對。他也不喜歡聽令於人，所以常常導致情緒的喜怒無常，陰晴不定。尤其是，他好勝心強，所以比較不能忍受失敗的打擊。他的自大，讓你喘不過氣，有想逃脫的感覺。</t>
  </si>
  <si>
    <t>正印-他欣賞</t>
  </si>
  <si>
    <t>他欣賞你有一種對家庭責任感很強的感覺，是個賢妻良母的感覺。而且，他欣賞你對他温柔體貼，而且寬容有耐心，待人友善，就算有爭執也不會耿耿於懷太久，你會盡可能滿足你的想法，包容跟你不一樣的價值觀。你會細心地照顧他，跟你在一起會感到被照顧的感覺，他也喜歡依賴你。他渴望精神交流，你都能滿足他。</t>
  </si>
  <si>
    <t>正印-他希望</t>
  </si>
  <si>
    <t>他希望你對他能夠表現得更寬容一些，處理爭執可以再圓融一些，平常更温柔體貼多一些，對於他的錯誤再多一些耐心，吵架時可以原諒自己。他也會同樣期望你懂得照顧他，成為能讓他依靠而又值得信任的人。他希望你能在生活上多顧及他的情緒，照顧他的需求，他的內心很渴望被關心。雖然在你看來他很不獨立，或是不想自己做他媽媽，但他確實是喜歡這種很有母愛又照顧他的愛人。</t>
  </si>
  <si>
    <t>正印-但是你</t>
  </si>
  <si>
    <t>但是，你過於保守容易產生依賴心，也容易養成怠慢的習慣，想法也比較脫離現實，想法也很固執，不切實際。讓他覺得你根本活在自己的世界裡，你什麼都不說就以為他懂，他對這方面很厭煩厭倦。如果有重大的決定，你很需要聽別人的意見，所以你會習慣被人照顧，會讓他覺得你是一個負擔，或是任何事都要做你的腦，還要幫你打點一切，他會麻煩、累、不耐煩，好想擺脫你這個巨嬰。</t>
  </si>
  <si>
    <t>正印-你欣賞</t>
  </si>
  <si>
    <t>你欣賞他對你温柔體貼，寬容友善，即使吵架也不會耿耿於懷太久，但是，他比較重視精神上的滿足，他會觀察你的價值觀是不是跟他一致。他細心照顧你，在一起會感到被照顧的感覺。你喜歡被他照顧，他也確實做到細心關心你的一面，你享受被他寵著，而他也很有耐心地跟你相處，就算你有時候比較任性一些，他也能夠做到陪伴。如果，你們目前是少聚在一起的話，你會很容易缺乏安全感！如果你繼續被動式原地踏步，你只會被自己的不安摧毀了這段感情。</t>
  </si>
  <si>
    <t>正印-你希望</t>
  </si>
  <si>
    <t>你希望他對你更寬容，處理爭執可以更圓融一些，對你的態度更温柔體貼，花多點耐心在你身上，吵架時可以趕快原諒自己。你也會同樣期望他懂得照顧你，成為能讓你依靠而又值得信任的人。你希望他能夠常常陪伴你，能讓你更依賴他，這就是你想要的安全感。也希望他在任何時候都是以你為先、以你為重，把你寵到心坎去。</t>
  </si>
  <si>
    <t>正印-但是他</t>
  </si>
  <si>
    <t>但是，他過於保守容易產生依賴心，也容易養成怠慢的習慣，想法也比較脫離現實，想法也很固執，不切實際。讓你覺得他根本活在自己的世界裡，他什麼都不說就以為你懂，你對這方面很厭煩厭倦。如果有重大的決定，他很需要聽別人的意見，所以他會習慣被人照顧。在你看來就是依賴心太強，比較沒主見，或是他只是耍任性，只想你慣著他，他就可以為所欲為。</t>
  </si>
  <si>
    <t>P -他欣賞</t>
  </si>
  <si>
    <t>他欣賞你的態度及表現，你會比較有見解，點子多，你也會對他有心思細膩的一面，他欣賞你有自己獨特的興趣。他欣賞你的想法和見解，也敢於分享及表達，總能讓他覺得新奇有趣，他能接受你的想法，也喜歡聽你的表達。他喜歡聽著你的故事，讓他覺得你是一個很特別的情人。你的坦誠相待，也讓他感到安全感。</t>
  </si>
  <si>
    <t>P -他希望</t>
  </si>
  <si>
    <t>他希望你能夠多忍耐情緒，不要發洩在他身上，更懂得察言觀色他的變化，也要懂得看他的臉色，能理解他的需求更好，坦言相對是必要的安全感。他也希望你能夠帶著好奇心去體驗生活，常有獨特的想法讓他驚喜更好，你也需要多發掘比較冷門的興趣跟話題，盡可能引起他的目光。</t>
  </si>
  <si>
    <t>P -但是你</t>
  </si>
  <si>
    <t>但是，你卻是警戒心強，不容易說出真心說話，慣於壓抑感情，喜怒哀樂不形於色。你對感情思緒過度，下定決心後又三心二意，猶豫不決，比較欠缺耐心。心裡只想著把事情盡快處理好，卻往往忽略了其他關鍵因素。同時，你對感情也比較多疑猜忌，會為無聊的事情自尋煩惱，有時候意見不合，就搞自閉。你也會鑽牛角尖，容易自相矛盾且固執和偏激，與他溝通困難，他根本不知道你想要什麼。</t>
  </si>
  <si>
    <t>P -你欣賞</t>
  </si>
  <si>
    <t>你欣賞他對你的表現，他會比較有見解，點子多，他對你也比較心思細膩，他對你的坦誠相待，也讓你感到有安全感，同時，他會有自己喜歡研究的興趣。但是他警戒心強，不容易說出真心說話，慣於壓抑感情，喜怒哀樂不形於色。</t>
  </si>
  <si>
    <t>P -你希望</t>
  </si>
  <si>
    <t>你希望他能夠多忍耐情緒，不要發洩在你身上，更懂得察言觀色你的變化，也要懂得看你的臉色，能理解你的需求更好，坦言相對是必要的安全感。你也希望他能夠帶著好奇心去體驗生活，常有獨特的想法讓你驚喜更好，他也需要多發掘比較冷門的興趣跟話題，盡可能引起你的目光。</t>
  </si>
  <si>
    <t>P -但是他</t>
  </si>
  <si>
    <t>但是，他卻是警戒心強，不容易說出真心說話，慣於壓抑感情，喜怒哀樂不形於色。他對感情思緒過度，下定決心後又三心二意，猶豫不決，比較欠缺耐心。心裡只想著把事情盡快處理好，卻往往忽略了其他關鍵因素。同時，他對感情容易自相矛盾且固執和偏激，與你溝通困難，根本不知道他想要的是什麼。他提出的想法與觀點，都會讓你不舒服，明明是歪理都被他講得好像合理，你每次跟他理性溝通，他都會反駁你，硬要掰成是正確的。其實，他的三觀，都好像很有問題，讓你不敢恭維。</t>
  </si>
  <si>
    <t>比肩 -他欣賞</t>
  </si>
  <si>
    <t>他喜歡你是個我行我素的人，做事貫徹初衷，意志堅強，自尊心強，不服輸，凡事都以自己的想法或價值觀為標準加以判斷，你也非常暸解自己，對生活充滿自信，也會堅持自己的立場。雖然你以上的特質都比較強烈或帶點極端，但是他也是可以包容及接受的。他也喜歡跟你像朋友一樣的相處，他喜歡跟你一唱一和，是他覺得最理想的模式，也喜歡跟你一起做很多事情，也喜歡你能融入朋友群裡。可以的話，希望你能在聚會裡，偷偷有肢體上的曖昧，他會很有興趣，也享受這樣的曖昧。</t>
  </si>
  <si>
    <t>比肩 -他希望</t>
  </si>
  <si>
    <t>他希望你能跟他一樣，做事貫徹初衷，意志堅強，不服輸，凡事都以自己的想法或價值觀為標準加以判斷，希望你能暸解自己，對生活多一份自信，也希望你能堅持自己的立場。希望你能一起參與跟朋友的聚會，但是你要有能被他帶出門的價值，否則他覺得帶你見朋友沒面子時，就會拒絕一起出席應酬或飯局。希望你能多給他面子，在朋友面前要多稱讚他，覺得他很厲害。他很需要你的耐心，也需要彼此都有很好的互動。</t>
  </si>
  <si>
    <t>比肩 -但是你</t>
  </si>
  <si>
    <t>但是，有時候，你卻顯得我行我素，常常以自我為中心，也無法以他的立場考慮事情。而且你都有非黑即白的觀念想法，為了無謂的面子而堅持己見，所以容易跟他發生衝突。</t>
  </si>
  <si>
    <t>比肩 -你欣賞</t>
  </si>
  <si>
    <t>你喜歡他是個我行我素的人，做事貫徹初衷，意志堅強，凡事都以自己的想法或價值觀為標準加以判斷，他也非常暸解自己，對生活充滿自信，也會堅持自己的立場。雖然他以上的特質都比較強烈或帶點極端，但是你也是可以包容及接受的。你會察覺到他看起來很開朗，但是內心是孤獨。你也喜歡跟他像朋友一樣的相處，而且你對他越相處，越有日久生情的情愫。你喜歡跟他同聲同氣，像朋友的相處，也喜歡跟他一起做很多事情，也喜歡他能融入朋友群裡。</t>
  </si>
  <si>
    <t>比肩 -你希望</t>
  </si>
  <si>
    <t>你希望他能夠跟你像朋友一樣的相處，去哪都能帶上你，出門也不太介意認識彼此的朋友，你會希望他的朋友也能成為你的朋友，彼此融入生活圈子，你喜歡他能夠跟你一起創造生活回憶的事情。你希望他在朋友面前，能多稱美你多一些，希望他可以一起參與各種聚會，有他的陪伴會更有安全感。你很需要你的耐心，也需要彼此都有很好的互動。</t>
  </si>
  <si>
    <t>比肩 -但是他</t>
  </si>
  <si>
    <t>但是，有時候，他卻顯得我行我素，常常以自我為中心，也無法以對方的立場考慮事情。而且他非黑即白的觀念想法，也容易與你發生衝突。他常以朋人家人為先，忽略了你的感受，他寧願跟他們在一起，也不願意多花心思二人世界，讓你覺得跟他的距離跟感情都無法更更一步。</t>
  </si>
  <si>
    <t>劫財 -他欣賞</t>
  </si>
  <si>
    <t>他欣賞你隱藏在內心的企圖心，一股不服輸的野心，非常吸引人你。他欣賞你看起來總是能讓他有慾望，也能掀起他的衝動，對他來說你是有某種魅力的，但這個魅力不是長久的，而是，如果你常常做出拒絕他，或是讓他生氣的事情，他對你的興趣會大減，最後他會完全對你沒有慾望，冷淡對待你。</t>
  </si>
  <si>
    <t>劫財 -他希望</t>
  </si>
  <si>
    <t>他希望你能夠多一點企圖心，也多一點野心，應變能力強一些更好，能迅速地完成目標會更好。而且，要懂得為自己爭取，不要面對困難就馬上放棄或抱有失敗的想法。你越有價值或越漂亮，他就會回頭來多看你一眼，甚至如果你有人追求，他會更積極地關心你。對他來說，如果你是一件寶藏，他會珍惜你；相反，如果你只是件平凡的東西，他不會把你留在身邊。</t>
  </si>
  <si>
    <t>劫財 -但是你</t>
  </si>
  <si>
    <t>但是，你會看起來像憂鬱，嫉妒心很強，所以你有時候不見得很緊張他，只是因為害怕失去他，他會認為你嫉妒心強，神經質，容易不認輸，愛鬥氣。所以，會處處小心著自己的行為，害怕觸發到你內心的底線。長期下來，他容易受不住你的強烈的反應，尤其是嫉妒心強，也讓他每次面對你時都很緊繃，害怕做錯事，到最後就會想逃脫。</t>
  </si>
  <si>
    <t>劫財 -你欣賞</t>
  </si>
  <si>
    <t>你欣賞他隱藏在內心的企圖心，一股不服輸的野心，非常吸引人你。但是，他會看起來像憂鬱，嫉妒心很強，所以他有時候不見得很緊張你，只是因為害怕失去你，你會認為他嫉妒心強，神經質，愛鬥氣。所以，你會處處小心著自己的行為，害怕觸發到他內心的底線。同時，如果跟他冷戰，會讓你很折磨及疲憊，也會有熱臉貼冷屁股的不安感。他其實在感情上不輕易信任人，自我保護強烈，才會佔有欲望強烈，往往會表現出強勢的一面。</t>
  </si>
  <si>
    <t>劫財 -你希望</t>
  </si>
  <si>
    <t>你希望他對你表現多一點佔有慾，盡可能表現內心的慾望讓你知道，處理感情關係需要更強的應變能力，迅速地解決當下的問題會讓你更安心。你也希望他帶你出席社交場合，同時也要注重形象及多打扮自己。如果，他對你有更多的情慾會更好，希望他在床上的表現能更出色，能更讓你歡愉。</t>
  </si>
  <si>
    <t>劫財 -但是他</t>
  </si>
  <si>
    <t>但是，他會看起來像憂鬱，嫉妒心很強，所以他有時候不見得很緊張你，只是因為害怕失去你，你會認為他嫉妒心強，神經質，容易不認輸，愛鬥氣。所以，會處處小心著自己的行為，害怕觸發到他內心的底線。</t>
  </si>
  <si>
    <t>食神 -他欣賞</t>
  </si>
  <si>
    <t>他欣賞你性格温和，不輕易與人起衝突，他跟你在一起都很快樂，你跟他相處不會自以為是。他喜歡你總是給他浪漫而又充滿幻想的愛情，你的心思細膩會讓他感動，你重視跟他的生活情趣，充滿活力。他喜歡你會帶他吃吃喝喝，也會製造浪漫氛圍，他很吃儀式感這一套，對於你的用心，他會感動。而且，天性樂觀豁達，對於變動的事情總是能夠找到好的應對方法，即使在困難中也能隨遇而安。</t>
  </si>
  <si>
    <t>食神 -他希望</t>
  </si>
  <si>
    <t>他希望你帶著你享受生活，更懂得生活情趣的互動，對他的態度更樂觀開朗，觀光察到他喜怒哀樂的細節，也希望你跟他相處時多注意小細節。而且，只要你帶他去吃吃喝喝，到處玩樂，他就最開心。同時，希望你能夠記住他的喜好，隨時能帶給他驚喜，為平淡枯燥的生活，帶來一些儀式感及小情趣。</t>
  </si>
  <si>
    <t>食神 -但是你</t>
  </si>
  <si>
    <t>但是，你做事會顯得比較怠慢，重視享受，懶得去辯與人爭吵。同時，你會比較慢半拍，凡事都會再三考慮，沒有按照你的想法去走就悶悶不樂。你想法清高又自負，生性也比較軟弱。你太理想化，也不付出踏踏實實的努力，總是在不同的理想中變換，想一套做一套，再加上三分鐘熱度，很容易讓他懷疑你的可靠性。</t>
  </si>
  <si>
    <t>食神 -你欣賞</t>
  </si>
  <si>
    <t>你欣賞他的態度，不管做什麼事情都會有長遠的眼光，去計劃或實行。他跟你在一起的時候會有樂觀開朗的一面，對你也心思細膩，對待感情也比較豐富。而且，他重視跟你的生活情趣，會帶你吃吃喝喝，也會製造浪漫氛圍，多多少少你很吃儀式感這一套，你對於他的用心，會感動。</t>
  </si>
  <si>
    <t>食神 -你希望</t>
  </si>
  <si>
    <t>你希望他帶著你享受生活，更懂得生活情趣的互動，對你的態度更樂觀開朗，觀察到你喜怒哀樂的細節，也希望你跟他相處時多注意小細節。而且，只要你他帶你去吃吃喝喝，到處玩樂，你就最開心。同時，希望他能夠記住你的喜好，隨時能帶給你驚喜，為平淡枯燥的生活，帶來一些儀式感及小情趣。</t>
  </si>
  <si>
    <t>食神 -但是他</t>
  </si>
  <si>
    <t>但是，他做事會顯得比較怠慢，重視享受，懶得去辯與人爭吵。他會越來越自負，也不喜歡受到束縛，也是容易內心空虛孤獨。同時，他會比較慢半拍，凡事都會再三考慮，沒有按照他的想法去走就悶悶不樂。他想法清高又自負，生性也比較軟弱。他太理想化，也不付出踏踏實實的努力，總是在不同的理想中變換，想一套做一套，再加上三分鐘熱度，很容易讓你懷疑他的可靠性。</t>
  </si>
  <si>
    <t>傷官 -他欣賞</t>
  </si>
  <si>
    <t>他欣賞你比較口才比較好，也會有大膽的想法，是個有能力的女人，也表現的滿滿的活力跟鬥志。同時，你也會顯得感性及會撒嬌，說話讓他很歡喜。但是，你也是個說話常常帶刺，一針見血，說話很常傷害到他，也不服輸，做人太過自信，任性恣意，傲慢，處事圓融性低。但是，他都可以包容跟接受。</t>
  </si>
  <si>
    <t>傷官 -他希望</t>
  </si>
  <si>
    <t>他希望你在生活中裡可以有滿滿的活力跟鬥志，多一些大膽想法，做人要有自信心，也不要低頭認輸沒鬥志。他希望你可以聰明一些，至少能理解他所說的話，而不是一直問他為什麼，或是沒回應。他需要一個脾氣好也包容他任性的伴侶，聽話照作準沒錯。對他來說，你顯得很笨，他不喜歡笨的情人，他喜歡的是能跟他一起討論事情的聰明又有智慧的情人。如果，他真的受不了「你很笨」「為什麼要跟你解釋很多你才明白」，會產生厭倦，笨是致命點，他很快就會對你沒興趣。</t>
  </si>
  <si>
    <t>傷官 -但是你</t>
  </si>
  <si>
    <t>但是，你也是個說話常常帶刺，一針見血，說話很常傷害到他，也不服輸，做人太過自信，對於生活細節喜歡吹毛求疵，侍寵而嬌。你要知道沒有人喜歡被酸言酸語的，你講的是事實沒錯，但是講出來對感情只有破壞，沒有加分，為什麼還要執意要講呢？你說話像一把刀，斬下去就會片體麟傷，不要為了爭贏，而講出讓自己後悔的話。</t>
  </si>
  <si>
    <t>傷官 -你欣賞</t>
  </si>
  <si>
    <t>你欣賞他口才比較好，也會有大膽的想法，不服輸，也認為自己沒有什麼得不到，或做不到的事，滿滿的活力跟鬥志，所以有時候會比較搶風頭。但是，他也是個說話常常帶刺，一針見血，說話很常傷害到你，也不服輸，做人太過自信，帶點任性，傲慢，處事圓融性低。但是，你也是會接受以及包容他。</t>
  </si>
  <si>
    <t>傷官 -你希望</t>
  </si>
  <si>
    <t>你希望他能夠有滿滿的活力跟鬥志，多一些大膽想法，做人要有自信心，也不要低頭認輸沒鬥志，能馬上解決你的問題會更好。你希望他可以聰明一些，至少能理解你所說的話，而不是一直問他為什麼，或是沒回應。對你來說，他顯得很笨，你不喜歡笨的人，你喜歡的是能跟他一起討論事情，是個聰明又有才智的人。</t>
  </si>
  <si>
    <t>傷官 -但是他</t>
  </si>
  <si>
    <t>但是，他也是個說話常常帶刺，一針見血，說話很常傷害到你，也不服輸，做人太過自信，帶點任性，傲慢，處事圓融性低。他會把自己的標準都套在你所上，完全不包容你，做不好馬上唸你，嚴重會一直吹毛求疵，有時候沒控制好情緒，太氣會講一些人身攻擊的話。你都受不了，覺得自己一文不值，或是越來越自卑。期下來，你的自信心會被他扁得越來越低，所以才會愛的卑微。明明自己想做到好，但是卻沒被他欣賞過。</t>
  </si>
  <si>
    <t>正財 -他欣賞</t>
  </si>
  <si>
    <t>他欣賞你有顧家的一面，會為家裡準備妥當，他也欣賞你對金錢的運用有規劃，該花就花，奢侈的物質生活，你可能不太追求，你清楚明白生活的需求，總讓人安心。如果，他決定把自己交給你照顧，可能他就已經對你產生很大的信任感。他會覺得你對於家庭的觀念是符合他的要求，如果你是一個顧家的人，是絕對加分，讓他有家的感覺。</t>
  </si>
  <si>
    <t>正財 -他希望</t>
  </si>
  <si>
    <t>他希望你為人要再節儉些，消費多以生活實用為主，重視他的家人更好，有家庭責任更好，會有賢妻良母的感覺更好，可以管理打理整理家裡狀況會更好。所以，他會顯得對你比較斤斤計較，不太願意花錢在你身上，因為他覺得自己努力賺的錢，不值得花在你身上。相反，他對你比較大方，這也代表你絕對值得讓他花錢疼愛你的。</t>
  </si>
  <si>
    <t>正財 -但是你</t>
  </si>
  <si>
    <t>但是，你有時候太過重視金錢，顯得吝嗇，斤斤計較。有時候對於錢的事情變了個態度，要你花錢卻要談條件，實在讓他不舒服。凡事思前想後，不果斷不決斷，有時候太拘泥於瑣碎事情，也沒辦法馬上隨機應變處理事情。其實也還蠻懶惰，缺乏進取心做事欠缺魄力。</t>
  </si>
  <si>
    <t>正財 -你欣賞</t>
  </si>
  <si>
    <t>你欣賞他為人節儉，講求實用實際，會覺得要有一份穩定收入，為人保守、正派，會言行一致，喜歡踏實而安定的生。他為人較樂觀，只要沒有談到錢的問題，都沒問題，容易滿足現況。他如果願意花錢，代表他是重視你的。不管是享受生活還是物質上的禮物，你都會覺得他這是愛你的表現。他也會有家庭責任感，重視家人，所以他一旦成家後，就會比較愛家。但是，如果他沒有表現出這些行為，就要注意他是不是覺得把心思花在你身上不值得。</t>
  </si>
  <si>
    <t>正財 -你希望</t>
  </si>
  <si>
    <t>你會希望他可以多花錢在你身上，因為你覺得他願意花錢，代表他是重視你的。不管是享受生活還是物質上的禮物，你都會覺得他這是愛你的表現。你會要求他生活要踏實地過。如果，他願意把錢投資在你身上，讓你變得更好，你會更滿足。你希望他能更給你一種温暖的感覺，更樂觀一些，能夠幫你負擔生活會更加分，對你能更認真負責會更好，也需要多一點家庭觀念。</t>
  </si>
  <si>
    <t>正財 -但是他</t>
  </si>
  <si>
    <t>但是，他有時候太過重視金錢，顯得吝嗇，斤斤計較。有時候談錢的事情變了個態度，要他花錢卻要談條件，實在讓你不舒服。凡事思前想後，不果斷不決斷，有時候太拘泥於瑣碎事情，也沒辦法馬上隨機應變處理事情。其實也還蠻懶惰，缺乏進取心，做事欠缺魄力。</t>
  </si>
  <si>
    <t>偏財 -他欣賞</t>
  </si>
  <si>
    <t>他喜歡你花錢慷慨大方也不吝嗇，屬於花錢買開心，喜歡有素感的生活，生活多變化。他也喜歡你願意花錢在他身上，也願意買禮物送他。同時，也欣賞愛賺錢、賺快錢的態度，尤其是如果你做生意或做老闆，他會很支持。</t>
  </si>
  <si>
    <t>偏財 -他希望</t>
  </si>
  <si>
    <t>他希望你做事能隨機應變，做事能更彈性一些。做人慷慨大方更好，你大方花錢在他身上他會很開心，交往期間能一起享受玩樂更好，坦白來說，就是吃喝玩樂他安排你花錢，他就最開心。他希望你的付出，都不要跟他談條件，等價交換不是大方，是討價還價。如果你懂得投資自己，很會賺錢會更加分。</t>
  </si>
  <si>
    <t>偏財 -但是你</t>
  </si>
  <si>
    <t>但是，你會顯得比較坦率，對錢不執著，有浪費的傾向，生活也不穩定，常常做超出能力範圍之外的事情，而被他責備。這樣，你的花錢習慣，他看在眼裡，心裡是不爽的，他努力賺回來的錢都被你花去了。你做事也沒有計劃，多變，做事三分鐘熱度，給他一種做事不真誠的態度。</t>
  </si>
  <si>
    <t>偏財 -你欣賞</t>
  </si>
  <si>
    <t>你欣賞他待人處事都比較樂觀，跟他在一起好像都沒煩腦。他對你大方慷慨，願意花錢在你身上，只要你讓他開心，他就會很捨得花，捨得買。而且，他不會虧待你，也只要你開心，他就會給你最好住的吃的用的。但是，如果他沒有表現出這些行為，就要注意他是不是覺得花在你身上不值得。</t>
  </si>
  <si>
    <t>偏財 -你希望</t>
  </si>
  <si>
    <t>你希望他做事能隨機應變，做事能更彈性一些，更懂得人情世故，再樂觀一些。做人慷慨大方更好，他大方花錢在你身上你會很開心，交往期間能一起及時享受玩樂更好，你想要的，他都買給你，你會很滿足。你希望他的付出是真心真意的，不再跟你談條件或討價還價。懂得財富自由的概念會更好，賺錢能力要更強。</t>
  </si>
  <si>
    <t>偏財 -但是他</t>
  </si>
  <si>
    <t>但是，他反而個性顯得比較奢侈，行動之前也比較不會多方考慮，不太有長遠的計劃，沒有實際的行動，也有浪費的習性，給人一種做事不真誠的態度，有時候會慣性說謊。而且，他異性緣很好，容易跟異性有說有笑不忌諱，不懂得跟異性保持距離，讓你也比較沒有安全感。他也喜歡跟異性聊天，也沒在避嫌，所以你也好困擾，好生氣。</t>
  </si>
  <si>
    <t>天干</t>
  </si>
  <si>
    <t>甲 -他欣賞</t>
  </si>
  <si>
    <t>他欣賞你有向心力，會想在工作上有更大的發展，做事會有自己的計劃，能札根於基礎上，為人正直也不易放棄，還能體諒別人。同時，也有仁慈心軟的一面，拜託你做事，你都願意去做。</t>
  </si>
  <si>
    <t>甲 -他希望</t>
  </si>
  <si>
    <t>他希望你能夠在事業上有目光長遠的發展或想法，做事有向上心一些，意志堅強一些，體諒別人多一些。</t>
  </si>
  <si>
    <t>甲 -但是你</t>
  </si>
  <si>
    <t>但是，你比較死愛面子，頑固不知妥協變通，欠缺敏捷性，會過於主觀，下定決心後就死不悔改，也會容易干涉他的事情。</t>
  </si>
  <si>
    <t>甲 -你欣賞</t>
  </si>
  <si>
    <t>你欣賞他有向心力，會想在工作上有更大的發展，做事會有自己的計劃，能札根於基礎上，為人正直也不易放棄，還能體諒別人。同時，也有仁慈心軟的一面，拜託他做事，他都願意去做。</t>
  </si>
  <si>
    <t>甲 -你希望</t>
  </si>
  <si>
    <t>你希望他能像一棵大樹保護著你，做事有向上心一些，意志堅強一些，體諒別人多一些。</t>
  </si>
  <si>
    <t>甲 -但是他</t>
  </si>
  <si>
    <t>但是，他比較死愛面子，頑固不知妥協變通，欠缺敏捷性，會過於主觀，下定決心後就死不悔改。他常認為自己是對的，所以，他沒有想要改變自己，對於他的個性，你覺得他根本死腦筋。</t>
  </si>
  <si>
    <t>乙 -他欣賞</t>
  </si>
  <si>
    <t>他欣賞你有柔順温和的一面，觀察力敏銳，好像總能察覺他的需求或想法。同時，你的EQ高，讓他覺得安心且舒服。而且，相處時你也有很好的協調性，可以建立互相遷就包容的關係。他欣賞你為人務實不浮誇，能多方面考慮，也就是三思而後行。</t>
  </si>
  <si>
    <t>乙 -他希望</t>
  </si>
  <si>
    <t>他希望你對他多展現柔順温和的一面，溝通上腦筋再快一點，高EQ會更好，一起處理事時需要你協調配合會更好。情緒再平穩一些會更好，懂得收㪘脾氣會更好，學會忍耐，也要學會給他面子。</t>
  </si>
  <si>
    <t>乙 -但是你</t>
  </si>
  <si>
    <t>但是，你為人怯懦，依賴心強，無法承擔大事，會常常因為事與願違而自尋煩惱，會對眼前面前的問題失去自信無法堅持。也會容易違背自己的心意和周遭的人妥協，責任心差了一些，經常經不起困難而改變心意。就是會用最簡單的方式去解決問題，忽略了其他因素。</t>
  </si>
  <si>
    <t>乙 -你欣賞</t>
  </si>
  <si>
    <t>你欣賞他比較柔順温和，腦筋快，判斷力敏銳，EQ高，處事有很好的協調性，做人也務實，能多方面考慮，也就是三思而後行。</t>
  </si>
  <si>
    <t>乙 -你希望</t>
  </si>
  <si>
    <t>你希望他對你再柔順温和多一些，處理事情的腦筋再快一點，吵架時能控制EQ會更好，做人也要再務實一點，跟你生活溝通協調更好一些。情緒再平穩一些會更好，懂得收㪘脾氣會更好，學會忍耐一些，學會給你面子。</t>
  </si>
  <si>
    <t>乙 -但是他</t>
  </si>
  <si>
    <t>但是，他為人怯懦，依賴心強，無法承擔大事，會常常因為事與願違而自尋煩惱，會對眼前面前的問題失去自信無法堅持。也會容易違背自己的心意和周遭的人妥協，責任心差了一些，經常經不起困難而改變心意。就是會用最簡單的方式去解決問題，忽略了其他因素。</t>
  </si>
  <si>
    <t>丙 -他欣賞</t>
  </si>
  <si>
    <t>他喜歡你會給他温暖，總是熱情地面對你，會感受到他有在照顧你，你的事情他也會表現得很重視。尤其是，你在一些場合上比較引人注目，也比較不計較，積極地著手幫忙，不拘泥小事，想法明確，不鑽牛角尖，他很欣賞你有這一面。</t>
  </si>
  <si>
    <t>丙 -他希望</t>
  </si>
  <si>
    <t>他也希望你能夠熱情積極多一些，爽朗大方多一些，不要太計較拘泥小事，不要轉牛角尖更好。</t>
  </si>
  <si>
    <t>丙 -但是你</t>
  </si>
  <si>
    <t>但是，你容易表現得急躁，很想要一個答案，有一點問題都斃不住，缺乏耐心，也比較自以為是，性情比較起伏，做事無法持久。心急追問過度，也會讓他反感，甚至要逃避你，不想看到你。</t>
  </si>
  <si>
    <t>丙 -你欣賞</t>
  </si>
  <si>
    <t>你喜歡他的熱情個性，尤其對人好客積極，爽朗大方，待人親切，不會拘泥小事，也坦率。但是他也比較衝動、性子急。</t>
  </si>
  <si>
    <t>丙 -你希望</t>
  </si>
  <si>
    <t>你希望他能夠對你熱情積極多一些，爽朗大方多一些，不要太計較拘泥小事，不要轉牛角尖更好。</t>
  </si>
  <si>
    <t>丙 -但是他</t>
  </si>
  <si>
    <t>但是，他的熱情較引人注目，常會在不自覺流露出熱情，所以很可能引發誤會，因此產生情感糾葛。有時候，也會有太過熱烈的言行而給自己招來麻煩。在一開始對待愛情，可能會有一股熱，急躁及衝動，所以雖然爆發力強，但是後勁及耐力卻是不夠的，所以只會常常講夢想，做什麼事都常發生三分鐘熱度。對待感情，很有主見，主觀過強也容易自以為是。</t>
  </si>
  <si>
    <t>丁 -他欣賞</t>
  </si>
  <si>
    <t>他欣賞你熱心助人，在感情上會有燃燒自我不斷付出的傾向，也有照亮別人的熱心。你外表沉穩，但實際內敏感。你也注重家人，會照顧後輩下屬，而且有禮貌。</t>
  </si>
  <si>
    <t>丁 -他希望</t>
  </si>
  <si>
    <t>他希望你能給他一種温暖的感覺，展現友善禮貌多一些，喜歡幫助別人會更加分，他也需要你讓他做個有光茫的人，做事能更認真負責會更好，也需要多一點家庭觀念。</t>
  </si>
  <si>
    <t>丁 -但是你</t>
  </si>
  <si>
    <t>但是，你會顯得比較保守，悶燒型，温度還不夠強的時候，會看不出你的表現，對一件事情會考慮很久，思慮深遠，行事謹慎。他根本不知道你在醖釀甚麼，他也認為你非常的被動，沒自信心。同時，你內心的敏感，容易讓他覺得你很脆弱，不表達又在那邊悲傷，讓他實在不知道要怎麼做。</t>
  </si>
  <si>
    <t>丁 -你欣賞</t>
  </si>
  <si>
    <t>你會喜歡他給你一種温暖的感覺，你會被他彬彬有禮的氣質給吸引住，他對你的事都比較熱心，也有種很上心的感覺，同時你喜歡他散發著一種魅力光茫。跟他共事，你發現他對份內事處理得認真及負責任。他的家庭觀念會讓你對未來抱有幻想及期待。</t>
  </si>
  <si>
    <t>丁 -你希望</t>
  </si>
  <si>
    <t>你希望他能更給人一種温暖的感覺，更有禮貌，喜歡幫助別人會更加分，能有照亮別人的一面會更好，做事能更認真負責會更好，也需要多一點家庭觀念。</t>
  </si>
  <si>
    <t>丁 -但是他</t>
  </si>
  <si>
    <t>但是，他卻是個悶燒型，温度還不夠的時候會看不出來的表現，但是他一旦認定了就會全力以赴。他也昰個能體諒對方的人，但是不太會講真心話的人。所以，你可以看他對你的表現，有沒有很認真，有沒有很付出，還是還在悶燒中？</t>
  </si>
  <si>
    <t>戊 -他欣賞</t>
  </si>
  <si>
    <t>他欣賞你顯得比較豁達樂天，有包容心，嚴謹耿直，不會巧言修飾，做事也比較慎重緩慢，做事堅持到底。你有一種個性的穩定度，給他有一種安全感，你是可靠的，所以他跟你在一起會感到安心。但是，你會比較以自我為中心，主觀性強，喜怒不形於色，欠缺通融性，不會去改變自己的想法或行為，做事也比較被動，在相處上比較笨拙，不會主動去計劃一些浪漫的事。</t>
  </si>
  <si>
    <t>戊 -他希望</t>
  </si>
  <si>
    <t>他希望你有成熟穩重感，豁達一些，開朗一些，做人耿直，樂天也不善修飾，做事也帶條理也有計劃。他希望你是他的靠山，做事能靠得住你，能夠拜託你，你做事他放心更好。</t>
  </si>
  <si>
    <t>戊 -但是你</t>
  </si>
  <si>
    <t>但是，你會比較以自我為中心，主觀性強，喜怒不形於色，欠缺通融性，不會去改變自己的想法或行為，做事也比較被動，在相處上比較笨拙，不會主動去計劃一些浪漫的事。</t>
  </si>
  <si>
    <t>戊 -你欣賞</t>
  </si>
  <si>
    <t>你欣賞他有成熟穩重感，像一座大山給你靠著，懂得包容忍耐，有安定冷靜的感覺，也講求信用，能給你足夠的安全感。做人耿直，樂天也不善修飾，做事也帶條理也有計劃。</t>
  </si>
  <si>
    <t>戊 -你希望</t>
  </si>
  <si>
    <t>你希望他豁達一些，開朗一些，做個堅持到底的人，你也期待他能成為你的靠山。希望他能有一種安定冷靜的感覺，懂得包容忍耐，講求信用，能給你安全感。</t>
  </si>
  <si>
    <t>戊 -但是他</t>
  </si>
  <si>
    <t>但是，他會比較以自我為中心，主觀性強，喜怒不形於色，欠缺通融性，不會去改變自己的想法或行為，做事也比較被動，愛情路上比較笨拙，不會主動去計劃一些浪漫的事。</t>
  </si>
  <si>
    <t>己 -他欣賞</t>
  </si>
  <si>
    <t>他欣賞你有豁達樂天的一面，對他也有包容心，處事嚴謹慎重，對於感情事不會巧言修飾，欣賞你對感情堅持到底。同時，你有一種個性的穩定度，給他有一種安全感，你是可靠的，所以他跟你在一起會感到安心。但是，你會比較以自我為中心，主觀性強，喜怒不形於色，欠缺通融性，不會去改變自己的想法或行為，做事也比較被動，在相處上比較笨拙，不會主動去計劃一些浪漫的事。</t>
  </si>
  <si>
    <t>己 -他希望</t>
  </si>
  <si>
    <t>他希望你能夠多展現穩重的一面，對他的語氣再温柔一些，對於他的錯誤或誤會再寬容多一些，能夠更懂得照顧他的感受或生活會更讓他開心，對於他的需求或他的生活再用心一些。</t>
  </si>
  <si>
    <t>己 -但是你</t>
  </si>
  <si>
    <t>但是，你顯得比較保守，比較沒有主見，容易被左右，耳根軟，容易茫然失惜，容易消極不理性，別人一句話就妥協。而且，人性格異常固執，很難改變你所認定的事實。你也不太會說甜言蜜語，也不活潑，且又不主動，所以跟你談戀愛，他會覺得無趣。</t>
  </si>
  <si>
    <t>己 -你欣賞</t>
  </si>
  <si>
    <t>你欣賞他為人敦厚，你會被他的善良及踏實穩重吸引，而且他的安靜柔順讓你感到安心，對你也顯得寬容，會從細節裡悉心照顧你的所有，對於你的事情也上心，是個會默默耕耘的人。</t>
  </si>
  <si>
    <t>己 -你希望</t>
  </si>
  <si>
    <t>你希望他能夠多展現穩重的一面，對你的語氣再温柔一些，對於你的錯誤或誤會再寬容多一些，能夠更懂得照顧你的感受或生活會更讓你開心，對於你的需求或你的生活再用心一些。</t>
  </si>
  <si>
    <t>己 -但是他</t>
  </si>
  <si>
    <t>但是，他顯得比較保守，比較沒有主見，容易被左右，耳根軟，容易茫然失惜，容易消極不理性，別人一句話就妥協。而且，人性格異常固執，很難改變他所認定的事實。</t>
  </si>
  <si>
    <t>庚 -他欣賞</t>
  </si>
  <si>
    <t>他喜歡你的內心，為人果斷，直來直往，不喜歡轉彎抹角，喜歡聽重點。個性倔強，遇強則強，自尊心更強，會積極去行動，去找方法去達成目標，多於花時間去煩惱，重視朋友跟重義氣，會為不公平的事情打抱不平。</t>
  </si>
  <si>
    <t>庚 -他希望</t>
  </si>
  <si>
    <t>他希望你能夠更果斷一些，乾脆，能積極行動會更好，說話不要轉彎抹角，講話要講重點。做人活得更有自尊一些，意志力更堅強一些。希望你能夠獨立一些，像個強者一樣會更好，任何事都自己處理，不要給他添麻煩，自動自覺去做自己該做的事情更好。</t>
  </si>
  <si>
    <t>庚 -但是你</t>
  </si>
  <si>
    <t>但是，你都會容易因為不喜歡而毫不留情地想批評，說話太直接，不會轉彎抹角，有時候會講出不適合場面的說話，而不自知。你也容易鐵齒，放棄就放棄，再喜歡也會愛面子而不要了。，所以也讓他覺得你不好相處，他也不敢多說，就是怕你一句反對他，而你不覺得是個問題，旁人都覺得你的第一反應不好相處。</t>
  </si>
  <si>
    <t>庚 -你欣賞</t>
  </si>
  <si>
    <t>你喜歡他乾脆果斷做決定，做事意志力堅強又不服輸，面對困難遇強則強，會積極去行動及解決問題，也會積極去找方法去達成目標多於花時間去煩惱，重視朋友跟重義氣，如果你受委屈了，或是會為你的事情而打抱不平。</t>
  </si>
  <si>
    <t>庚 -你希望</t>
  </si>
  <si>
    <t>你希望他對你心思細膩多一些，做事更有主見，反應要快一些。能夠觀察到你的各方面需求，對你更細心體貼和親切友善更好，帶他出門他要適應力更強一些，面對人際關係要更八面玲瓏。你希望他多打扮自己，外表乾淨整齊會加分。</t>
  </si>
  <si>
    <t>庚 -但是他</t>
  </si>
  <si>
    <t>但是，他都會容易因為不喜歡而毫不留情地想批評，說話太直接，不會轉彎抹角，有時候會講出不適合場面的說話，而不自知。也容易鐵齒，放棄就放棄，再喜歡也會愛面子而不要了。他吃軟不吃硬，寧願兩敗俱傷也不服軟，如果長期沒給下台階，那你們就真的不適合繼續在一起。你們會冷戰很久，甚至互不相讓，從此感情冷淡。
所以，一旦發現他變得說話難聽，就要注意他是不是對你冷淡了、或變淡了，讓他不喜歡了。</t>
  </si>
  <si>
    <t>辛 -他欣賞</t>
  </si>
  <si>
    <t>他欣賞你比較適應力極強，心思細膩，做事態度干脆果斷，對各方面都很注意，為人親切，樂於助人，做人也八面玲瓏。雖然有時候會雞婆，會碎念，但是你自尊心強，也討厭丟臉，有時候帶有任性，堅持自己而不退讓。以上，他也能接受及包容。</t>
  </si>
  <si>
    <t>辛 -他希望</t>
  </si>
  <si>
    <t>他希望你對他心思細膩多一些，做事更有主見，反應要快一些。能夠觀察到他的各方面需求，對他更細心體貼和親切友善更好，帶你出門你要適應力更強一些，面對人際關係要更八面玲瓏。他希望你多打扮自己，外表鮮亮麗會加分，也希望你培養及表現更有氣質。</t>
  </si>
  <si>
    <t>辛 -但是你</t>
  </si>
  <si>
    <t>但是，你有時候自尊心強，表面妥協，也不甘情願被折服，太任性，堅持自己而不退讓。完美主義明顯，也帶點強迫症。有時候，你熱心過度，反而造成他的困擾。爭吵時，冷戰可以將時間拉得很長很長，會有得理不饒人的架勢。所以，你不改掉這習性，再愛你的人也受不了長期冷戰，冷戰的期間也有機會讓別人趁虛而入，他跟別人曖昧了，你還在那邊冷戰。</t>
  </si>
  <si>
    <t>辛 -你欣賞</t>
  </si>
  <si>
    <t>你欣賞他對你有心思細膩的一面，做事態度也干脆果斷，對各方面都很會觀察及注意灓節，對你的態度很親切，平常樂於助人，處理人際關係也表現得八面玲瓏，讓你覺得他蠻可靠，或是安心。</t>
  </si>
  <si>
    <t>辛 -你希望</t>
  </si>
  <si>
    <t>你希望他對你更心思細膩多一些，能夠觀察到你的各方面需求，對你體貼親切更好，在處理人際關係時，可以更八面玲瓏一些，會讓你覺得他其實可以是個可靠的人，或是保護你的人。</t>
  </si>
  <si>
    <t>辛 -但是他</t>
  </si>
  <si>
    <t>但是，他有時候自尊心強，表面妥協，也不甘情願被折服，帶有任性，堅持自己而不退讓。完美主義明顯，也帶點強迫症。爭吵時，冷戰可以將時間拉得很長很長，會有得理不饒人的架勢。</t>
  </si>
  <si>
    <t>壬 -他欣賞</t>
  </si>
  <si>
    <t>他欣賞你有外向的一面，活潑，帶點任性，感情豐富。社交能力強，有口才，主動積極，能適時表現自己，到處交朋友，待人寬容。</t>
  </si>
  <si>
    <t>壬 -他希望</t>
  </si>
  <si>
    <t>他希望你能夠更寬容一些，圓融一些，樂觀一些，對任何事都能熱情參與，再多交一些朋友會更好。</t>
  </si>
  <si>
    <t>壬 -但是你</t>
  </si>
  <si>
    <t>但是，你有時候容易虎頭蛇尾，會有不切實際的想法，雖然做人圓融但是也會任性，容易有怠惰而依賴他人的習慣，對事容易不堅持，對異性容易付出心思過多，沒有節制，讓他容易吃醋。</t>
  </si>
  <si>
    <t>壬 -你欣賞</t>
  </si>
  <si>
    <t>你會欣賞他做人寬容，不執著，樂觀，喜歡幫助別人，懂得社交。他陪伴你待在人群裡，總是可以給你安全感。而且，他跟人溝通也比較風趣幽默，帶他出場也不會丟臉，他自得其樂。</t>
  </si>
  <si>
    <t>壬 -你希望</t>
  </si>
  <si>
    <t>你也會希望他能夠更寬容一些，圓融一些，樂觀一些，對任何事都能熱情參與，再多交一些朋友會更好。</t>
  </si>
  <si>
    <t>壬 -但是他</t>
  </si>
  <si>
    <t>但是，他有時候容易虎頭蛇尾，會有不切實際的想法，雖然做人圓融但是也會任性，容易有怠惰而依賴他人的習慣，對事容易不堅持，對異性容易付出心思過多，沒有節制，讓你容易吃醋。</t>
  </si>
  <si>
    <t>癸 -他欣賞</t>
  </si>
  <si>
    <t>他欣賞你的內向個性，做事勤奮又很努力，為人正直踏實。你的重感情重道德也讓他感到安心。而且，你對他情感細膩，更豐富了你們的感情生活，他也喜歡跟你一起的生活情趣。</t>
  </si>
  <si>
    <t>癸 -他希望</t>
  </si>
  <si>
    <t>他希望你對他可以多一點同情心，一起處理事情時要冷靜清醒一些，對他的態度再溫和一些，對他的情感再細膩一些，也希望跟你在一起可以多一些生活情趣。</t>
  </si>
  <si>
    <t>癸 -但是你</t>
  </si>
  <si>
    <t>可是，你對他的態度容易拘泥小事，容易悲觀，遇到問題則會都往壞處想，解決問題也欠缺通融性。你太在意小細節，跟他溝通也常鑽牛角尖，也比較重視沒意義的事情上。所以你在感情上會顯得比較脆弱負面，優柔寡斷，活在自己的世界裡，喜歡幻想美好的愛情，所以你會有自己理想愛情的一套做法，你的期待對他來說有點不切實際，他不知道怎麼實現去滿足你。</t>
  </si>
  <si>
    <t>癸 -你欣賞</t>
  </si>
  <si>
    <t>你欣賞他內向，勤奮又很努力，正直踏實。你重感情重道德，而且，你的情感細膩，感情豐富，也重視生活情趣。</t>
  </si>
  <si>
    <t>癸 -你希望</t>
  </si>
  <si>
    <t>你希望他能更有同情心，處理事情要冷靜清醒一些，再溫和一些。面對愛情時，對你的情感再細膩一些，也希望能多重生活情趣多一些。</t>
  </si>
  <si>
    <t>癸 -但是他</t>
  </si>
  <si>
    <t>可是，他顯得比較拘泥小事，容易悲觀，凡事都往壞處想，欠缺通融性。他很在意小細節，常鑽牛角尖，也比較重視沒意義的事情上。所以他在感情上會顯得比較脆弱負面，優柔寡斷，活在自己的世界裡，喜歡幻想美好的愛情，所以他會有自己理想愛情的一套做法。</t>
  </si>
  <si>
    <t>結尾</t>
  </si>
  <si>
    <t>他喜歡你沒有</t>
  </si>
  <si>
    <t>整體來說他喜歡的特質你也都沒有的，所以，他對你沒有完全愛上，也是情有可原。也所以，他在你身上也只看到缺點，也把缺點放大，沒有把優點拿來欣賞。久而久之，就會失去新鮮感，產生厭惡感，一時運滯就容易做錯事，萬一出軌也不回頭。</t>
  </si>
  <si>
    <t>你喜歡他沒有</t>
  </si>
  <si>
    <t>整體來說你喜歡的特質他也都沒有的，所以，你對他沒有完全愛上，也是情有可原。也所以，你在他身上也只看到缺點，也把缺點放大，沒有把優點拿來欣賞。久而久之，就會失去新鮮感，產生厭惡感，分開也不想回頭，只是被「相處久了不捨得」。</t>
  </si>
  <si>
    <t>彼此也都沒有</t>
  </si>
  <si>
    <t>整體來說某些特質你們彼此也都沒有的，所以，你們對彼此沒有完全愛上，也是情有可原。也所以，你們在彼此身上也只看到缺點，也把缺點放大，沒有把優點拿來欣賞。久而久之，就會失去新鮮感，產生厭惡感，剛好磁場不好，就容易說散就散。</t>
  </si>
  <si>
    <t>請常常表現</t>
  </si>
  <si>
    <t>請常常表現他欣賞你的特質，基本上要留住他，吸引他靠近你，是沒問題的。撇除其他相處問題，請多讓他多愛你一些，就是如剛剛所說，多表現自己原本有的特質，他自然也會越愛你越深。同時，也要縮小自己的缺點，他其實都有看在眼內，不爽都是累積的。</t>
  </si>
  <si>
    <t>你們的需求都一樣</t>
  </si>
  <si>
    <t>你們的需求都一樣的，只是你們都沒有先踏出第一步去滿足對方，更無奈的是，你們也不知道如何把「期望」變成「行動」，才會發生「你們在往外求，卻沒有得到任何回應」。也是代表說，你們都沒有以上做出的特質，所以你們就算知道，也做不到位。</t>
  </si>
  <si>
    <t>成為「他喜歡的人」</t>
  </si>
  <si>
    <t>但是，你可以選擇成為「他喜歡的人」還是「做我自己」，當然各有各的優缺點，你不能為了他而完全成為自己不喜歡的模樣。</t>
  </si>
  <si>
    <t>攻略</t>
  </si>
  <si>
    <t>正官</t>
  </si>
  <si>
    <t>🌹如何讓他更愛你？⬇️
📍關鍵字：聽話、守規矩、比他厲害、責任
📍渴望的愛情：一切在他掌握之中，愛情就是一種責任，怎麼負責任，就要怎麼守規矩，同時，他也要愛情的主控權，他開口要就要，不要就不要，不要為難他，也不要強迫他。
📍如何做：要嘛比他強，要嘛你聽話。例如，男生方面，差別會比較明顯易懂，有一個男生很愛慕上司，其他同事就會覺得人家是強者餒，你hold不住的，但是他就很愛職場強者，特別有魅力，只要你夠厲害他就心甘情願被控制。相反，他已經在職場上就很厲害了，他就會找聽話聽命令的，符合他愛情系統、也要符合他愛情制度的伴侶，滿足他愛情的責任感。
一：《聽話》你喜歡他，就必須對他表現出你的忠誠、可靠、服從。讓他覺得你可控制，說不定他把你考量到他的愛情系統裡。不然就是，比他厲害，你控制他。
二：《符合》他的愛情也是一場制度，追求穩定也是他的愛情目標，所以他心中會有一個屬於他的愛情系統，不允許有錯誤漏洞，發現你error太多，或是發現你不符合他的系統，你就等著被淘汰。同時，他創造這個愛情系統出來，會有一個固定的模版在，所以他一定是有模擬出他想要的情人是長怎麼樣，你必須要套話，然後把自己打扮成裝成那個樣子，很大機會會中喔，因為他不太會變化，他想要那種情人就是那種。
三：《共同目標》剛剛說愛情也是一種責任，他會為愛情負責到底，所以他的正經八百，是會讓你有可以成家立室的安全感。他的愛情目標，也就是交往以結婚為前提。他對你的各種考量，也是會牽涉到家庭，你適不適合當個好老婆，顧不顧家，跟家人相處融不融洽。所以，跟他交往，就要有個覺悟，很大機會會結婚組織家庭。</t>
  </si>
  <si>
    <t>七殺</t>
  </si>
  <si>
    <t>🌹如何讓他更愛你？⬇️
📍關鍵字：馴服、以柔克剛、奮不顧身、霸氣、挑戰性、刺激感
📍渴望的愛情：他要的愛情很戲劇化，要嘛轟轟烈烈，要嘛會有犧牲的情節。
📍如何做：先確認他對你的態度，有沒有喜歡你一定感受得到，因為他就是很直接，喜歡討厭都寫在臉上。如果你不是他的菜，他也會很清楚地讓你知道。有機會的話，你就別在那邊胡思亂想，沒機會的話，也可以先放棄了。
一：《刺激感》請你一定要有底氣，自信心，才會讓自己的霸氣展現出來，比他更MAN沒關係，這個表現會讓他覺得很有魅力。要激起他想要征服你的慾望，用盡各種床上的招式，各種妖媚的服裝都能讓他感到無比的激動。如果，你是個乖乖情人，不懂得「小賤貨」的風格，請你也要學習起來，先從情趣睡衣開始，PHONE SEX（遠距離適用網愛），多拍一些性感照片給他，再從中摸索他的喜好。否則，你不學習，他只會找「其他綠茶婊」。
二：《馴服》要先摸清楚他的脾性，知道有什麼不可以碰，有什麼可以多做。在他有所求的時候，順著他做，他要多刺激就有多刺激，他有多好動就多好動，你的重點是要先操累他，再給予他温柔的愛意，這個愛意不是約束他的自由，也不是限制他的行為，而是在他發洩完了，給予擁抱以及陪伴。讓他體悟到愛情，不只是一場煙火，而是一場充滿激情又充滿溫暖的遊戲。
三：《滿足》要盡量地滿足他的大男人大女人主義，讓他充滿勇敢、充滿自信，支持他的理想，陪他面對挑戰。然後在他在外面打拚，碰到瓶頸傷痕纍纍的時候，適當安撫他、安慰他。當他知道你不只是他的情人，更是他的避風港時，他就會把心交到你的手上。</t>
  </si>
  <si>
    <t>正印</t>
  </si>
  <si>
    <t>🌹如何讓他更愛你？⬇️
📍關鍵字：依靠、依賴、照顧、安心、關心
📍渴望的愛情：安全感來自於被照顧的安心，愛情裡就是要互相照顧起居飲食，而且也認為愛情的最終模式就是導向家庭生活的模式。所以，他都是傾向於要找一個好老婆的角色，沒辦法接受老婆不顧家，要出去可以、要工作可以，但請先以家庭為重。
📍如何做：好好地照顧他，讓他依賴你，讓他安心，像是把整個世界給了他。
一：《創造讓他依賴的機會》在生活上、工作上，你多幫助，你懂的一定要比較多，就算不懂也要學，長期下去，就會依賴著你。其實他有很多事情都會，但只是他懶得去做，如果你能幫他做，做得比他好，他就會以崇拜的心愛著你，因為除了你，沒有人願意做，沒有人做得比你好，他根本離不開你。
二：《迷惘時給予光明》適當的安慰、適當的給予建議都是有很大的幫助，尤其是迷惘的時候，最需要你的同理心跟同情心，脆弱的心靈是很需要被照顧的。所以，當你發現他好像失落了，一定要馬上去關心，否則你會錯失良機。除了生活的照顧，也要懂得情緒上的照顧，同理心很重要，你可以不懂，但一定要讓他安心地發洩出來，用温柔的語氣建議他，用陪伴的角度幫他走出困境。
三：《工具人》做他的工具人，一定做得很有成就感，因為你追求的人，一定會被你感動。他喜歡你的照顧，喜歡你為他安排一切，他不用動腦動手。在你想命令他的時候，可以請他做簡單又輕易的事情。例如，你幫他辦理登記手續，幫他排隊問問題，你就請他拿行李，顧行李，幫你買飲料等等，這些簡單又不複雜的事情。這樣的分配，他會很樂意幫忙。例如，你約會你先訂好餐廳飯店，預約好活動，他只要當你的司機，幫你找路，就是最舒服的相處方式。</t>
  </si>
  <si>
    <t>P</t>
  </si>
  <si>
    <t>🌹如何讓他更愛你？⬇️
📍關鍵字：忍耐忍受、耐心包容、深研
📍渴望的愛情：有人能欣賞他的想法，接受他的規矩，理解他的感受。他的想法總是規矩變來變去，難以捉摸，其實他也不知道自己的規則是什麼，所以一不小心就會惹他不爽。所以，他很需要一個理解他的人。而且他的想法特別的刁鑽，他需要一個能夠聽他分享他喜歡研究的樂趣。所以，欣賞他的人不多，如果你能夠支持他、欣賞他的話，他一定會很開心。
📍如何做：不要為了想要贏他而跨越他內心的底線，也不要為了想要激怒他而一直試探他的底線，他會記仇的，他還會在某天他不爽的時候，用你不喜歡的方式去對付你。
一：《嘗試了解他的興趣》從了解他的興趣開始去聊天，慢慢引導他講出更多這方面的想法，同時，也請表現出你的欣賞與贊同，適時的鼓勵跟讚賞，你一定會在他的異性朋友中突圍而出。
二：《當一位聆聽者》在愛情裡面，他可能會比較重視自己的興趣多於愛情的煩碎雜事，所以要你想吸引他的注意，或是想要更多互動，請讓他表達他對興趣的各種想法，他會滔滔不絕，欲罷不能地跟你分享。
三《用熱情融化他的心》雖然外表寡言、冷淡，有個性，但是其實他很吃熱情這一套，主動聊天，熱情對待，他也是會被融化的。</t>
  </si>
  <si>
    <t>比肩</t>
  </si>
  <si>
    <t>🌹如何讓他更愛你？⬇️
💓伴侶是朋友，共同創造回憶。💓
📍關鍵字：伴侶是朋友、慷慨大方、愛分享、共同進退、日久生情
📍渴望的愛情：他喜歡的伴侶是可以跟他作好麻吉，陪伴彼此，一起共同挑戰新事物，一起創造回憶。所以，他可能喜歡的談情/約會方式，會是一群人去玩，從中跟你培養感情，也可以說是，喜歡《從朋友開始日久生情》。
朋友的定義就是，會喜歡黏著去玩樂但又不會太黏非要跟你出去不可，彼此幫助又保留獨立空間。你跟他是平等的，朋友互相尊重包容扶持。所以，請你表現出《慷慨大方》《愛分享》《共同進退》的態度。
📍如何做：上面提及過，他喜歡《朋友》的感覺，所以請不要一直製造二人世界。請記住，他沒辦法接受，生活只被愛人給綁住，所以他選擇的情人必須要有獨立的能力，他不喜歡麻煩的感覺，對他來說，愛是不等於糾纏。
一：《獨立自主》如果你不夠獨立，每天都要黏在一起才有安全感，或是你享往朝夕相對的愛情故事。如果你不夠自信，常常因為他跟朋友出門而胡思亂想，或是 奪命追魂Call。你就會憑實力單身，憑實力分手💔 你們就會不斷吵架，無法解決問題，無法接受彼此的想法。BYEBYE
二：《融入他的社交》他會從朋友聚會裡觀察你的一舉一動，他喜歡熱鬧中跟你建立曖昧關係，也喜歡在人群裡偷偷摸摸。如果，你是一個會跟他朋友主動聊天的人，絕對加分。如果，你很會做嫂子，朋友都誇獎你，朋友都說他交到好情人，他都會聽得進去，他喜歡從朋友的嘴巴中肯定你。所以，要討好你的對象，請先做好嫂子的本份。
三：《讓他有面子》當他願意帶你給朋友認識，代表他覺得你能夠讓他有面子，他帶你出場是他的面子。如果，你讓他出糗，講他他不好，說他糗事，他會從此不想再讓你融入他的生活，你就等著被分手。如果，你能夠接納他的朋友圈，你會發現他會更懂得疼愛你。</t>
  </si>
  <si>
    <t>劫財</t>
  </si>
  <si>
    <t>🌹如何讓他更愛你？⬇️
📍關鍵字：搶手、抬高身價、保持新鮮、外貌協會
📍渴望的愛情：他就是要爭奪最有價值的東西，不管是抽象的愛情，你的美麗動人的外表，還是充滿慾望的未來。只要他覺得好覺得有價值的，他都想要得到。他享往追求美好的過程，也享受著得到寶物的感覺。
遇到喜歡的人，會馬上積極地追求。根本不用猜他的心意，夠喜歡就會撲上來，主要獻欣勤；相反，如果也沒有很積極，老是常出現，就代表沒有把你看在眼內。
📍如何做：你要成為他的獵物，讓他覺得你值得、你搶手、你有趣，總之就是讓他有衝動出去得到你的慾望。就算他只是跟你曖昧過一陣子，但是當有其他對手時，他也是會被激發起他爭奪的原始本能，變得緊張你。他會以為自己走漏眼，以為是自己沒發現到寶物。
一：《保持身材及漂亮打扮》你越有價值，他就越覺得搶得有光彩、搶得有價值。而且，劫財的價值判斷，是來自於競爭者的出現，競爭者越多，你就判定你越值得，一定是個好情人。所以，首先外表一定打扮得要光鮮亮麗，他才注意到你的存在。
二：《營造競爭者》營造自己很多人追的假象，例如假裝不好約、限動po跟異性朋友在一起、也可以跟異性朋友聯手出擊。越難得到，越要搶到底。
三：《成為有價值的目標》盡量表現自己的美好的一面，再故擒於蹤，激發他的積極度。所以，千萬不要馬上答應他交往，他的火就會馬上熄滅，他就覺得太簡單了，很快新鮮感就沒了。</t>
  </si>
  <si>
    <t>食神</t>
  </si>
  <si>
    <t>🌹如何讓他更愛你？⬇️
📍關鍵字：享受、美食、趣味、興趣、儀式感
📍渴望的愛情：他期待著有這麼的一個人，能夠陪伴他一起探索生活的樂趣。他的生活樂趣就是在平凡的日子裡不經意地發現驚喜，也可以說是生活情趣，或者是儀式感。
📍如何做：你帶去吃喝玩樂他最開心，不一定掏大錢去高級餐廳，也不一定要出國旅遊。但是一定要是，他有興趣的事物，他想做的事情，他期待的事情。
一：《欣賞他的夢想》他會以興趣為工作，所以，你要欣賞他的工作態度，欣賞他的夢想，欣賞他的堅持。如果，你曾經反對或嘲笑過他的興趣，他一定不屑再跟你聊天，他的清高你根本不懂。如果，你真的真心地欣賞他，請拿出你的勇氣去支持他完成他的夢想。
二：《發掘共同興趣》接近他的方法，最好是從興趣開始，你們可以一起發掘新事物，也可以追隨他的興趣。總之就是從興趣入手，只要找到共同興趣，話題就會源源不絕，你可能會覺得他只談興趣會很無聊，但無可否認，他當作這是他的生活情趣。如果你喜歡他，請你多做功課，有空研究一下，才能創造話題。
三：《重視品味或氣氛》無論做任何事，都要讓他覺得你很有心，寧願要多做，都不要做少。請重視他的品味，在重要日子，請訂桌請他吃有格調的餐廳。送禮物，絕不馬虎，要能配上他品味的禮物，否則會被唾棄。製造浪漫，請多帶他去生活以外的空間，只有你和他，配上賞心悅目的環境，讓他好好放鬆。平常在家，也要多花心思，怖置牆壁留下你跟他的回憶，要唯美的，不突兀，符合他家格調的擺設。如果，你對這些毫無頭緒，你要多套話，一起共同完成也是浪漫的愛情。</t>
  </si>
  <si>
    <t>傷官</t>
  </si>
  <si>
    <t>🌹如何讓他更愛你？⬇️
📍關鍵字：稱讚、棒場、支持、忠粉
📍渴望的愛情：他是主角，你就是他的配角，不能太笨，不能什麼都不懂，你可以不厲害，但是要做個神隊友。在愛情裡，他習慣表現自己，他希望把最好的事情做到最好，他渴望的是得到肯定，所以你只需要在旁邊聽他的分享，肯定他的能力，他就樂此不倦。至少，他希望在你的眼裡，他就是與眾不同的存在，他就是有厲害的能力，期待著有人對他另眼相看，在你的世界裡，他就是獨一無二。
📍如何做：你不聰明沒關係，你跟不上他腦袋的步伐沒關係。但是，你要學會找出答案，比他快拿出答案，比他更肯定自己找到的證據。持續下去，他不會跟你再爭下去，爭不下去，只能聽從你的，因為讓他覺得你是對的，他才會學會閉嘴。他知錯了，不要迫他道歉，反而是給他一個擁抱，說明你包容他。
一：《當他的觀眾》在他表現自己的能力的同時，表達自己的愛幕也是非常的重要，不是單靠幾句讚美就能俘虜他的目光。而是，你要真誠的請教，他講的你要記住。在愛情裡，他很注重細節，所以有時候設計一些小巧思，看誰聰明看誰有心，懂得他背後的意思。所以，跟他交往不能太笨就是這個意思。他就是在期待那一位，破解他密碼的情人。
二：《睜一隻眼閉一隻眼》他可能會在表現自己的同時誇大自己的能力或是經驗，但絕不能戳破他的說話技兩。適時的給予欣賞就可以了，他說的你可以只聽一半，到他真的有做到出去，你再全力去誇獎他。
三：《撒嬌就會心軟》他其實也很愛面子，所以他做錯事，他會用很多的理由或藉口去掩蓋，他不見得會說謊，但是他很會轉移話題跟包裝自己的言辭。你這時候逼他認錯是不行的，你跟他一樣轉移話題，撒個嬌，他就心軟了。其實他會知錯，但你要給他下台階，他就會給好給滿回罪禮。在愛情裡，要爭的不是一句道歉跟認錯，而是雙方達成的共識，再來溝通都是最好的。</t>
  </si>
  <si>
    <t>正財</t>
  </si>
  <si>
    <t>🌹如何讓他更愛你？⬇️
📍關鍵字：老實、實際、節儉持家、穩定
📍渴望的愛情：他期待著温馨的家，伴侶一定要節儉持家，認為穩定的經濟來源，是鞏固家庭的必要因素之一。他的要求不多，就是期待伴侶跟自己一樣，都是以家庭為優先。
📍如何做：他就已經在衡量你到底有沒有給他一個家的感覺，或是你能不能承擔家庭責任。他考量的位置就是你對家人的態度，平常有沒有家庭活動，以及他把你帶回家之後，他的家人對你的評價是好是壞。
一：《老實賺錢》賺錢的方法有很多種，但一定要老實，不貪不騙，而且還要是你做得到的事情，不要在他面前畫大餅，講得很厲害又不去做。或是，在他面對只講賺大錢，又沒有實際的計劃，他根本看不上眼。不是代表一定要做上班族，而是有賺錢的計劃，實際的操作，有相對應的回報，有穩定的收入。
二：《表現愛家》愛家的表現一定要有，例如安排週末陪伴家人，送禮物送紅包給家人，過年過節日都會跟家人一起度過。這些都能留下好印象，也會激發起，他對你的幻想，幻想著未來組織家庭的畫面。這就是他平淡又温馨的愛情故事。如果，你是追求刺激浪漫，那他給不了你，他只會給你一個安心的家。
三：《節儉不奢華》節儉不是窮酸，而是花得值得、花得實在、花得滿意。例如，你想要增值自我，你選擇投資自己的腦袋，去上課也好去讀書也好，他都很欣賞，如果你學完還可以用來賺錢，絕對能加分。建議是來學八字，他欣賞你的同時，也懂得運用滿足他的胃口。</t>
  </si>
  <si>
    <t>偏財</t>
  </si>
  <si>
    <t>🌹如何讓他更愛你？⬇️
📍關鍵字：得不到摸不透、花得開心、熱臉貼冷屁股、情人曖昧
📍渴望的愛情：有著情人的互動，曖昧的挑逗，二人世界為主。不需要太黏的關係，保留愛情的神秘感，他的浪漫感覺來自於一直猜你的心思，猜對了有獎勵，猜不對沒關下次再努力。
📍如何做：
一：《摸不透》忽冷忽熱地對待他，時而撒嬌，時而冷淡，就是摸不透。好像有又好像沒有的感覺，還要讓他有追求的緊張感。該撒嬌的時候很撒嬌，大部分時間都是比較專注工作冷漠形。對他來說，熱臉貼冷屁股就是有追求的感覺。
二：《得不到》因為得不到，他就會花各種心思去滿足你。所以，真的是越拒絕，他就越主動積極，總之要讓他覺得你難追。你的他，特別喜歡這種像貓咪的情人，把自己想像成貓咪，去對付他，一定中。貓咪個性：心情一般會顯得高儌，心情好又很會撒嬌黏人，黏完後就會自動離開。
三：《要CP值好的》他離不開錢的問題，不一樣的就是花錢要花得開心。但是，同時你還要學著讓他花得開心又有賺到的感覺，就是要找高cp值的東西，不能讓他用太差、住太差，否則他覺得你這個人沒品味，配不上他。他其實很愛玩，但是他總是在花錢之前考慮值不值得的問題，不是他不捨得花，而是他還在找同一樣的東西，有沒有其他地方可以玩得更多更開心。而且，只要他愛你，基本上你任性一點說你喜歡你開心，他都會花錢，花錢是因你而值得，你開心他就開心。</t>
  </si>
  <si>
    <t>情絲（你）</t>
  </si>
  <si>
    <t>合局</t>
  </si>
  <si>
    <t>在你的命盤中，不管伴侶是誰，你都會顯得比較在意、重視，付出卻沒有同等的回報或被愛，明明自己很投入這段感情裡，也覺得自己很好溝通，但每每都是自己受傷害，自己的喜歡好像是一廂情願的付出。這是因為，你還沒遇上跟你一樣有命盤有「合局」的人，所以你就會在每段感情中，感覺不對等，也不被愛。（沒有「合局」的人 ＝ 他不會像你一樣，同樣地付出感情在對方身上。）</t>
  </si>
  <si>
    <t>害局</t>
  </si>
  <si>
    <t>在你的命盤中，你就是帶一個害局，意思是無論伴侶是誰，他都會比較不好溝通，多爭執，容易貌合神離，聚少離多，容易悲觀。他對你的表現，他很愛你寵你卻是嘴巴不好，講一些刺激挑釁你的話，也容易在吵架時各種反對，不認同你，酸言酸語。你講甚麼，他都不要，不去，不做，讓你很煩惱。你也常因為他，而把自己夾在中間，無論是發生怎樣的狀況，你們都沒辦法達成協議，他也不會退一步，只會為難你。
建議，你真的要破解命盤中的夫妻害局，做「愛情療癒組合」有用，但是直接破解會比較能夠擋住他對你不好的磁場，「愛情療癒組合」是增温的催情方法。如果，不去破解，就會持續被冷暴力對待。</t>
  </si>
  <si>
    <t>一合一害</t>
  </si>
  <si>
    <t>一個很愛很投入，另一個愛理不理，交往根本是自虐，「愛的表現」就有很大的差別及相反，一方是無怨無求地付出，只想換來「被愛」的感覺，但一方則是無論在愛不愛的情況之下都呈現「嫌棄」「冷淡」的表，都會讓彼此很難受，在愛情中越來越卑微地愛。而且，越求愛，就會越放肆，吵架時會更加過份地冷暴力。彼此也不會太改變他的方式，所以，你們也會有心累的時候。
所以，在你們對彼此的態度就有很大的問題，雙方對待彼此都比較冷言冷語，而不關心，也不在意對方怎麼了，自己過好自己就好。所以，在沒有發生事情時，本來就已經很冷漠了，只是一方出現狀況，才來求温暖，卻忽略了你們本來的命盤磁場就是如此的惡劣。</t>
  </si>
  <si>
    <t>沖局</t>
  </si>
  <si>
    <t>在你的命盤中，無論伴侶是誰，你的命盤磁場都會吸引到，伴侶容易跟你起衝突。所以，你們交往後，你會覺得莫名其妙，明明小事也能鬧成大事，明明不是你的錯也能講成你犯了大錯。相處之間，容易起伏大，也比較激烈。</t>
  </si>
  <si>
    <t>刑局</t>
  </si>
  <si>
    <t>但是，在你的命盤中，無論伴侶是誰，你會有自尋煩惱的傾向，溝通上有苦難言，有事不説，有心結鬱悶。也有「自己折磨自己」的現象自己走不出來。可能做某些事，讓你尷尬又不知道能不能講，或是想說些什麼又講不出口的情況。就是自找麻煩，容易想太多負面，想像很多不真實的幻想，讓自己越陷越負面，所以你這種負面想法及能量，是很容易影響他想要遠離你的。這是惡的循環，你越亂想，他越離開你，你越不安。</t>
  </si>
  <si>
    <t>X</t>
  </si>
  <si>
    <t>你在對待伴侶方面，都會比較沒有想法，也比較隨性，沒有想太多，所以整體而言，你會比其他情侶都較為平淡，有種隨遇而安「有就好就感覺，沒有也沒差」的感覺。所以，你本來對待他就這麼平淡時，就不能比較別人跟自己的浪漫差別，「比較」只會內耗你的內心，你也沒辦要求他能給你甚麼，因為你也沒做出甚麼。這是你本身的磁場 ＝ 沒想太多、平淡安逸。</t>
  </si>
  <si>
    <t>情絲（你們）</t>
  </si>
  <si>
    <t>合局-你們</t>
  </si>
  <si>
    <t>在你們的命盤中，不管伴侶是誰，你們都會顯得比較在意、重視，也願意付出，是非常好的命盤組合。也代表說，你們會互相對這段感情付出。但是，會有一個情況出現，就是太過在意而會有逼得很緊，想要操控對方的可能，最後會讓彼此喘不過氣，也覺得身心很累，容易活到你們二人的世界裡。所以，在感情關係裡，要學會取得平衡，否則愛過頭，就會很辛苦，想分手。</t>
  </si>
  <si>
    <t>害局-你們</t>
  </si>
  <si>
    <t>在你們的命盤中，無論伴侶是誰，你們的對象都會比較不好溝通，多爭執，容易貌合神離，對愛情容易抱有悲觀的態度。他對你更是冷言冷語，冷漠，容易冷暴力，吵架他會更不瞅不睬，你會覺得他很無情，他對你又愛理不理。他習慣不回應你的愛，也習慣不回答你的問題，他的態度讓你很不知所措，你也總是摸不清他的喜怒哀樂，但比較明顯的是，他對你是比較常處於不滿意的狀態，他心情好的時候說不定好一些，心情不好的時候，肯定是沒有丁點愛的保留。嚴重的是，說不愛就不愛，毫無轉機，他也會很狠心地斷聯，他就是這樣的折磨你。建議，真的要幫自己破解命盤中的夫妻宮害局，做「愛情療癒組合」有用，但是直接破解會比較能夠擋住害局帶來不好的磁場，「愛情療癒組合」是增温的催情方法。如果，不去破解，你這一生的感情悲劇只會重覆發生。</t>
  </si>
  <si>
    <t>沖局-你們</t>
  </si>
  <si>
    <t>在你們的命盤中，無論伴侶是誰，你們的命盤磁場都會吸引到，伴侶容易跟你起衝突。所以，每一段感情在交往後，你會覺得莫名其妙，明明小事也能鬧成大事，明明不是你的錯也能講成你犯了大錯。相處之間，容易起伏大，也比較激烈。</t>
  </si>
  <si>
    <t>刑局-你們</t>
  </si>
  <si>
    <t>在你們的命盤中，無論伴侶是誰，你們會有自尋煩惱的傾向，溝通上有苦難言，有事不説，有心結鬱悶。也有「自己折磨自己」的現象自己走不出來。可能做某些事，讓你尷尬又不知道能不能講，或是想說些什麼又講不出口的情況。就是自找麻煩，容易想太多負面，想像很多不真實的幻想，讓自己越陷越負面，所以你們這種負面想法及能量，是很容易影響他想要遠離你的。這是惡的循環，你越亂想，他越離開你，你越不安。</t>
  </si>
  <si>
    <t>X-你們</t>
  </si>
  <si>
    <t>你們在對待伴侶方面，都會比較沒有想法，也比較隨性，沒有想太多，所以整體而言，你們會比其他情侶都較為平淡，有種隨遇而安「有就好就感覺，沒有也沒差」的感覺。所以，你們本來就這麼平淡時，就不能比較別人跟自己的浪漫差別，「比較」只會內耗你的內心，也磨滅他對你的耐心。</t>
  </si>
  <si>
    <t>情絲（他）</t>
  </si>
  <si>
    <t>在他的命盤中，無論伴侶是誰，他都會容易跟伴侶起衝突。所以，你們交往後，你會覺得莫名其妙，明明小事也能鬧成大事，明明不是你的錯也能講成你犯了大錯。相處之間，容易起伏大，也比較激烈。</t>
  </si>
  <si>
    <t>合局-情侶</t>
  </si>
  <si>
    <t>在他命盤中，他渴望愛，他追求愛，常常在愛情裡慾求未滿，容易來一個愛一個，除非他遇上一個很滿意的情人，才會停止到處留情。否則，他容易因為「渴望」「不滿足」而移情別戀。他習慣心裡裝著一個他重視的人，習慣愛著一個人，如果你沒有被愛的感覺，就是代表他心中還有留了一個重要位置給別人（前任/最愛的人），或許他把愛轉移到別人（第三者）身上了。同時，要注意，他會不會留戀前任/追不到的異性，容易會有放不下「最愛」的可能，或是比較容易懷念前任。
當他遇到很滿意的情人，一旦投入愛河，就叫不醒他，會非常戀愛腦，事事以你為先。他會表現得非常在意你，也願意對你付出，不求回報，他也很投入這一段親密關係裡，願意配合的需求，迎合你，所以，你往往都能得到他的照顧，他對你會是像公主的對待，你有需求他都會盡可能實現，也不怕勞累。同時，他會表現出他的專情專一，通常他是非常適合愛情長跑，細水長流的愛情《他沒有，就代表你不是他最愛的那位。》</t>
  </si>
  <si>
    <t>合局-曖昧</t>
  </si>
  <si>
    <t>他命盤中帶合局，無論伴侶是誰，他都會非常在意伴侶，也願意對伴侶付出，不求回報，他也很投入這一段付出愛的關係裡，他也願意配合伴侶的需求，迎合她。同時，也要注意他即使沒有固定的伴侶，也肯定是他心目中已經留有一個位置給人了，所以他才會忽略其他異性，或是他現在只想在意某一個情人。</t>
  </si>
  <si>
    <t>合局-小三</t>
  </si>
  <si>
    <t>他命盤中帶合局，無論情人是誰，他都會非常在意情人，也願意對情人付出，不求回報，他也很投入這一段付出愛的關係裡，他也願意配合情人的需求，迎合她。
同時，也要注意，他現在是有情人的情況之下，他再怎麼樣曖昧花心，他的心始終會回到情人上，除非他已經心死了，要尋覓下一個情人。不然，他心中其實會有一個位置留給一個「她」。</t>
  </si>
  <si>
    <t>但是，在他的命盤中，代表無論伴侶是誰，他會有自尋煩惱的傾向，溝通上有苦難言，有事不説，有心結鬱悶。可能他做某些事，讓你尷尬又不知道能不能講，或是想說些什麼又講不出口的情況。就是自找麻煩，容易想太多負面，想像很多不真實的幻想，讓自己越陷越負面，所以他這種負面想法及能量，是很容易影響你們之間的感情的，尤其是主控權在他手上時，他就顯得更惡劣，你也很難靠近他。你無法讓他開懷一些的話，你也永遠走不進他悲觀的內心。</t>
  </si>
  <si>
    <t>在他的命盤中，無論伴侶是誰，他都會比較不好溝通，多爭執，容易貌合神離，對愛情容易抱有悲觀的態度。他對你更是冷言冷語，冷漠，容易冷暴力，吵架他會更不瞅不睬，你會覺得他很無情，他對你又愛理不理。他習慣不回應你的愛，也習慣不回答你的問題，他的態度讓你很不知所措，你也總是摸不清他的喜怒哀樂，但比較明顯的是，他對你是比較常處於不滿意的狀態，他心情好的時候說不定好一些，心情不好的時候，肯定是沒有丁點愛的保留。嚴重的是，說不愛就不愛，毫無轉機，他也會很狠心地斷聯，他就是這樣的折磨你。建議，真的要幫他破解命盤中的夫妻害局，做桃花供有用，但是直接破解會比較能夠擋住他對你不好的磁場，桃花供是增温的催情方法。如果，不去破解，就會持續被冷暴力對待。</t>
  </si>
  <si>
    <t>而他，在對待伴侶方面，都會比較沒有想法，也比較隨性，沒有想太多，所以整體而言，他的態度會比起其他異性都較為平淡，沒有把對方的要求或期待放在心上，所以在愛情上會顯得比較遲鈍沒心思，這些都是命盤的影響，不能拿作他不喜歡你的理由。你也要學會愛自己，才能引導他學習愛你的方式，不然他只會沒有想法，而你郤一直懷疑他，所以不要過度求他愛你，你要先愛自己，他才懂得愛你。</t>
  </si>
  <si>
    <t>情趣</t>
  </si>
  <si>
    <t>害局- 分手</t>
  </si>
  <si>
    <t>在你們的情趣交流上，情趣生活會比較不好溝通，多爭執，容易貌合神離，冷感，容易有負面想法，尤其是他對你會比較明顯。你們情話方面，會容易感到不滿意，或不夠滿意，即使溝通好也沒辦法做到有默契。情話不多，酸言酸語，幹話會比較多，自己聽了會不舒服。而且，你們也容易出現變卦，說喜歡就喜歡，不喜歡就消失。甚至會有互看不順眼的時候，有發生過關係，也有可能單方面覺得床事不合，沒辦法有情慾的感覺。或是，有床事的需求時，其中一方不配合，過程不滿足，不舒服。萬一遇上一個，能激發起你們情慾的人，就會容易出軌外遇，才會有「正宮床上功夫不好而不滿足」「小三讓我好舒服而不想離開」的情況，嚴重會有不能離開第三者的可能，因為第三者能滿足你們的胃口。
所以，即使復合也不會有甜蜜的感覺，也不能用情趣去彌補你們之間的感情。</t>
  </si>
  <si>
    <t>害局- 情侶</t>
  </si>
  <si>
    <t>在你們的情趣交流上，情趣生活會比較不好溝通，多爭執，容易貌合神離，冷感，容易有負面想法，尤其是他對你會比較明顯。你們情話方面，會容易感到不滿意，或不夠滿意，即使溝通好也沒辦法做到有默契。情話不多，酸言酸語，幹話會比較多，自己聽了會不舒服。而且，你們也容易出現變卦，說喜歡就喜歡，不喜歡就消失。甚至會有互看不順眼的時候，有發生過關係，也有可能單方面覺得床事不合，沒辦法有情慾的感覺。或是，有床事的需求時，其中一方不配合，過程不滿足，不舒服。萬一遇上一個，能激發起你們情慾的人，就會容易出軌外遇，才會有「正宮床上功夫不好而不滿足」「小三讓我好舒服而不想離開」的情況，嚴重會有不能離開第三者的可能，因為第三者能滿足你們的胃口。
所以，即使和好也不會有甜蜜的感覺，也不能用情趣去彌補你們之間的感情。</t>
  </si>
  <si>
    <t>害局- 曖昧</t>
  </si>
  <si>
    <t>在你們的情趣交流上，情趣生活會比較不好溝通，多爭執，容易貌合神離，冷感，容易有負面想法，尤其是他對你會比較明顯。你們情話方面，會容易感到不滿意，或不夠滿意，即使溝通好也沒辦法做到有默契。情話不多，酸言酸語，幹話會比較多，自己聽了會不舒服。而且，你們也容易出現變卦，說喜歡就喜歡，不喜歡就消失。甚至會有互看不順眼的時候，有發生過關係，也有可能單方面覺得床事不合，沒辦法有情慾的感覺。
所以，即使和好也不會有甜蜜的感覺，也不能用情趣去彌補你們之間的感情。</t>
  </si>
  <si>
    <t>同氣 - 任何</t>
  </si>
  <si>
    <t>在你們的情趣上，是有很特別的狀況，交往前「無話不說」，交往後「無話可說」，意思就是你們會因為一開始太好聊了，所以覺得彼此都有意思，也覺得很有默契，好像是天注定一樣，你們也覺得對方跟自己一樣，很同頻，是同類。但是，交往後，就是因為太一樣了，沒有互補的感覺，長期下來會理所然地覺得對方會懂，就沒有去表達或行動。最後，因為太熟悉對方，沒有新鮮感，也沒有互補的作用，就會變成「因為太了解對方，才會分手」的情況。</t>
  </si>
  <si>
    <t>沖局-情侶</t>
  </si>
  <si>
    <t>在你們的情趣上，你們之間的溝通上比較有火花，有好也有壞，好的話就是讓彼此意想不到，可能會有新鮮感。壞的話，就是可能太過突兀而感到受打擊，不懂得接情話，顯得尷尬。或是，你們對床事有爭吵的時候，或容易對彼此有意見。如果，沒有打算生小孩，或未婚，建議要小心做好安全措施，否則緣份不足還是會有「先懷有小孩再結婚」的情況，婚後愛情基礎不足而常常吵架，最後分手離婚。所以，會結婚也不一定是姻緣終點站，也有可能是意外結婚。
同時，就算不和，在表面上關係好，但是一旦回到家就會開始吵架，也會在家裡吵架，也比較常意見不合。
建議，你要勾起他心中的慾望，盡可能滿足他的刺激感，不宜保守矜持，你可以多穿性感的衣服引誘他，多以曖昧情色的話題讓他對你有興趣，要注意有機會是，緣份不足，會把你當成炮友。</t>
  </si>
  <si>
    <t>沖局-曖昧</t>
  </si>
  <si>
    <t>在你們的情趣上，你們之間的溝通上比較有火花，有好也有壞，好的話就是讓彼此意想不到，可能會有新鮮感。壞的話，就是可能太過突兀而感到受打擊，不懂得接情話，顯得尷尬。或是，你們對床事有爭吵的時候，或容易對彼此有意見。如果，沒有打算生小孩，或未婚，建議要小心做好安全措施，否則緣份不足還是會有「先懷有小孩再結婚」的情況，婚後愛情基礎不足而常常吵架，最後分手離婚。所以，會結婚也不一定是姻緣終點站，也有可能是意外結婚。
建議，你要勾起他心中的慾望，盡可能滿足他的刺激感，不宜保守矜持，你可以多穿性感的衣服引誘他，多以曖昧情色的話題讓他對你有興趣，要注意有機會是，緣份不足，會把你當成炮友。</t>
  </si>
  <si>
    <t>在你們的情趣中，你們其實也蠻喜歡調情，聽懂對方的甜言蜜語，也有默契。大家也投入這份交流上，情投意合。你們的床事也比較有默契，說明你們其實很歡愉，講情話雙方都覺得很心醉又甜，床事好溝通，好配合，情話不嫌多，因為都全盤接收，也能接話，互相甜言蜜語，粉紅泡泡。所以，有事吵架，麻煩用情趣解決，會馬上和好，對方要求就不要拒絕，對他來說，「性」就是原諒的一種。
所以，建議你重拾一下，或是重頭來過，以曖昧情話，或是以你已知他的情慾點作切入，讓他重新再看上你一眼。但是，如果他沒心愛你，你還是會淪為「炮友」的角色。建議，多以情慾話題來勾起他的興趣，見面時，可以多有身體接觸，容易情到濃時失控。簡單的方法，就是以「逗他開心」為主軸，多主動情攻，他就會被你弄得心癢癢。</t>
  </si>
  <si>
    <t>合局-炮友</t>
  </si>
  <si>
    <t>在你們的情趣中，你們其實也蠻喜歡調情，聽懂對方的甜言蜜語，也有默契。大家也投入這份交流上，情投意合。你們的床事也比較有默契，說明你們其實很歡愉，講情話雙方都覺得很心醉又甜，床事好溝通，好配合，情話不嫌多，因為都全盤接收，也能接話，互相甜言蜜語，粉紅泡泡。
所以，你們主要就是肉體歡愉的關係，性慾能夠讓他滿足。如果只有性慾，沒有生活共識及相處上的平衡，很大機會就變成他的「床上玩具」。</t>
  </si>
  <si>
    <t>在你們的情趣中，你們其實也好溝通，互相配合，也有默契。大家也投入這份交流上，情投意合。所以，你們一旦有了曖昧的對話，就會很快陷進氣圍了，也很享受曖昧的行為及言語。在情話間，互相聽懂對方的甜言蜜語，也覺得很對胃口，他說什麼都能笑，自己也聽得開心，他也會懂得逗自己開心，在旁人眼裡，可能只是很普通的說話，但是你們雙方都覺得很甜，很曖昧，只有你們兩個懂。情話不嫌多，因為都全盤接收，也能接話，互相甜言蜜語，大家都享受著曖昧的粉紅泡泡裡。
建議，多以情慾話題來勾起他的興趣，見面時，可以多有身體接觸，容易情到濃時失控。簡單的方法，就是以「逗他開心」為主軸，多主動情攻，他就會被你弄得心癢癢。</t>
  </si>
  <si>
    <t>在你們的情趣上，你們在情趣上有說不出口，容易有尷尬感覺，沒辦法暢所欲言，避而不談，總沒辦法衝破關係。浪漫氣氛來了，也會讓彼此尷尬，也往往容易破壞了氣氛。也代表你們在表明心意這方面都有難以開口的感覺，不知道要不要跟對方說，常常有話說不出口，就這樣在心裡一點一點的累積，終究也是拖拖拉拉，雙方都不表態，怎麼相親相愛呢？有時候，在甜言蜜語上沒有共識，就會容易覺得對方不喜歡自己才不浪漫熱情，對現階段的戀愛關係抱著「他隨時離開我」的想法，其實就是刑局所帶來的胡思亂想而自卑沒自信，才更加不敢說出口。自己的負面思想想法比較多，認為自己不夠好，自己越愛他、不捨得他就會越卑微，他就會越冷淡冷漠。
建議，少用言語調情，多加重房間氣氛的怖置，例如音樂、蠟燭、暗燈等等，都能代替你們說出尷尬的話。多利用搞笑愛情影片、情歌來表達你的感受。建議，當發現自己開始被他影響時，就要懂得調整自己的心境，嘗試學會平靜，聽療癒的音樂。否則，你們會陷入悲觀裡，彼此也不舒服。</t>
  </si>
  <si>
    <t>X-分手</t>
  </si>
  <si>
    <t>你們在情趣上也比較沒有火花及交集。代表著，你們難以有進一步的發展，停滯不前。你們在情趣上沒有交集，代表他的情趣你不懂，你的情趣他不懂，常常交錯。最重要是，你沒辦法激起他的情慾需求，他覺得跟你上床會比較無聊，或是過於平淡，無法被滿足。所以，你們也比較難有甜蜜的時候。你覺得穩定平淡，因為根本沒有火花。萬一遇上一個，能激發起你們情慾的人，就會容易出軌外遇，嚴重會有不能離開第三者的可能，因為第三者能滿足你們的胃口。
所以，即使復合也不會有甜蜜的感覺，也不能用情趣去彌補你們之間的感情。
在整體合盤來說，你們會比較像朋友的相處，少了愛情的火花，也少有激情的部分，容易會因為沒有新鮮感而離開。</t>
  </si>
  <si>
    <t>X-曖昧</t>
  </si>
  <si>
    <t>你們在情趣上沒有交集，代表他的情趣你聽不懂，你的情趣他也搞不懂，常常沒辦法激發到最強烈的愛情火花。所以，你們也比較難有甜蜜的時候。而且，你們一句兩句就中止話題，接不下去，想浪漫，又催不起來，卡在那邊，晾著晾著就新鮮感也沒了。</t>
  </si>
  <si>
    <t>X-情侶</t>
  </si>
  <si>
    <t>你們在情趣上沒有交集，代表他的情趣你不懂，你的情趣他不懂，常常交錯。所以，你們也比較難有甜蜜的時候。而且，你們難以有甜蜜的時候，可以一句兩句就中止話題，接不下去，想恩愛又浪漫不起來，卡在那邊，晾著晾著就新鮮感也沒了。你們適合過著平淡的婚姻生活，但如果其中一方「拿其他情侶夫妻」來比較自己的平淡生活，很容易造成「負面內耗」，不是平淡了沒新鮮感就等於沒愛情，而是你想得到的太多，以為沒有愛情了。
在整體合盤來說，你們會比較像朋友的相處，少了愛情的火花，也少有激情的部分，容易會因為沒有新鮮感而離開。</t>
  </si>
  <si>
    <t>相處</t>
  </si>
  <si>
    <t>害局-曖昧</t>
  </si>
  <si>
    <t>在你們的相處中，做朋友的時候已經會比較不好溝通，容易貌合神離，容易想錯方向，聊天說錯話不懂收場，尤其是他對你會比較明顯。感情關係也容易產生變卦，也有可能就是彼此也比較冷漠對待。你們在溝通上，也難以有一個明確的結論，也容易誤會彼此，也無法理解彼此，常常都是聊到後面變成沉默，聊不下去。他對於你提出的方法或話題，都是愛回不回，有時候比較有意見，有時候就完全不想參與或表達。
建議，發現開始沒辦法達成共識時，就先停下來。硬聊，只會脫離主題，變成不愉快的聊天，會破解感情基礎。你更加要學會跟他相處的方法「🌹如何讓他更愛你？」。因為，你想要他懂得你的好，請先讓他得到滿足，他開心，自然看上你的好。否則，你繼續用自以為是的方法，你也不會得到任何東西，你只會失去更多。</t>
  </si>
  <si>
    <t>害局-情侶</t>
  </si>
  <si>
    <t>在你們的相處中，會比較不好溝通，多爭執，容易貌合神離，聚少離多，容易悲觀，尤其是他對你會比較明顯。感情關係也容易產生變卦，也有可能就是彼此也比較冷漠對待。你們在溝通上，也難以有一個明確的結論，容易吵架，也容易誤會彼此，也無法理解彼此，常常都是聊到後面變成吵架。他對於你提出的方法或話題，都是愛回不回，有時候比較有意見，有時候就完全不想參與或表達。交往後期，會容易多疑、心底容易冒出性格不合的念頭，例如會懷疑對方，一起做抉擇時會意見不一致。
建議，發現開始沒辦法達成共識時，就先停下來。持續爭議下去，只會脫離主題，變成情緒旳抗爭。你更加要學會跟他相處的方法「🌹如何成為他心目中的人？」。因為，你想要他聽你的命令，請先讓他得到滿足，他開心，自然願意做。否則，你繼續用自以為是的方法，你也不會得到任何東西，你只會失去更多。</t>
  </si>
  <si>
    <t>同氣-任何</t>
  </si>
  <si>
    <t>在你們的相處上，是有很特別的狀況，交往前「無話不說」，交往後「無話可說」，意思就是你們會因為一開始太好聊了，所以覺得彼此都有意思，也覺得很有默契，好像是天注定一樣，你們也覺得對方跟自己一樣，很同頻，是同類。但是，交往後，就是因為太一樣了，沒有互補的感覺，長期下來會理所然地覺得對方會懂，就沒有去表達或行動。最後，因為太熟悉對方，沒有新鮮感，也沒有互補的作用，就會變成「因為太了解對方，才會分手」的情況。</t>
  </si>
  <si>
    <t>在你們的相處上，你們之間的溝通上比較有火花，有好也有壞，好的話就是讓彼此意想不到，可能會有新鮮感。壞的話，就是可能太過突兀而感到受打擊，來不及反應，聽懂就會反擊。或是，你們對生活的期待不一樣，容易有爭吵的時候，或容易對彼此有意見。</t>
  </si>
  <si>
    <t>在你們的相處上，你們之間的溝通上比較有火花，有好也有壞，好的話就是讓彼此意想不到，可能會有新鮮感。壞的話，就是可能太過突兀而感到受打擊。也有爭吵的時候，或容易對彼此有意見。容易起衝突，彼此會覺得莫名其妙，明明小事也能鬧成大事，明明不是自己的錯也能講成犯了大錯。相處之間，容易起伏大，也比較激烈。關係緊張，很大部份的意見都是對立的，互不相讓。</t>
  </si>
  <si>
    <t>同時，在你們的相處中，代表你們其實也好溝通，互相配合，也有默契。大家也投入這份交流上，情投意合。基本的話題聊天，都能聊。所以，做朋友時，會覺得彼此都比較有默，容易日久生情。但是，也只限於朋友聊天的情誼，也算是有溝通的基礎。
但是，在整體合盤來說，你們會比較像朋友的相處，少了愛情的火花，也少有激情的部分，容易會因為沒有新鮮感而離開。</t>
  </si>
  <si>
    <t>合局-分手</t>
  </si>
  <si>
    <t>同時，在你們的相處中，你們其實也好溝通，互相配合，也有默契。大家也投入這份交流上，情投意合。基本的話題聊天，都能聊。所以，做朋友時，會覺得彼此都比較有默，容易日久生情。尤其是，你們有溝通基礎，你們商量的時候都比較能夠達成共識，互相退一步遷就不將就。所以，建議：發生問題時，可以以聊天的方式聊開，不要悶在心裡，有合局都要把話講出，不要罵，不要指責，也不要閙，用輕鬆的話題，從淺入深地解開問題，都會對你們有所幫助。長期良好溝通，都會讓彼此更包容缺點，對脾氣情緒都會更加寬容。多以引導的方式，講出他的心底話，一開始要慢慢來，要有耐心，才會建立的溝通基礎，以後發生爭執時也能回到理性溝通，達到共識，共同解決問題的親密度。
所以，建議你們先從朋友的關係再次開始，朋友關係不帶任何復合目的，讓他覺得跟你在一起是舒服的。否則，每天在求復合，只會讓他壓力，更拒絕你，甚至斷絕來往。</t>
  </si>
  <si>
    <t>在你們的相處上，你們在溝通上有說不出口，溝通不到就會在心裡產生鬱悶，不知道要怎麼說出口，也找不到一個更好的方式去講，到最後也會變得越來越不想說，彼此在心裡容累積不爽的想法。就是自找麻煩，容易想太多負面，想像很多不真實的幻想，讓自己越陷越負面，所以你這種負面想法及能量，是很容易影響他想要遠離你的。這是惡的循環，你越亂想，他越離開你，你越不安。交往後期，態度性情冷酷，常常出現嫌棄的情況，你的付出沒回報，他也不會感謝你。</t>
  </si>
  <si>
    <t>X-任何</t>
  </si>
  <si>
    <t>其他方面，交往越久越明顯就是，你們在一般生活裡比較沒有火花及交集。代表著，你們難以有進一步的發展，停滯不前。你們在相處上沒有交集，代表他的話題你不懂，你的話題他不懂，常常對不上頻率。建議你，清楚表明自己的需求，但也要多重複幾次，他才會懂。否則，他腦袋的WI-FI都沒辦法接收你的需求。所以，你們也比較難有非常好聊的時候。意思也就是說，你們比較沒有溝通的基礎，也會有誤會，互相理解的點會比較不一樣。所以，會有很多「自以為」的想像出來。你以為他知道你的付出，你以為他對你是有愛，你以為他知道你的想法，你以為他會聽懂你的要求，等等。但其實很多時候，也是互相不明白，只是猜想，又猜錯。最後，就是雞同鴨講，很難有共識共嗚，沒辦法有更多的話題，只靠著愛情的火花去彊持，但新鮮感消散，溝通基礎也沒有，就很難維持下去。所以，你們也比較難有非常好聊的時候。意思也就是說，你們比較沒有溝通的基礎，也會有誤會，互相理解的點會比較不一樣。
建議，當你不知道怎麼回應時，都不要加太多個人意見引發不必要的誤會，嘗試在自己不認知的範圍裡多欣賞他，鼓勵他跟你分享他的想法，做一個聆聽者。另外，自己在生活裡，多分享自己的開心、愉快的事情，都能吸引他願意跟你溝通交流，彌補了「對不上頻率」的問題。</t>
  </si>
  <si>
    <t>其他方面，比較沒有火花。你們聊天或曖昧都沒辦法讓感情更緊密，難以有進一步的發展，停滯不前。他的話題你不懂，你的話題他不懂，常常對不上頻率。最後，就是雞同鴨講，很難有共識共嗚，沒辦法有更多的話題。長期下來，會覺得跟你聊天好無聊，不有趣，寧願跟其他人多聊一些，也不要跟你有的沒的。最後，會有「突然消失」「不回訊息」的情況，也有可能，他會突然交到情人，直接無視你的存在，斷聯封鎖。</t>
  </si>
  <si>
    <t>快速總結（第一：緣份）</t>
  </si>
  <si>
    <t>他流年太多誘惑</t>
  </si>
  <si>
    <t>幫你做個快速的總結：
第一：他其實對你這個人是有興趣的，但是，流年太多誘惑而定不住，再加上他對愛情比較渴望有刺激感，需要新鮮感才讓他看一眼。你的付出，你的愛意，他看不上眼，才需要精準攻略。否則，你繼續原地踏步，他還是一樣不覺得你是情人的人選，說不定還有更好的條件。</t>
  </si>
  <si>
    <t>你的能量比較低</t>
  </si>
  <si>
    <t>幫你做個快速的總結：
第一：你在感情關係裡的能量偏低的話，你個人會呈現「內耗」「疲憊」「不安」的情況。再來，就是呈現「不對等的愛情結構」。例如「他看不起你」「他不害怕你離開他所以任意妄為」「他不把你放在眼裡而選擇傷害你」。建議你定期找NANA做「愛情療癒組合」提升自己的正能量（補充滿愛情能量更能發揮他喜歡的特質加以吸引他留住他）讓他喜歡靠近你，讓他覺得跟你相處舒服，就自然離不開你。</t>
  </si>
  <si>
    <t>沒辦法對抗父母親</t>
  </si>
  <si>
    <t>幫你做個快速的總結：
第一：他是很喜歡你的，但是他沒辦法堅定的為了你而對抗父母親（對他來說，家人的想法及意見是非常重點）。一是，你曾經做過讓他猶豫要不要繼續下去的事情（吵架後的態度 或 相處不融洽）； 二是，他感受不到你的堅定，他在心裡衡量過後，不值得拚手一博。（理性思維，不會為愛而損失自己）</t>
  </si>
  <si>
    <t>你命盤傷官</t>
  </si>
  <si>
    <t>幫你做個快速的總結：
第一：你的命盤裡，有影響著你感情的磁場，才會導致你的感情路上一波三折，容易出現「我喜歡的人不喜歡我」的情況。建議你可以進行《自我覺察》，從自身可以做調整，你生活越自在舒服，你越能遇到真心欣賞你疼愛你的人。首先，就是覺察自己的負面情緒及想法，再來就是這些想法如何引導你做出的行為，你的言辭是否滿口都是抱怨及挑剔。察覺成功後，再調整，你會發現身邊的人事物對你越來越友善，總是帶著愛。</t>
  </si>
  <si>
    <t>命盤帶七殺</t>
  </si>
  <si>
    <t>幫你做個快速的總結：
第一：你的命盤裡，有影響著你感情的磁場，才會導致你對於感情比較任性、執著、佔有欲強烈。而且，你對待感情過於重視，遇到問題往往經不起考驗，不小心就陷入「情關裡」。建議，你還是參與《愛情療癒組合》學習給予自己安全感，當妳充滿能量就會有歡喜心，妳對他就會多點包容體諒，不再容易動怒。他才會真正地對你對你放下戒心，慢慢對下妳對他的壓力，否則他撐不住，就會直接消失。</t>
  </si>
  <si>
    <t>傷官見官</t>
  </si>
  <si>
    <t>幫你做個快速的總結：
第一：你的命盤裡，有影響著你感情的磁場，就是交往容易臨門一腳不成功，容易因各種事端造成姻緣不順逐。自己對待感情之事過於緊張，太重視而又過度付出在另一半身上，造成對方壓力大，你對他來說就是威脅的存在，所以交往後態度大變，看不順眼，變得冷漠，最後分手或離婚。</t>
  </si>
  <si>
    <t>你命盤帶比/劫</t>
  </si>
  <si>
    <t>幫你做個快速的總結：
第一：你的命盤裡，有影響著你感情的磁場，才會導致你的感情路上一波三折，不管自己還是伴侶，都容易出現「第三者/情敵」或是「爛桃花纏身」。你的命盤會在潛意識中影響你的直覺，導致你常常感到患得患失，沒有安全感，害怕失去等等。建議你可以參與《愛情療癒組合》，作調整。</t>
  </si>
  <si>
    <t>女合局</t>
  </si>
  <si>
    <t>幫你做個快速的總結：
第一：你對愛情的付出，往往都是讓你受傷害，讓你越來越心累。雖然沒辦法阻此你在愛情的投入，但至少你要學會保護自己。建議你，參與《愛情療癒組合》補充愛的能量，學習愛自己，才不會執著於從別人的身上得到愛，也視愛為安全感。當你學會把愛回流到自己身上時，你就不要白白把自己的愛付出去，結果到後來一場空。</t>
  </si>
  <si>
    <t>緣份少</t>
  </si>
  <si>
    <t>幫你做個快速的總結：
第一：你們之間緣份少，自己再努力，也摸不到彼此的需求，也做不到他想要的特質，要做也很吃力。相愛，但還是很無奈。合盤看得赤裸，不需要說謊，你只需要回答自己，你真的希望跟他一輩子嗎？還是你覺得自己可以找到個更喜歡的人？</t>
  </si>
  <si>
    <t>女沒圈</t>
  </si>
  <si>
    <t>幫你做個快速的總結：
第一：目前對愛情的付出，只是因為「伴侶」這個角色，不是真的喜愛這位對象。執著於把「他」套入你心目中的「伴侶」理想定位，你會更痛苦。先不管喜歡不喜歡的考量，如果他是一個適合跟你生活下去的最佳人選，你再考慮目前的生活問題吧。否則，你一直內耗，委屈自己去迎合現實。</t>
  </si>
  <si>
    <t>快速總結（第二：流年）</t>
  </si>
  <si>
    <t>流年磁場太強</t>
  </si>
  <si>
    <t>第二：流年磁場太強，讓你們在這1-2年之間發生了好多事情，很多的壓力、煩惱、突發狀況，也讓你們陷入了情緒的低潮，無法發洩，導致更不安。你們能量過低，很容易撐不過去。</t>
  </si>
  <si>
    <t>刑局陽陽</t>
  </si>
  <si>
    <t>第二：你們對愛情的想法很多，又負面，不敢踏出勇敢的一步，選擇逃避及放棄。再加上，你們傾向有主見，更容易把潛在問題越講越生氣，導致一發不可收捨（分手告終）。</t>
  </si>
  <si>
    <t>刑局陰陰</t>
  </si>
  <si>
    <t>第二：你們對愛情的想法很多，又負面，不敢踏出勇敢的一步，選擇逃避及放棄。再加上，你們傾向被動，更容易把潛在問題越藏越深，導致一發不可收捨（分手告終）。</t>
  </si>
  <si>
    <t>這2年走小三流年磁場</t>
  </si>
  <si>
    <t>第二：這2年走小三流年磁場，他身邊異性會增加，如果你沒有定期清理好磁場，他很容易因為新鮮感而出軌。所以，他才會捨得不理你，冷處理，冷暴力。要及時處理，否則後悔莫及。流年磁場太強，讓你們撐不住，不小心就被上天考倒了。能量太弱，都會有考驗，既然已經發生了，就要花時間讓感情得到治療，再來就是跟他互動要建立更緊密的關係。</t>
  </si>
  <si>
    <t>相處過於平淡沒想法</t>
  </si>
  <si>
    <t>第二：相處過於平淡沒想法，這是很危險的，因為沒有親密感，就代表感情傾向脆弱。你們即使緣份高，也容易被你們消耗到歸0。</t>
  </si>
  <si>
    <t>你合他害</t>
  </si>
  <si>
    <t>第二：你對愛情的付出，不能說他負心漢，而是對他來說真的沒什麼大不了，或是感動不了他。不是你的問題，而是命盤的磁場讓他有這些想法。所以，你們在一起，有點像是情感上的虐待，他越冷暴力，你會更加付出。</t>
  </si>
  <si>
    <t>他命盤惡劣</t>
  </si>
  <si>
    <t>第二：他的命盤磁場，影響著他的行為舉止，所以顯得他對你比較惡劣，不是他的錯，只是他命盤讓他這樣對待愛情。他的冷暴力，冷處理，都會是以後分手的導火線。現在不處理，等到分手才後悔。</t>
  </si>
  <si>
    <t>他-流年煩惱</t>
  </si>
  <si>
    <t>第二：他只是因為流年磁場太強，影響到他的身心狀況不佳，一下子遇到煩惱，才一時衝動下錯誤的決定。這個時候，他背負著壓力，需要你的陪伴，但不要加重他的壓力，需要自己去拿捏。只能告訴你，逗他開心為主，讓他覺得生活還有希望，有你陪伴著他，他才有未來。</t>
  </si>
  <si>
    <t>你-傷官抱怨</t>
  </si>
  <si>
    <t>第二：再加上你的抱怨、碎碎念，他會感受更深。你愛他的方式不對，你希望他做好，但其實沒必要把標準套在他身上，他只會變得越來越冷淡，他也容易變得不想面對你，寧願出去跟其他人在一起。你會願意為了他而改變自己挑剔、說話帶刺、傷害別人的個性？很堅定嗎？你會想改變你們的關係嗎？事到如今，不管誰對誰錯，能不能自己先認錯，自己一直以來，愛他的方式有不對的地方呢？</t>
  </si>
  <si>
    <t>快速總結（第三：相處）</t>
  </si>
  <si>
    <t>沒有利用情趣相合</t>
  </si>
  <si>
    <t>第三：你沒有好好利用情趣相合這一點來激發他的慾望，如果能夠好好應用，成功又更進一步。再搭配我給你的攻略，看不懂就重覆看，反覆嘗試，你一定可以挽回的。</t>
  </si>
  <si>
    <t>你猶豫-情侶</t>
  </si>
  <si>
    <t>第三：其實你自己應該也在猶豫，要不要繼續走下去。但是，你又沒有一個勇氣，也沒有一個理由，想到分開，自己又因為不捨得，這些都是正常的。你需要先問自己，你想要的是什麼？更甜蜜？不放棄？順其自然？</t>
  </si>
  <si>
    <t>你猶豫-分手</t>
  </si>
  <si>
    <t>第三：其實你自己應該也在猶豫，要不要繼續走下去。但是，你又沒有一個勇氣，也沒有一個理由，直到分開，自己又因為不捨得，這些都是正常的。說不定，這一次就給自己一個解脫吧，放下他，也等於放過你自己。</t>
  </si>
  <si>
    <t>損失不愛你的人</t>
  </si>
  <si>
    <t>第三：你只是損失一個不愛你的人，在未來你一定會遇到你愛，而他又愛你的人。只在於，你相不相信。</t>
  </si>
  <si>
    <t>自助人助天助</t>
  </si>
  <si>
    <t>你要學會做他生命中的禮物🎁你們的感情才會更好，心靈會更靠近。你必須把握這次時機，先參與《愛情療癒組合》。
從你自己開始行動，用吸引力法則的能量讓你們更緊密在一起：
一、補充愛的能量：當彼此愛的能量缺乏，無法供應給這段感情，缺乏能量會導致雙方「斷線」，不投入經營關係，直到負能量堆積而分手。
二、調整愛的頻率：同頻才會共振，放下怨念及仇恨，調整你對他的頻率，增加他愛你的舒服感，增強他愛你的連結。（你愛他的言辭行為，是需要得到他的認同，就是共振的意思）
三、持續淨化磁場：當你們 接觸自己及伴侶以外的人，都會沾到負能量，負能量直接影響你們兩個人的情緒、脾氣、習性。所以，才會出現突如其來的不耐煩，發脾氣，生氣等等，這些不合理的狀況（不屬於你們感情的干擾）。
以上三種方法，只適合願意「配合」「執行」「改變」的善緣，有心想要逆轉苦況，請主動諮詢NANA（祕訣不外傳，只給用心經營愛情的善緣）</t>
  </si>
  <si>
    <t>針對你的問題</t>
  </si>
  <si>
    <t>第三：針對你「」</t>
  </si>
  <si>
    <t>桃花供</t>
  </si>
  <si>
    <t>情侶/夫妻</t>
  </si>
  <si>
    <t>針對你目前的狀況，我會建議你做《雙人牽線療癒組合》
從你自己開始行動，用吸引力法則的能量讓你們更緊密在一起：
一、補充愛的能量：當彼此愛的能量缺乏，無法供應給這段感情，缺乏能量會導致雙方「斷線」，不投入經營關係，直到負能量堆積而分手。
二、調整愛的頻率：同頻才會共振，放下怨念及仇恨，調整你對他的頻率，增加他愛你的舒服感，增強他愛你的連結。（你愛他的言辭行為，是需要得到他的認同，就是共振的意思）
三、持續淨化磁場：當你們 接觸自己及伴侶以外的人，都會沾到負能量，負能量直接影響你們兩個人的情緒、脾氣、習性。所以，才會出現突如其來的不耐煩，發脾氣，生氣等等，這些不合理的狀況（不屬於你們感情的干擾）。
以上三種方法，只適合願意「配合」「執行」「改變」的善緣，有心想要逆轉苦況，請主動諮詢NANA（祕訣不外傳，只給用心經營愛情的善緣）</t>
  </si>
  <si>
    <t>復合-斷聯緣份多</t>
  </si>
  <si>
    <t>目前你們已經斷聯了，建議你要先求「復聯」，成功恢復聯絡後，才再怖署下一步。你們緣份也足夠多，成功率也比較高，但是也需要時間發酵去修補缺口。
另外《雙人牽線療癒組合》是利用 吸引力法則運用能量勾線回來，重點在於提升你自己的個人愛情能量，發射「能量紅線」重新建立與他的正向連結。
「復合療癒組合」需要至少要3到6個月時間（不適用於沒耐心的善緣）
一、補充愛的能量：補充自己的愛情能量，越缺乏越無法吸引他回來（往外求愛 ＝ 吸乾別人的能量，他的愛歸0了就會遠離你）。所以，要先補充好愛情能量，他就會回來找你，享受愛與被愛的幸福。
二、修補感情缺口：一段關係裡都會有它的能量場，缺口上會沾著累積的負能量，也有可能是創傷型的疤痕。所以，也需要修復，以免成為未來復合的傷痛藉口。
三、能量紅線：發射「能量紅線」重新建立與他的正向連結。「紅線」是指你跟他之間的連結，包括思念及愛意，透過這條「紅線」灌輸愛情能量，需要確保你對他的想法是正面正向，而不是只有執念及慾望，否則只會帶來反效果（負能量灌輸會導致討厭你）。
另外，可以請求主神或指導靈幫忙：衪們可以加速幫你們撮合，讓你們更快重新開始。衪們認同的話，彼此會迴心轉意，他也會突然間發現你的好，也比較願意放下以往的執念。
但是，復合是需要很堅定的能量，要配合吃早餐素，用行動來表達你對復合的決心，你不配合，神明也難以實現你的願望。</t>
  </si>
  <si>
    <t>復合-有聯絡</t>
  </si>
  <si>
    <t>既然分手了，就代表雙方對於這段感情是不滿意，所以你就要「從根源解決問題」，否則即使回來了，你們也是會因為當初的理由分手。保持聯絡是必須的，而且都比較容易救回來。
建議你做《雙人牽線桃花供》，是首要幫你們在潛意識中作和解，你們以往吵架、開罵、冷暴力、酸言酸語、惡意傷害，都是有給這段姻緣帶來了很多負能量，包括怨恨、悲傷、憤怒、委屈、心痛、憂愁、恐懼。當彼此愛的能量缺乏，無法供應給這段感情，缺乏能量會導致雙方「斷線」，不投入經營關係，累積負能量到爆發就會分開。
一、修補感情缺口：修復這段關係裡的傷害，幫助你們說出內心想法及感受，消除心中的刺（傷口），重新敞開心胸，讓彼此再次進入心中。
二、調整愛情頻率：同頻才會共振，放下怨念及仇恨，調整你對他的頻率，增加他愛你的舒服感，增強他愛你的連結。（你愛他的言辭行為，是需要得到他的認同，就是共振的意思）
三、重新建立愛情關係：重新把這段關係連結，重新走進彼此的心裡，建立親密關係，建立安全感，信任度，親密感等等。
四、可以請求仙佛幫忙：衪們可以加速幫你們撮合，讓你們更快重新開始。衪們認同的話，彼此會迴心轉意，他也會突然間發現你的好，也比較願意放下以往的執念。
但是，復合是需要很堅定的能量，要配合吃早餐素，用行動來表達你對復合的決心，你不配合，神明也難以實現你的願望。
另外，《雙人牽線桃花供》需要完成12場（約3-6個月），加強你們「和好」的效果，我的療癒祕方可以讓你們情慾滿滿，同時，你們就不再受流年打擊，影響你們的情緒，胡思亂想。每做一次雙人療癒桃花供，正能量都是累積的，請穩定好自己的磁場，他才會真正地覺得跟你在一起才是最舒服的，沒必要再在外面找其他人代替你！</t>
  </si>
  <si>
    <t>惡緣-分手</t>
  </si>
  <si>
    <t>針對你目前的狀況，我會建議你參與《愛情療癒組合》
建議你還是往前看。因為其實你會遇到一位跟你緣份更多，你更愛的人，沒必要糾結於這個人。
《愛情療癒組合》就是療癒妳的身心靈，讓你的頭腦清晰，更能放下這段「開花不結果」的感情，讓你重新開始。
一：抹去眼瘴，你就會更能發現自己的正緣到底是誰。而且，眼光正確，選擇一個愛你而你又愛他的正緣桃花。
二：當你持續做愛情療癒，你的能量越高，就能越吸引高質量的正緣桃花，保持穩定感情。
三：能量越高，越遠離爛桃花。如果，你不去化解，你的爛桃花及情債會一直折磨著你，很痛苦的，最後，一直單身，或者是都遇不到一個真心喜歡自己的人。
另外，《愛情療癒組合》做至少12次，可以增加自己的桃花能量，你值得一個更疼愛你的人，你值得一個接受你的愛的人，你更值得一個欣賞你的愛的人。即使你原諒他，還是心裡有疙瘩，缺乏安全感還是會一樣製造煩惱。你沒有解決問題的能力，就不要談復合。</t>
  </si>
  <si>
    <t>曖昧桃花供</t>
  </si>
  <si>
    <t>針對你目前的狀況，我會建議你參與《雙人牽線療癒組合》，加速你們的感情發展，就算遠距離也能保持穩定，也能加快你們對未來期昐的實現，例如成為情侶。
《雙人牽線療癒組合》就是療癒妳的身心靈，讓你跟他在現實裡溝通會明顯順利。
一：建立愛情紅線，加強同頻共振，你就會更能知道如何符合他的心意，如果，你先不化解你們之間的阻礙，拖拖拉拉，很大機會會錯過他這位正緣！
二：當你持續做愛情療癒，你的能量越高，就能越維持高質量的正緣桃花，保持穩定感情。
三：能量越高，越快速順利交往，也欣賞疼愛彼此。這就是愛情能量的顯化。
另外，《雙人牽線療癒組合》需要完成12次，加強你們「交往」的效果，我的感情祕方可以讓你們情慾滿滿，同時，你們就不再受流年打擊，影響你們的情緒，胡思亂想。每做一次愛情療癒，正能量都是累積的，請穩定好自己的磁場，他才會真正地覺得跟你在一起才是最舒服的，沒必要再在外面找其他人代替你！</t>
  </si>
  <si>
    <t>收尾</t>
  </si>
  <si>
    <t>❌ 不要再摧毀自己的愛情
✅ 建議你，可以留意NANA的《戀愛說明書》的課程，用命理的專業知識了解愛情及對方，用對方式滿足他的心，讓他知道，你是他遇過最想得到的情人！
✅ 配合《愛情療癒組合》，停止內耗，馬上調整自己的行為舉止，讓他對你改觀！
✅ 做好決定，NANA就會送您身心靈療癒同步進行是最有效，他絕對沒有理由不愛你！</t>
  </si>
  <si>
    <t>第一部：必要 開場白</t>
  </si>
  <si>
    <t>奇門遁甲就是一道保護罩</t>
  </si>
  <si>
    <t>磁場就是能量場
能量越低，磁場就會吸引到意外、被搶男人、生活不順、官司訴訟；
能量越高，磁場就會吸引到正桃花、疼愛你的人、幸運、順利、幸福。
奇門遁甲就是一道保護罩，破解你天生自帶的凶相後，就像是有一道正能量阻隔了「慘劇」，避開了讓自己後悔的事，才能真正過上平安的生活。
它擁有一生保護你的價值，擋掉了最嚴重的命數，只有發生可承擔的小劫數； 
它也讓你獲得一生的自由，解脫天命讓你心煩的業力，逃離注定讓你痛苦的遭遇。
以往算命都只告訴你多糟糕，如今奇遁讓你一切重新開始。
你若繼續胡塗下去，你就只能繼續「被天註定」。</t>
  </si>
  <si>
    <t>📍循行漸進的改善運勢方式</t>
  </si>
  <si>
    <t>📍循行漸進的改善運勢方式
1️⃣ 煙供至少9-12場，磁場及思維才穩定
2️⃣ 每年擋流年磁場的沖擊
3️⃣ 加強要從家運開始（家宅睡覺=充電=充各種能量）
4️⃣ 命盤根治</t>
  </si>
  <si>
    <t>第二部：必要 標題</t>
  </si>
  <si>
    <t>✅必須破解（擋衰）</t>
  </si>
  <si>
    <t>🔸命盤凶相：阻礙你的本命能量（必須破解＝擋衰）</t>
  </si>
  <si>
    <t>破解「傷官」</t>
  </si>
  <si>
    <t>🔺：破解「傷官」，事業才能有出頭，避免人際麻煩事，化解「情路坎坷」，避免官司意外等不利之事發生。傷官，女以官為夫，傷官就是傷害丈夫/配偶的意思，化解後，不再壓制配偶，配偶也會感到與你在一起是舒服的，不會再想逃避你，你的言詞不再帶有攻擊性，配偶也會比較體諒及包容你，感情會更恩愛甜蜜，少爭執。破解後，感情才會順心如意，不再得到愛情失敗的結局。</t>
  </si>
  <si>
    <t>命盤有2個傷官</t>
  </si>
  <si>
    <t>命盤有2個傷官，很嚴重，對感情事非常不利。人生中，各種突發事件發生，而且沒完沒了，難以處理，覺得自己能活過來已經很不錯了。衰事接二連三還不夠，麻煩事常自動主動找上門，關關難過，也只能關關過，硬著頭皮撐過去。所以，你一生會很累，還沒休息夠又再來。精神緊繃，撐不住就會崩潰。</t>
  </si>
  <si>
    <t>「傷官見官」</t>
  </si>
  <si>
    <t>🔺：命盤中有最嚴重的凶相「傷官見官」，你的人生容易發生突發意外、血災、受傷等等，在職場上，常被針對及找你麻煩。內心負能量也比較多，心緒不寧。在愛情上，容易因為自己的狀況不佳，而無意間傷害到另一半，最後另一半也受不了，選擇離開。各種突發狀況，讓你意想不到，也會讓你懷疑人生。要注意生命安全，平安渡過為主，再來求好。否則，自己不好，生活也不會好。破解《傷官見官》後，感情開始回到正軌，不再容易分手離婚，更重要的是，自己也會有所改變，從前情緒起伏大，也變得逐漸平穩平靜。所以，人緣及職場也會較舒服，別人對待自己也友善些，不再被刻薄對待。</t>
  </si>
  <si>
    <t>破解流年「傷官」</t>
  </si>
  <si>
    <t>🔺：2024年，破解流年走「傷官」，事業才能有出頭，避免人際麻煩事，化解意外事件，化解官司糾紛、減少被針對。走傷官，你容易情緒低落，想法負面，容易悲觀。突如其來的悲傷，內心對話會把自己推到盡頭或谷底，沒自信，懷疑自己，變得迷惘。這一年的心理狀況不理想，不小心就把情緒發洩出來，誤傷家人伴侶，或是得罪朋友同事。情緒起伏大，容易想哭，內心也容易激動，一不小心就顯露出來。傷官，女以官為夫，傷官就是傷害丈夫/配偶的意思，化解後，流年跟配偶感情和好，不再過度重視配偶，看配偶也比較順眼，不再想分手離婚。</t>
  </si>
  <si>
    <t>破解對象流年「傷官」</t>
  </si>
  <si>
    <t>🔺：2024年，破解流年走「傷官」，避免官司訴訟、職場針對及麻煩、擋掉流年的磁場沖擊，包括負能量、意外、血災、受傷等等。傷官年，負能量很重，男人走到這一年很容易想要逃避婚姻喊離婚，會寧願跟其他人在一起也不要回家。心情很差很糟糕，腦袋自尋煩惱，做錯決定而自找麻煩。破解後，能擋掉流年傷官所帶來的災禍及煩惱。</t>
  </si>
  <si>
    <t>破解流年「傷官見官」</t>
  </si>
  <si>
    <t>🔺：2024年，破解流年「傷官見官」，避免官司訴訟、職場針對及麻煩、擋掉流年的磁場沖擊，包括負能量、意外、血災、受傷等等。官司纏身，一整年都沒辦結案，而且還會惡化。心緒不寧，容易因為自己的狀況不佳，而無意間傷害到另一半，最後另一半也受不了，選擇離開。各種突發狀況，讓你意想不到，也會讓你懷疑人生。今年，要注意生命安全，平安渡過為主，再來求好。否則，自己不好，生活也不會好。</t>
  </si>
  <si>
    <t>破解第二個「傷官」</t>
  </si>
  <si>
    <t>🔺：破解第二個「傷官」，完全擺脫壞磁場，感受性會更明顯。2個傷害就是有2倍的殺傷力，不能只破解一個，否則還是會被衰神找上門。</t>
  </si>
  <si>
    <t>破解「偏印」</t>
  </si>
  <si>
    <t>🔺：破解「 偏印（P）」，原本生活充滿小人，他們不會明顯地傷害你，但是會讓你添麻煩。你跟著他們做的決定去走，你會落入煩惱裡，根本百害而無一利。你習慣了，就會覺得人際關係很不可靠，甚至變得沒安全感，只相信自己。破解後，避免小人陷害，避免惡姻緣，避免被扯後腿、斷送財根、遭陷害、身敗名裂等事件發生。偏印，就是小人的意思，化解後，小人（爛桃花/第三者）就會遠離你，少來界入你的感情關係，也少了挑釁離間你跟配偶的感情。小人（家人、上司、長輩）也會轉化成善緣，友善對待，對你也滿意，不再酸言酸語，多了一份接受及融入。</t>
  </si>
  <si>
    <t>命盤有2個偏印</t>
  </si>
  <si>
    <t>命盤有2個偏印，小人很嚴重，生活過得不太好。小人，是指暗裡傷害你的人，有些背後講你是非，針對你；有些是讓你發生意外，通常都矇在鼓裡；有些是他們做的決定都會讓你添麻煩，讓你更一蹋糊塗，自己只能受委屈。</t>
  </si>
  <si>
    <t>「梟印奪食」</t>
  </si>
  <si>
    <t>🔺：破解命盤「梟印奪食」的凶相，小人很嚴重，生活過得不太好。小人，是指暗裡傷害你的人，有些背後講你是非，針對你；有些是讓你發生意外，通常都矇在鼓裡；有些是他們做的決定都會讓你添麻煩，讓你更一蹋糊塗，自己只能受委屈。所以，你的人生常常打掉重來，你是有能力的，但不被欣賞還被狠狠利用完就丟掉。化解後，你會得到重生，不再小心眼看身邊的人。你的付出，會引來貴人，也會投入在一個領域裡脫穎而出。你的能力重新發揮在你的成功上，你值得擁有更多的肯定及回報。</t>
  </si>
  <si>
    <t>破解流年「偏印」</t>
  </si>
  <si>
    <t>🔺：破解2024流年「 偏印（P）」，小人為患的一年，不知是敵是友，容易被陷害，有人來幫忙結果來添麻煩，讓你更不知所措。表面好人，暗裡講你是非又針對你，也容易錯信人，最後大難臨頭各自飛。小人是暗地的，不會讓你知道他的存在，當你發現的時候，已經為時已晚。化解後，小人退散，大事化小。不小心就惹上麻煩，最後也會放過你，或是突然消聲匿跡。趕走小人要靠破解，否則越趕越靠近。</t>
  </si>
  <si>
    <t>破解流年「梟印奪食」</t>
  </si>
  <si>
    <t>🔺：破解2024流年「 偏印（P）」，化解「梟印奪食」，避免被扯後腿、斷送財根、遭陷害、身敗名裂等事件發生。偏印，就是小人的意思，化解後，小人（爛桃花/第三者）就會遠離你，少來界入你的感情關係，也少了挑釁離間你跟配偶的感情。小人（家族）也會同意你們的感情進展，對你也滿言，不再酸言酸語，多了一份接受及融入。</t>
  </si>
  <si>
    <t>破解第二個「偏印」</t>
  </si>
  <si>
    <t>🔺：破解第二個「偏印（P）」，完全擺脫小人磁場，感受性會更明顯。2個小人就是有2倍的傷害力，不能只破解一個，否則還是會被小人找上門。</t>
  </si>
  <si>
    <t>破解「劫財」</t>
  </si>
  <si>
    <t>🔺：破解「劫財」，原本你做任何事都會有人來「假借合作」實際上是利用你。不管是家人還是職場，自己辛苦賺的錢，能撈則撈，能拿則拿，有本事就是你拿別人，磁場能量不夠，就是被別人搶走。莫名其妙破財，雖然是自己願意付出，但還是拿不回來。破解後，避免投資失敗，大筆被騙，解決第三者明搶情人，避免伴侶招惹野花，避免惡意競爭，解決有人惡意爭奪自己的人緣、桃花、財源。劫財，就是劫奪的意思，破解後，沒有人能奪走你的情人，即使有人想要來奪走也會破攻。伴侶也會為了你，而懂得拒絕異性，保持距離。</t>
  </si>
  <si>
    <t>命盤有2個劫財</t>
  </si>
  <si>
    <t>🔺：破解第二個「劫財」，完全擺脫劫奪資源的磁場，感受性會更明顯。2個劫財就是有2倍的破財力，不能只破解一個，否則還是會被人拿錢沒完沒了。</t>
  </si>
  <si>
    <t>「劫財奪正財」</t>
  </si>
  <si>
    <t>🔺：破解命盤「劫財奪正財」的凶相，意思就是你的人生都是「穩定收入都很快被拿走」。原本你賺的錢都可以存錢，或是自己吃喝玩樂，但是這個凶相在你的命盤中，導致有「你賺的錢都不是你的」的情況，如果不處理，你會覺得錢不夠，還很厭倦自己的人生，也覺得努力沒有用，也過得吃力不討好。所以，必需要先破解劫財，否則，你破財的煩雜瑣碎事，都會比別人嚴重。</t>
  </si>
  <si>
    <t>破解流年「劫財」</t>
  </si>
  <si>
    <t>🔺：2024年，破解流年走「劫財」，避免錢財流失，被爭奪資源，減少被借錢被騙投資合作的情況，解決感情困擾。破解後，減少惡性競選，減少損友干擾，減少挑釁離間的事情發生。劫財，就是劫奪的意思，化解後，沒有人能奪走你的情人，即使有人想要來奪走也會破攻。伴侶也會為了你，而懂得拒絕異性，保持距離。</t>
  </si>
  <si>
    <t>破解流年「劫財奪正財」</t>
  </si>
  <si>
    <t>🔺：破解2024年「劫財奪正財」，避免「穩定收入都很快被拿走」，這一年你賺的錢原本都可以存錢，或是自己吃喝玩樂，但是在這一年會有「你賺的錢都不是你的」的情況，如果不處理，你會覺得錢不夠，還很厭倦，也覺得努力沒有用，也過得吃力不討好。所以，必需要先破解劫財，否則，你破財的煩雜瑣碎事，都會比別人嚴重。</t>
  </si>
  <si>
    <t>破解第二個「劫財」</t>
  </si>
  <si>
    <t>破解「比肩」</t>
  </si>
  <si>
    <t>🔺：破解「比肩」，這個是吸引第三者的磁場（不管是自己還是）所以，如果是命中常常有第三者來糾纏伴侶，一定要破解。在生活方面，原本重視朋友，寧願跟朋友出去也會跟伴侶改時間，朋友一句話，相信十足。朋友多不多視乎你的社交能力，但你一定不會讓自己孤獨。如果，生活圈沒有相知的朋友，會很難受。避免朋友來佔小便宜、借錢、合作投資通常都會失敗。自己賺到錢，會不知不覺被拿走（借錢，合作，投資等等）。比肩，就是朋友人脈的意思。化解後，減少不必要的朋友來往，懂得保持朋友距離，減少不必要的誤會，跟朋友走得太近，不懂拿捏分寸，伴侶其實都看在眼裡。減少自己重視朋友而忽略伴侶的情況，減少朋友干涉自己生活的事情發生，減少朋友影響自己的頭腦，減少做錯決定。</t>
  </si>
  <si>
    <t>命盤有2個比肩</t>
  </si>
  <si>
    <t>🔺：破解第二個「比肩」，完全擺脫劫奪資源的磁場，感受性會更明顯。2個比肩就是有2倍的破財力，不能只破解一個，否則還是會被人拿錢沒完沒了。</t>
  </si>
  <si>
    <t>「比肩奪偏財」</t>
  </si>
  <si>
    <t>🔺：破解命盤「比肩奪偏財」的凶相，避免「朋友聚會太多而花費支出過多」以及「吸引親朋好友來問你借錢投資」，但是這個凶相在你的命盤中，會因為人情壓力、人情勒索、顧面子，而一直被強迫花錢。如果不處理，你會面臨入不敷支，甚至要借貸過生活。所以，必需要先破解比肩，否則，你會夾在朋友跟錢之間，讓你吃力不討好。</t>
  </si>
  <si>
    <t>破解流年「比肩」</t>
  </si>
  <si>
    <t>🔺：2024年，破解流年走「比肩」，避免錢財流失、爭奪資源，解決感情困擾、避免第三者介入，收支更穩定。比肩，就是朋友人脈的意思，化解後，不再被朋友干擾自己的感情，減少朋友在背後挑釁離間，減少被閏蜜背叛的情況，也減少自己重視朋友而忽略配偶的情況，配偶也同樣在乎你而不再頻繁赴約朋友的聚會。</t>
  </si>
  <si>
    <t>破解流年「比肩奪偏財」</t>
  </si>
  <si>
    <t>🔺：破解2024年「比肩奪偏財」，避免「朋友聚會太多而花費支出過多」以及「吸引親朋好友來問你借錢投資」，這一年你會因為人情壓力、人情勒索、顧面子，而一直被強迫花錢。如果不處理，你會面臨入不敷支，甚至要借貸過生活。所以，必需要先破解比肩，否則，你會夾在朋友跟錢之間，讓你吃力不討好。</t>
  </si>
  <si>
    <t>破解第二個「比肩」</t>
  </si>
  <si>
    <t>🔺：破解第二個「比肩」，完全擺脫人情勒索的磁場，感受性會更明顯。2個比肩就是有2倍的漏財力，不能只破解一個，否則還是會被人拿錢沒完沒了。</t>
  </si>
  <si>
    <t>對象破解「比肩」</t>
  </si>
  <si>
    <t>🔺：破解「比肩」，避免朋友來佔小便宜、借錢、合作投資通常都會失敗。在感情上，也避免情敵/第三者的磁場，不管自己或伴侶都有機會吸引異性纏身。比肩，就是朋友人脈的意思。化解後，不再被朋友干擾自己的感情，減少朋友在背後挑釁離間，減少被閏蜜背叛的情況，也減少自己重視朋友而忽略配偶的情況，配偶也同樣在乎你而不再頻繁赴約朋友的聚會。</t>
  </si>
  <si>
    <t>破解「七殺」</t>
  </si>
  <si>
    <t>🔺：破解「七殺」，原本你的思緒也比較混亂，腦壓高，常常思考，所以顯得思慮過多而壓力大。很多時候都是自己想得太用力，也可能是太盡責，搞到自己常常瞎忙。上司長輩這些角色，也常對你施壓，讓你越來越有個性，做自己表達自己，卻成為了他們的煩惱。化解事業阻礙，化解上司挑剔針對，避免血光之災，避免意外頻頻。七殺，就是爛桃花/小情人的意思，避免遇上爛桃花爛姻緣，避免了他們假的承諾，也避免了甜言密語讓你衝動不理性不理智，盲目去付出錯愛的心，盲目地在乎錯的人。你對情人的壓迫感也會減少，情人就會順著你變得聽話，也比較不會硬要跟你吵架。</t>
  </si>
  <si>
    <t>破解流年「七殺」</t>
  </si>
  <si>
    <t>🔺：2025，破解流年走「七殺」，化解事業阻礙，化解上司挑剔針對，避免血光之災，避免意外頻頻。七殺，就是爛桃花/小情人的意思，避免遇上爛桃花爛姻緣，避免了他們假的承諾，也避免了甜言密語讓你衝動不理性不理智，盲目去付出錯愛的心，盲目地在乎錯的人。你對情人的壓迫感也會減少，情人就會順著你變得聽話，也比較不會硬要跟你吵架。</t>
  </si>
  <si>
    <t>破解第二個「七殺」</t>
  </si>
  <si>
    <t>🔺：破解第二個「七殺」，完全擺脫暴躁的磁場，感受性會更明顯。2個七殺就是有2倍的殺傷力，不能只破解一個，否則還是會很大壓力地過活。</t>
  </si>
  <si>
    <t>破解命盤「官殺混雜」</t>
  </si>
  <si>
    <t>🔺：破解「七殺」，你命盤中官殺混雜，你以往的感情生活都較複雜，婚前容易與多位男性交往，心神不定，婚後也容易吸引第三者介入。再者，你壓抑著自制力，內心常掙扎，總覺得有更好的選擇，遇上誘惑的考驗會很煩惱又很痛恨，處理不好則墜入感情婚姻的糾紛中。感情也常常處於二選一的困難中，覺得都好好，不想錯過最好，顯得貪心又無法掌控自己的愛情。如果，你很愛伴侶，則為他忠心忠誠，否則上述的事情會在某一天顯露。</t>
  </si>
  <si>
    <t>單身破解流年「七殺」</t>
  </si>
  <si>
    <t>🔺：2025，破解流年走「七殺」，減少突發事件‧發生意外、受傷流血、動刀手術事件。減少壓力過大而生病，要注意身體健康。單身，要注意遇到爛桃花，來玩弄感情，或詐財詐色。破解後，會還遇到殺傷力較低的情人。事業上減少飛來橫禍的事情，更有衝勁，更積極，更專注在事業，要好好把握這一年的野心，會讓你更上一層樓。</t>
  </si>
  <si>
    <t>對象破解「七殺」</t>
  </si>
  <si>
    <t>🔺：破解「七殺」，原本你的思緒也比較混亂，腦壓高，常常思考，所以顯得思慮過多而壓力大。很多時候都是自己想得太用力，也可能是太盡責，搞到自己常常瞎忙。上司長輩這些角色，也常對你施壓，讓你越來越有個性，做自己表達自己，卻成為了他們的煩惱。化解事業阻礙，化解上司挑剔針對，避免血光之災，避免意外頻頻。</t>
  </si>
  <si>
    <t>破解「食神」</t>
  </si>
  <si>
    <t>🔺：破解「食神」，原本狀況容易疲憊，睡飽還是會累。覺得自己常常都在付出，自己也很努力認真，但往往回報不成正比。你一生中都在洩氣，所以，持續下去會容易熬出病。破解後，增加執行力，減少怠惰感，更有活力做事，做事進取積極。食神，就是福祿的意思，破解後，你不會再怠惰，也不再只享受現況，反而更積極創造自己躺著賺錢的機會，利用自己的頭腦賺錢，用最精簡的方法去賺超越能力的錢，這就是能HOLD住「躺著賺錢」的祕訣。在愛情裡，你的浪漫不再受限制，而且對方也欣賞你的儀式感，為你的心思感到感恩及幸福。</t>
  </si>
  <si>
    <t>破解「雙正官」</t>
  </si>
  <si>
    <t>🔺：破解「正官」，女以官為夫，本命雙官，意思就是一段容易出現兩個情人。化解後，避免桃色糾紛，感情順利，甜蜜幸福。同樣，也避開了「選擇困難」，容易要在兩個對象裡擇一去交往或結婚。</t>
  </si>
  <si>
    <t>夫妻宮</t>
  </si>
  <si>
    <t>破解夫妻宮害局</t>
  </si>
  <si>
    <t>🔺：破解夫妻宮害局＝感情危機，原本覺得自己感受不到愛，不知道自己喜歡怎樣的愛情，但卻清楚知道不喜歡怎樣的人。愛恨分明，不喜歡就掰掰。破解後，越來越好溝通，有商有量，不再被反對反抗，相聚時間更融洽，笑容也多了。從前的冷暴力也變得温暖多了，以往的無情相對也變得有情感了，往日的愛理不理也變成了窩心的擁抱。他即使一如概往的冷淡，但是他的行為多了一份愛的表達。他的喜怒哀樂不好猜，卻多了一份神秘的微笑。他的不滿意不再掛在嘴邊，而是帶著好心情地開玩笑。</t>
  </si>
  <si>
    <t>破解夫妻宮沖局</t>
  </si>
  <si>
    <t>🔺：破解夫妻宮沖局＝感情危機，不用再被情人打擊。即使對彼此有意見，也能良好溝通，小事也能化成沒事，不再被指責。情緒起伏也變得平靜，面對無理也能看淡。即使意見對立，也學會相讓。沖局有好有壞，化解後，往好的方向走，彼此產生火花，不生不減，火花就是指新鮮感，充滿驚喜，偶爾吵鬧，還是可以合好。</t>
  </si>
  <si>
    <t>破解夫妻宮刑局</t>
  </si>
  <si>
    <t>🔺：破解夫妻宮刑局＝感情問題導火線，不再自尋煩惱，反而學會了讓自己放鬆快樂。即使說不出話，也不成壓力，自然的表達變得更有自信心。心中的鬱悶解開了，快樂也常湧在心頭上。在愛情上，多了一份從容自在，冒出的念頭也不再內耗自己的心，想像很多卻是讓我腦補又沾沾自喜。自己的正能量越多，情人也越來越主動靠近。</t>
  </si>
  <si>
    <t>製造夫妻宮合局</t>
  </si>
  <si>
    <t>🔺：製造夫妻宮合局，原本對愛情沒什麼想法跟憧憬，對愛情沒什麼慨念，不懂得花心思或浪漫，也不會多做。在愛情的互動裡，像是沒情感的石頭，有做 跟 用心做 是兩回事。製造合局後，自己更重視伴侶，懂得付出，更願意花時間及心思在愛情上，互動也變得更有靈魂。自己的表達「不再以自己為優先」，懂得考慮伴侶的感受及需求。有事好溝通，不再「隨便」「哦」，跟伴侶討論會積極熱烙一些。開始感受到愛情的甜蜜，愛情的意義，也終於感受到「原來自己也有愛」。</t>
  </si>
  <si>
    <t>製造對象合局</t>
  </si>
  <si>
    <t>🔺：製造夫妻宮合局，伴侶變得更在意自己、重視自己，自己的付出也得到了充滿愛的回應，伴侶也越來越投入這段感情裡，有事好溝通，有一種「我愛你，你也剛好深愛著我」的感受。彼此相依相偎，相親又相愛，適當的距離，適度的浪漫，適量關心，適合的情人。</t>
  </si>
  <si>
    <t>地支</t>
  </si>
  <si>
    <t>破解家運及長輩沖局</t>
  </si>
  <si>
    <t>🔺：破解家運及長輩沖局，家人、上司、長輩這些人都容易說出讓你不爽的話，你會因此而生悶氣，也覺得自己受委屈。他們的意見，常常好心做壞事，所以，你不太喜歡跟他們有再多的交流。破解後，他們少插手，少出一張嘴，生活從此變得平靜，自己的精神也不那麼緊繃，終於能舒服一些，溝通碰撞變少，頂撞變少。</t>
  </si>
  <si>
    <t>破解家運及長輩害局</t>
  </si>
  <si>
    <t>🔺：破解家運及長輩害局，害局帶來很多的不理解，溝通無效，忽略你的感受，沒有說話權的狀況。你也常被陷害，明明好都被他們弄到不好，常找你麻煩，常罵你又愛唸你，愛理不理。但是破解後，你們之間越來越好溝通，有商有量，不再被反對反抗，相聚時間更融洽，笑容也多了。從前的冷暴力也變得温暖多了，以往的無情相對也變得有情感了，往日的愛理不理也變成了窩心的關心。長輩即使一如概往的冷淡，但是他們的行為多了一份愛的表達。他們的喜怒哀樂不好猜，卻多了一份神秘的微笑。他們的不滿意不再掛在嘴邊，而是帶著好心情地開玩笑。</t>
  </si>
  <si>
    <t>破解家庭對伴侶的害局</t>
  </si>
  <si>
    <t>🔺：破解家庭對伴侶的害局，不恰當或不好相處的情況，沒有同住都沒事，但是只要同桌吃飯或是結伴出遊，很容易產生磨擦，不爽就寫在臉上，愛理不理，有話悶在心裡，或是雙方獨處才講給你聽，你心裡也不好受。破解後，少有尷尬不滿的情況，多了一份包容心，就算不爽也不會維持太久。沒事就不碰面，有必須相處就客套噓寒問暖都沒問題。</t>
  </si>
  <si>
    <t>破解事業害局</t>
  </si>
  <si>
    <t>🔺 ：破解事業害局，原本都會找到自己不喜歡的工作，職場不愉快，如果不是無法脫離現有工作，不然就是常常換不做。這個就是事業害局磁場的影響，讓你待不久，做不久。破解後，你會找到一份讓你有熱情的工作，在職場不再壓抑或焦慮，終於能夠專注工作。以前做事都不成功，破解後終於有了更明確旳事業方向，勇敢做自己，就算重新投入新工作，也容易應付。以往找工作常找到有挑戰性的工作內容，破解後會比較輕鬆。以往萬事起頭難，破解後會有貴人幫忙，也少阻礙，更能進入狀態。</t>
  </si>
  <si>
    <t>製造內心合局</t>
  </si>
  <si>
    <t>🔺：堅定內心，原本保守，缺乏安全感，缺乏自信心。自己會限制自己的想法及行為，讓自己遲遲都落後人一步。破解後，會變得更積極熱情，跨出舒適圈，勇敢面對，勇氣敢嘗試，勇敢表達。</t>
  </si>
  <si>
    <t>製造事業合局</t>
  </si>
  <si>
    <t>🔺：旺事業，原本會被工作綁手綁腳，找到一份工作會想做一輩子，安份守己做好每一件事。遇到瓶頸也只能硬著頭皮，即使不喜歡也不太敢作對。破解後，會更積極工作，面對不喜歡的工作，願意拚一次來換取自己喜歡做的事。對事業有所期待，更有方向感及目感。</t>
  </si>
  <si>
    <t>第三部：必要標題</t>
  </si>
  <si>
    <t>✌ 非必須破解</t>
  </si>
  <si>
    <t>🔸命盤缺失：缺乏的能量是關鍵（✌ 非必須破解）
「空亡」像是封印能量的結界，要解開封印，必須要透過奇遁及空亡燈，才能重啟你原本該有的能量，而你就是開啟「XX 能量」。</t>
  </si>
  <si>
    <t>🔸命盤缺失：缺乏的能量是關鍵（✌ 非必須破解）</t>
  </si>
  <si>
    <t>夫妻宮空亡</t>
  </si>
  <si>
    <t>🔺 ：夫妻宮空亡，對感情無從入手，不知道怎麼開始，怎麼收尾，在愛情都沒好結局。自己在愛情上比較迷惘，沒人欣賞自己，自己的好，對象都看不見。明明進展不錯，但到曖昧了就停滯不前，嚴重是可能睡一晚就不見了。對愛情沒辦法像別人能收放自如，總覺得自己像小丑，都是自己在示好，來不及剎車，就被拋棄了。沒辦法拿捏愛情的心思，有時候會嚇到對方，有時候對他熱情也不領情。把握不住好時機，就白白讓機會錯過。破解夫妻宮空亡後，開始懂得去拿捏自己該做什麼，還沒時機成熟就先不做什麼。對象對自己的心意會主動示意或積極示好，自己也會把握機會，關係突破。不再被動等著被愛，還會主動出擊，讓感情更升温。在感情世界裡，更明白愛情是分享快樂，懂得付出心思在正確的位置上，也懂得跟對象相處。知道自己要的愛情是什麼，不再是有人愛就好，愛情有了方向，才會更精準地找對MR RIGHT。</t>
  </si>
  <si>
    <t>事業空亡</t>
  </si>
  <si>
    <t>🔺 ：事業空亡, 對事業感情迷惘，不知道要做怎樣的工作才適合自己，容易做一陣又想換工作，或是混水摸魚地過日子，不在乎事業的發展及要求。對工作沒有太大的要求，有就好，沒有就忍忍，忍不住就再找，這樣的循環會讓你習以為常。破解事業空亡後，你開始有動力，也開始思考未來，重新思考目前的工作事業是否適合。有了目標，有了方向，你會慢慢摸索到不一樣的工作領域，職場自信心會越來越強，也開始提升自己的價值，往目標前進。</t>
  </si>
  <si>
    <t>帝旺空亡</t>
  </si>
  <si>
    <t>🔺 ：帝旺空亡，會顯現為，做任何事都難以成功，就算自己努力，有人幫忙，最後還是事不成。花盡心思，也得不到想要的。眼見別人成功，自己卻無動於衷、原地踏步。也有可能就是，你根本就沒有慾望「成功」。破解帝旺空亡後，內心開始有了慾望，有了野心，有了幹勁。做事有行動力，有積極心，心態也會有變化。對「成功」有另一番見解，在生活上也有自信心，即使遇難關，也會想盡辦法去解決。這就是為什麼，破解之後會離成功越來越近。</t>
  </si>
  <si>
    <t>祿神空亡</t>
  </si>
  <si>
    <t>🔺 ：祿神空亡，會顯現為，賺錢速度比較慢，起步創業也比較緩慢，會有「穩定就好，有工作就好」的心態，難以突破賺錢思維，所以即使有想過賺錢，也會原地踏步，故步自封，百種藉口合理化自己的行為。明明有祿神的福報，卻被空亡封印著，沒辦法發揮原本賺錢的速度及見解，實在可惜。破解後，賺錢得心應手，能順著自己的想法去實行，也會有很好的成績。只要自己一步一步穩固好自己賺錢的方法，賺錢易如反掌，收入多少，取決你自己的野心。只要你願意做，祿神都會帶給你豐厚的回報。</t>
  </si>
  <si>
    <t>正財空亡</t>
  </si>
  <si>
    <t>🔺 ：正財空亡，會顯現為，你渴望有穩定的收入，穩定的生活，建立幸福的家庭。但是，你卻會為「錢」而奔波，不惜犧牲自己的時間及勞力去換取回來。所以，你會賺得很累，又不捨得放手，導致你不敢離開舒適圈，也認為賺錢是辛苦賺來的，才有報酬，不辛苦是賺不到錢的迷思。所以，你做任何事都會很賣力，其實在消耗自己的一切，才能換得回來。破解正財空亡後，本來的金錢觀會有所改變，會認真規劃自己收入，增加自己第二收入來源，會更謹慎花錢。最主要，就是願意多嘗試賺額外的收入，不再以時間及體力換取金錢。</t>
  </si>
  <si>
    <t>第二個正財空亡</t>
  </si>
  <si>
    <t>🔺：第二個正財空亡，完全擺脫空亡封印，感受性會更明顯。2個空亡就是2倍的虧錢力量，不能只處理一個，否則還是會容易破財漏財。
正財空亡有2個，所以心中渴望賺錢的時候，會特別難受，只看結果會懷疑自己，否定自己。「空亡」像是封印能量的界結，要解開封印，必須要透過奇遁及空亡燈，才能重啟你原本該有的能量，而你就是開啟「正財能量」。</t>
  </si>
  <si>
    <t>偏財空亡</t>
  </si>
  <si>
    <t>🔺 ：偏財空亡，會顯現為，你渴望賺錢或做生意，但是不知道麼做才可以賺到錢，甚至一直都有在執行但是卻沒有成效。對於金錢，是迷惘的，缺乏自信心的，越做越無力，好像不曾被上天照顧一樣。也覺得方向是正確的，方法也是可行的，卻沒有成效，沒辦法達到心中的目標，不知道為何總是很吃力。奇遁破解偏財空亡，就是把「偏財」能量重新啟動。破解後，你會發現賺錢變得輕鬆簡單，以前用過的方法也終於有結果，金錢收入越多，你會越有自信心，心情也會越來越好。還會有大筆進帳，只要破解後，重新規劃工作，客人都是有錢有質感的，只要你服務客人越開心，你給他們的CP值越好，他們越捨得花錢買單，甚至不看價錢就付錢。</t>
  </si>
  <si>
    <t>第二個偏財空亡</t>
  </si>
  <si>
    <t>🔺：第二個偏財空亡，完全擺脫空亡封印，感受性會更明顯。2個空亡就是2倍的虧錢力量，不能只處理一個，否則還是會容易損失大筆錢財。
偏財空亡有2個，所以心中渴望賺錢的時候，會特別難受，只看結果會懷疑自己，否定自己。「空亡」像是封印能量的界結，要解開封印，必須要透過奇遁及空亡燈，才能重啟你原本該有的能量，而你就是開啟「偏財能量」。</t>
  </si>
  <si>
    <t>正官空亡</t>
  </si>
  <si>
    <t>🔺 ：正官空亡，會顯現為，自己常為感情白白付出，自己很用心經營，但是最後一場空。這種無力感，是來自於自己沒辦法控制，就算再多的心思，也是沒辦法逆轉結局。好不容易找到伴侶，也會莫名奇妙地離開你，就像以往的付出都是白費的，一個無情就掰掰。感情就算再好，自己也會日患得患失，總是少了一份安全感，總是覺得未來也會辜負自己。同時，對方好像不太懂得照顧自己，也顯得不重視自己。在事業上也是沒有實際的操控權，做任事，都沒辦法堅持很久。在職場上，也是混混噩噩，得過且過，有過就好，缺方向及目標，比較沒有事業野心。破解後，事業會更有方向及目標，知道自己想要什麼成就，更知道自己要選擇適合的工作，做事更有把握，說服客人買埋也會比較有自信心，客人也比較願意聽你的建議。破解後，感情上會有主控權，一樣的付出，但會懂得拿捏，不再付100%的心力，留一些愛給自己，平衡感情，對方也不會吸收太多你的愛而窒息。你愛他的時候，他也尊重你，懂得疼愛你，他懂得愛家愛妻。女人，其實很明理，只是想要對方的重視，只要得到重視，就會放他更多的自由，不再互相綑綁在關係上，讓愛消失。</t>
  </si>
  <si>
    <t>第二個正官空亡</t>
  </si>
  <si>
    <t>🔺：第二個正官空亡，完全擺脫空亡封印，感受性會更明顯。2個空亡就是2倍的失敗力量，不能只處理一個，否則還是會容易感情告吹。
正官空亡有2個，所以心中渴望感情的時候，會特別難受，感情告吹會懷疑自己，否定自己。「空亡」像是封印能量的界結，要解開封印，必須要透過奇遁及空亡燈，才能重啟你原本該有的能量，而你就是開啟「桃花能量」。</t>
  </si>
  <si>
    <t>正印空亡</t>
  </si>
  <si>
    <t>🔺：正印空亡，會顯現為，自己陷入困難，沒人出手幫助；自己正值低潮期，無人問津；自己在一個團隊裡像邊緣人，沒有想要主動幫助你。很多事情都是自己處理，習慣了，就變得獨立自主。雖然也不是沒人緣，但就是需要的時候，沒有人出現給予自己一點希望。有人嘗試來幫助你，但還是沒有幫上大忙，最後靠自己處理。破解正印空亡後，身邊貴人顯現，不起眼的人也會變成你的好幫手，或是恩人。一直以來的獨立自主，也變得懂得接受別人的心意。你會發現，多了一些可遇不可求的機遇，生活更順利些，職場也輕鬆些，家庭也漸漸成為你的支柱，家人幫助你會感受更深。</t>
  </si>
  <si>
    <t>第二個正印空亡</t>
  </si>
  <si>
    <t>🔺：第二個正印空亡，完全擺脫空亡封印，感受性會更明顯。2個空亡就是2倍的求救無援力量，不能只處理一個，否則還是會容易處理各種危機及問題都會困難重重。
正印空亡有2個，所以當你經歷難關時，會想有人救你，但最後都是自己承擔，人生特別吃力無助。「空亡」像是封印能量的界結，要解開封印，必須要透過奇遁及空亡燈，才能重啟你原本該有的能量，而你就是開啟「貴人能量」。</t>
  </si>
  <si>
    <t>食神空亡</t>
  </si>
  <si>
    <t>🔺 ：食神空亡，會顯現為，思緒遲鈍混亂，自己有想法，但都沒辦法抓住靈感。精神世界無法被滿足覺得自己腦袋被挖空，常常不知道自己在幹嘛。自己的慵懶，常常是自己的絆腳石，有想法沒做法。自己的聰明不被看見，自己也不知道怎麼展現或發揮，覺得自己懷才不遇，但又沒辦法讓人欣賞自己的能力。自己有口福，卻會擔心自己沒飯吃。破解食神空亡後，靈感源源不絕，抓住重點，發揮自己。執行力也變得越來越積極，不想再被束縛，更渴望做自己，更渴望自由，實現理想中的生活。</t>
  </si>
  <si>
    <t>傷官空亡</t>
  </si>
  <si>
    <t>🔺 ：傷官空亡，會顯現為，反應會比較慢一拍，心思快，但腦袋不知道為何會容易想不到東西。有一絲的靈感飛過，下一秒想不起來。有時候，別人一句話，靈感大爆發，但表逹不出來，又做不出來，腦袋彷彿空白一片。這個狀況容易對自己失去信心，認為自己有能力，但沒辦法發揮。學習容易半途而廢，或容易臨門一腳失敗收場。常常覺得自己應該可以做些什麼讓自己更好，但想不通是用什麼方法，靈感很靠近時又突然變得很遙遠。另一個說法，是記性不好，容易忘東忘西，不嚴重，因為從小到大已經習慣。破解傷官空亡後，你回復對生活的鬥志，靈感源源不絕，並且能夠對準問題做出調整，針對問題做出改變。反應變快，腦筋也轉得快，記性也變好。運用在工作上，會更有效率，自己能搞定一切，雖然很累，但你享受其中。</t>
  </si>
  <si>
    <t>第四部：必要標題</t>
  </si>
  <si>
    <t>☀十年運程☀</t>
  </si>
  <si>
    <t>🔸大運破解：一次看完十年問題
一次看完十年需要破解的重大事件</t>
  </si>
  <si>
    <t>🔸大運破解：一次看完十年問題</t>
  </si>
  <si>
    <t>🔺：破解20XX流年「七殺」，化解事業阻礙，化解上司挑剔針對，避免血光之災，避免意外頻頻。七殺，就是爛桃花/小情人的意思，避免遇上爛桃花爛姻緣，避免了他們假的承諾，也避免了甜言密語讓你衝動不理性不理智，盲目去付出錯愛的心，盲目地在乎錯的人。你對情人的壓迫感也會減少，情人就會順著你變得聽話，也比較不會硬要跟你吵架。</t>
  </si>
  <si>
    <t>偏印</t>
  </si>
  <si>
    <t>🔺：破解20XX流年「 偏印（P）」，小人為患的一年，不知是敵是友，容易被陷害，有人來幫忙結果來添麻煩，讓你更不知所措。表面好人，暗裡講你是非又針對你，也容易錯信人，最後大難臨頭各自飛。小人是暗地的，不會讓你知道他的存在，當你發現的時候，已經為時已晚。化解後，小人退散，大事化小。不小心就惹上麻煩，最後也會放過你，或是突然消聲匿跡。趕走小人要靠破解，否則越趕越靠近。</t>
  </si>
  <si>
    <t>偏印（怕食神）</t>
  </si>
  <si>
    <t>🔺：破解20XX流年「 偏印（P）」，化解「梟印奪食」，避免被扯後腿、斷送財根、遭陷害、身敗名裂等事件發生。偏印，就是小人的意思，化解後，小人（爛桃花/第三者）就會遠離你，少來界入你的感情關係，也少了挑釁離間你跟配偶的感情。小人（家族）也會同意你們的感情進展，對你也滿言，不再酸言酸語，多了一份接受及融入。</t>
  </si>
  <si>
    <t>🔺：破解20XX年「比肩奪偏財」，避免「朋友聚會太多而花費支出過多」以及「吸引親朋好友來問你借錢投資」，這一年你會因為人情壓力、人情勒索、顧面子，而一直被強迫花錢。如果不處理，你會面臨入不敷支，甚至要借貸過生活。所以，必需要先破解比肩，否則，你會夾在朋友跟錢之間，讓你吃力不討好。</t>
  </si>
  <si>
    <t>🔺：破解20XX年「劫財奪正財」，避免「穩定收入都很快被拿走」，這一年你賺的錢原本都可以存錢，或是自己吃喝玩樂，但是在這一年會有「你賺的錢都不是你的」的情況，如果不處理，你會覺得錢不夠，還很厭倦，也覺得努力沒有用，也過得吃力不討好。所以，必需要先破解劫財，否則，你破財的煩雜瑣碎事，都會比別人嚴重。</t>
  </si>
  <si>
    <t>🔺：破解20XX年「傷官」，事業才能有出頭，避免人際麻煩事，化解意外事件，化解官司糾紛、減少被針對。走傷官，你容易情緒低落，想法負面，容易悲觀。突如其來的悲傷，內心對話會把自己推到盡頭或谷底，沒自信，懷疑自己，變得迷惘。這一年的心理狀況不理想，不小心就把情緒發洩出來，誤傷家人伴侶，或是得罪朋友同事。情緒起伏大，容易想哭，內心也容易激動，一不小心就顯露出來。傷官，女以官為夫，傷官就是傷害丈夫/配偶的意思，化解後，流年跟配偶感情和好，不再過度重視配偶，看配偶也比較順眼，不再想分手離婚。</t>
  </si>
  <si>
    <t>傷官（怕正官）</t>
  </si>
  <si>
    <t>🔺：破解20XX年「傷官見官」，避免官司訴訟、職場針對及麻煩、擋掉流年的磁場沖擊，包括負能量、意外、血災、受傷等等。官司纏身，一整年都沒辦結案，而且還會惡化。心緒不寧，容易因為自己的狀況不佳，而無意間傷害到另一半，最後另一半也受不了，選擇離開。各種突發狀況，讓你意想不到，也會讓你懷疑人生。今年，要注意生命安全，平安渡過為主，再來求好。否則，自己不好，生活也不會好。</t>
  </si>
  <si>
    <t>財庫沖破</t>
  </si>
  <si>
    <t>🔺：破解20XX年「財庫沖破」的危機，避免破財漏財，避免詐騙投資，增強守財能力，花小錢守大財，擋住花大筆錢財的意外狀況。</t>
  </si>
  <si>
    <t>第五部：必要標題</t>
  </si>
  <si>
    <t>💰富貴造局</t>
  </si>
  <si>
    <t>🔸心想事成：客製打造富貴人生</t>
  </si>
  <si>
    <t>上班族必備</t>
  </si>
  <si>
    <t>🔺：增加正財，穩定收入，增加歡喜心，更疼老婆、八字沒財
🔺：增加偏財，大筆收入、業績長紅、生意興隆
🔺：增加貴人顯助，受人疼愛、被照顧，八字無貴人
🔺：增加名聲地位，增加說服力，八字沒有配偶星，提升正緣桃花運，增加事業發展
🔺：增加財庫，八字無庫財來財去，增強存錢守財能力
🔺：增加人緣、八字無花、友善態度、吸引異性緣、增加異性靠自己
🔺：增加長生，身體健康，精神飽滿
🔺：增加冠帶，增加人脈、廣結善緣
🔺：增加祿神，提升賺錢速度，提升正能量，頭腦清楚懂得分辨賺錢時機，抓緊機會
🔺：增加帝旺，做事有魄力，加強企圖心，帶來好運勢，工作快速到達高峰
🔺：增加天乙貴人，貴人多助，發達機運</t>
  </si>
  <si>
    <t>XX方關鍵重要</t>
  </si>
  <si>
    <t>XX方對自己來說很關鍵重要，尤其是剛好也遇上流年，是雙重的打擊。要保持XX方乾淨整齊，不能有雜物，定期丟棄沒在用的東西。若事態嚴重，必須要放置空亡燈。</t>
  </si>
  <si>
    <t>四柱皆空</t>
  </si>
  <si>
    <t>你的「空亡」問題嚴重，比起其他人，你的空亡完全覆蓋了你的命盤磁場，導致你無法「完全活成自己應詃有的運勢」，反而生活過得比較吃力。</t>
  </si>
  <si>
    <t>老闆必備</t>
  </si>
  <si>
    <t>老闆必備（可多增加的能量）
🔺：增加三奇貴，被貴人包圍，吸引貴人給你好處多多，開口有人來相助，做事順風順水，容易認識大人物以及富人。
🔺：增加正財，穩定收入，穩定上升，穩定進步，八字無財（必補）
🔺：增加偏財，賺大筆價值的收入、業績長紅、生意興隆、客人豪爽成交
🔺：增加陽貴人明顯來相助，主動協助你、主動引薦你、客人是貴人助你一臂之力、你八字無貴人（必補）
🔺：增加名聲地位，增加說服力，增加事業發展機遇，八字無事業運（必補）
🔺：增強事業運，收大單，客人好說話，容易成交，部屬或下線溝通良好，聽話照做
🔺：增加財庫，增強存錢守財能力，存款快速增加，八字無庫財來財去（必補）
🔺：增加冠帶，增強社交能力、廣結善緣、人脈就是錢脈、轉介紹越來越多、吸引有價值的社交
🔺：增加祿神，提升賺錢速度，增強賺錢速度，增強賺錢能力，提升正能量
🔺：增加帝旺，做事有魄力，加強企圖心，加快達成目標，事業快速到達高峰
🔺：增加天乙貴人， 陰貴人相助，在背後扶持你，大人物及富人會因為陰貴人而來找你，突發好消息都是來自於陰貴人的協助</t>
  </si>
  <si>
    <t>副業必備</t>
  </si>
  <si>
    <t>副業必備（可多增加的能量）
🔺：增加三奇貴，被貴人包圍，吸引貴人給你好處多多，開口有人來相助，做事順風順水，容易認識大人物以及富人。
🔺：增加正財，穩定收入，穩定上升，穩定進步，八字無財（必補）
🔺：增加偏財，賺大筆價值的收入、業績長紅、生意興隆、客人豪爽成交
🔺：增加陽貴人明顯來相助，主動協助你、主動引薦你、客人是貴人助你一臂之力、你八字無貴人（必補）
🔺：增加名聲地位，增加說服力，增加事業發展機遇，八字無事業運（必補）
🔺：增強事業運，收大單，客人好說話，容易成交，部屬或下線溝通良好，聽話照做
🔺：增加財庫，增強存錢守財能力，存款快速增加，八字無庫財來財去（必補）
🔺：增加冠帶，增強社交能力、廣結善緣、人脈就是錢脈、轉介紹越來越多、吸引有價值的社交
🔺：增加祿神，提升賺錢速度，增強賺錢速度，增強賺錢能力，提升正能量
🔺：增加帝旺，做事有魄力，加強企圖心，加快達成目標，事業快速到達高峰
🔺：增加天乙貴人， 陰貴人相助，在背後扶持你，大人物及富人會因為陰貴人而來找你，突發好消息都是來自於陰貴人的協助</t>
  </si>
  <si>
    <t>業務必備</t>
  </si>
  <si>
    <t>業務必備（可多增加的能量）
🔺：增加三奇貴，被貴人包圍，吸引貴人給你好處多多，開口有人來相助，做事順風順水，容易認識大人物以及富人。
🔺：增加正財，穩定收入，穩定上升，穩定進步，八字無財（必補）
🔺：增加偏財，賺大筆價值的收入、業績長紅、生意興隆、客人豪爽成交
🔺：增加陽貴人明顯來相助，主動協助你、主動引薦你、客人是貴人助你一臂之力、你八字無貴人（必補）
🔺：增加名聲地位，增加說服力，增加事業發展機遇，八字無事業運（必補）
🔺：增強事業運，收大單，客人好說話，容易成交，部屬或下線溝通良好，聽話照做
🔺：增加財庫，增強存錢守財能力，存款快速增加，八字無庫財來財去（必補）
🔺：增加冠帶，增強社交能力、廣結善緣、人脈就是錢脈、轉介紹越來越多、吸引有價值的社交
🔺：增加祿神，提升賺錢速度，增強賺錢速度，增強賺錢能力，提升正能量
🔺：增加帝旺，做事有魄力，加強企圖心，加快達成目標，事業快速到達高峰
🔺：增加天乙貴人， 陰貴人相助，在背後扶持你，大人物及富人會因為陰貴人而來找你，突發好消息都是來自於陰貴人的協助</t>
  </si>
  <si>
    <t>桃花必備</t>
  </si>
  <si>
    <t>催旺桃花必備（可多增加的能量）
🔺：提升正緣桃花運（遇見好情人），增加戀愛運（懂得談戀愛），八字沒有配偶緣（必補）
🔺：增加人緣、友善態度、吸引異性緣、增加異性靠自己、八字無花（必補）
🔺：增強合局感情穩定性、增強跟伴侶的情感維繫、伴侶更投入經營愛情、伴侶更重視你</t>
  </si>
  <si>
    <t>夫妻必備（婚姻對戒）</t>
  </si>
  <si>
    <t>夫妻必備（婚姻對戒）
🔺：老公必備「更疼愛老婆、重視老婆、穩定婚姻、穩定生活、願意投放錢財及資源在老婆身上。老婆就是自己的錢財根，只要好好疼惜，錢才會越賺越多。」的能量
🔺：老婆必備「老公多疼愛自己，老公多照顧自己，願意聽老婆的話，順從老婆，自彼此包容尊重。老公就是自己的地位，只要好好的尊重，出外有面子，自帶自信魅力，說話有人聽，信服於你。」的能量</t>
  </si>
  <si>
    <t>第六部：必要標題</t>
  </si>
  <si>
    <t>☯︎ 風水怖置</t>
  </si>
  <si>
    <t>🔸加強/補救：風水造局錦上添花</t>
  </si>
  <si>
    <t>流年事業空亡</t>
  </si>
  <si>
    <t>2024-2025流年有空亡， 負面想法多、得不到貴人、思緒混亂 —— 安在XX方，破安亡，化解事業瓶頸，增加職場貴人，提升自信心，提升正能量，在事業上更有方向感。</t>
  </si>
  <si>
    <t>流年夫妻空亡</t>
  </si>
  <si>
    <t>2024-2025流年有空亡， 負面想法多、思緒混亂 —— 安在XX方，破安亡，化解婚姻瓶頸，提升自信心，提升正能量，在婚姻上更有安全感。</t>
  </si>
  <si>
    <t>流年內心空亡</t>
  </si>
  <si>
    <t>2024-2025 流年有空亡，負面想法多、思緒混亂、自我懷疑 —— 安在XX方，破安亡，化解負面情緒，頭腦清晰，化解生活瓶頸，提升做事堅毅，提升自信心，提升正能量，更有方向感。</t>
  </si>
  <si>
    <t>流年情侶空亡</t>
  </si>
  <si>
    <t>2024-2025 流年有空亡， 愛情直接陣亡 —— 安在XX方，破安亡，化解愛情的沖擊，提升對愛情的信任，提升正能量，在感情上更有安全感。</t>
  </si>
  <si>
    <t>命盤夫妻宮空亡</t>
  </si>
  <si>
    <t>八字有空亡，感情上缺乏安全感，無能為力  —— 安在XX方，破安亡，化解婚姻瓶頸，提升自信心，提升正能量，在婚姻上更有安全感。</t>
  </si>
  <si>
    <t>命盤事業空亡</t>
  </si>
  <si>
    <t>八字有空亡，工作都遇不到貴人，對前途有想法沒動力，做甚麼都容易失敗 —— 安在XX方，破安亡，化解事業瓶頸，增加職場貴人，提升自信心，提升正能量，在事業上更有方向感。</t>
  </si>
  <si>
    <t>命盤年柱空亡</t>
  </si>
  <si>
    <t>八字有空亡，拒絕不了父母及長輩的請求 —— 安在XX方，破安亡，化解家庭的束縛，增加自由，提升自信心，提升正能量，在家庭上更有地位。</t>
  </si>
  <si>
    <t>命盤內心空亡</t>
  </si>
  <si>
    <t>八字有空亡，內心缺乏自信心 —— 安在XX方，破安亡，化解負面情緒，頭腦清晰，化解生活瓶頸，提升做事堅毅，提升自信心，提升正能量，更有方向感。</t>
  </si>
  <si>
    <t>無法造祿神</t>
  </si>
  <si>
    <t>你的命盤無法造祿神（特例）：風水造元辰祿神方，安在XX方，頭腦清晰，提升精氣神，貴人相助，提升決策力，招福祿（有財有庫），人脈交際，招子祿，招食祿（健康/物質）等。</t>
  </si>
  <si>
    <t>無法造帝旺</t>
  </si>
  <si>
    <t>你的命盤無法造帝旺（特例）：風水造帝旺方，安在XX方，招職場商機，招事業機遇，招貴人提拔，付出有回報，不做白工，職場被欣賞，工作很快就上高峰。</t>
  </si>
  <si>
    <t>製造祿神</t>
  </si>
  <si>
    <t>製造祿神：風水造元辰祿神方，安在XX方，頭腦清晰，提升精氣神，貴人相助，提升決策力，招福祿（有財有庫），人脈交際，招子祿，招食祿（健康/物質）等。</t>
  </si>
  <si>
    <t>製造帝旺</t>
  </si>
  <si>
    <t>製造祿神：風水造帝旺方，安在XX方，招職場商機，招事業機遇，招貴人提拔，付出有回報，不做白工，職場被欣賞，工作很快就上高峰。</t>
  </si>
  <si>
    <t>製造本命桃花方位（夫妻）</t>
  </si>
  <si>
    <t>桃花燈，怖局桃花方位：桃花燈安在XX方，婚姻美滿，重視雙方感受，尊重包容彼此，和睦相處，恩愛幸福，更投入付出維繫婚姻</t>
  </si>
  <si>
    <t>製造本命桃花方位（情侶）</t>
  </si>
  <si>
    <t>桃花燈，怖局桃花方位：桃花燈安在XX方，感情順利，穩定交往，甜蜜浪漫，熱情接觸，更投入付出維繫感情</t>
  </si>
  <si>
    <t>製造本命桃花方位（單身）</t>
  </si>
  <si>
    <t>桃花燈，怖局桃花方位：桃花燈安在XX方，正緣相見，脫單成功，加速確認情侶關係，曖昧激情</t>
  </si>
  <si>
    <t>增強客緣</t>
  </si>
  <si>
    <t>桃花燈，怖局桃花方位：桃花燈安在XX方，提升客源，穩定客源，增強客緣忠誠度，轉介紹增加，客人主動溝通</t>
  </si>
  <si>
    <t>增強事業</t>
  </si>
  <si>
    <t>官祿燈，怖局官祿方位：官祿燈安在XX方，穩定事業，作業順利，升遷加薪機率上升，提升職場能力，增強職場機遇</t>
  </si>
  <si>
    <t>增強財運</t>
  </si>
  <si>
    <t>財運燈，怖局財運方位：財運燈安在XX方，穩定財源，賺錢順利，增強賺錢能力，接收賺錢靈感，吸引客人</t>
  </si>
  <si>
    <t>投入回報的位置（福報）：</t>
  </si>
  <si>
    <t>命宮</t>
  </si>
  <si>
    <t>投資在自己身上，你會有人追隨著你，你就是自己的貴人，相信自己才會做出正確的決定，得到回報、好結果、順利成功。你的自信心，會吸引好人好事圍著你，你的人緣越好，越能好好運用人脈，人脈就是錢脈。</t>
  </si>
  <si>
    <t>兄弟宮</t>
  </si>
  <si>
    <t>你對自己的兄弟或媽媽付出越多，他們幫助你會越多，甚至會有意外收穫，他們就是你的貴人，聽他們的意見，路會更順更易走。外人不見得對你有幫助，甚至大難臨頭各自飛，所以，別讓兄弟以及媽媽放棄你，等於把貴人趕走，到時候誰也救不了你。無論發生什麼事，都要站對邊，不要從別人口中評定貴人。尤其你對媽媽越孝順，福報自來。</t>
  </si>
  <si>
    <t>你越疼愛越對配偶付出，他會越挺你幫你。投資在配偶身上，他會成為你的貴人，多聽配偶的意見，你會越來越順利成功。如果，你與別人一起對抗配偶，最後你會發現自己站錯邊，也不會有好下場，嚴重是自食其果。所以，配偶會是你人生中重要的角色，請好好保護與珍惜。</t>
  </si>
  <si>
    <t>子女宮</t>
  </si>
  <si>
    <t xml:space="preserve">你越投入資源給晚輩，他們會成為你的貴人，也會是你未來的得力助手，在你事業路上一帆風順。常提擕晚輩，多與晚輩交流，你會穫益良多。大方慷慨地獎勵，他們會更用心做事，更能幫助你打江山。
</t>
  </si>
  <si>
    <t>財帛宮</t>
  </si>
  <si>
    <t>你越研究賺錢，會吸引更多財富。有捨必有得，善用金錢能量，珍惜金錢能量，才會回流更到你身上。運用金錢的力量，讓他幫你做事，解決問題，提升效率，收穫才會翻倍成長。財布施是必然的習慣，捐款捐物資越多，將會兌現到你的事業財運上。</t>
  </si>
  <si>
    <t>疾厄宮</t>
  </si>
  <si>
    <t>投資在自己的健康或身體上，例如養生、保健、健身、打扮、變美等等，都會為你帶來更多回報。貴人因你愛惜自己而重視你，生活因你重視自己而回應你。愛自己，愛健康，讓你發光喚醒回報、成功、順利。</t>
  </si>
  <si>
    <t>遷移宮</t>
  </si>
  <si>
    <t>你越往外發展越成功順利，出門才會遇好人好事好貴人。出差、出遊、出國、出門，都會讓你碰上好機遇，貴人從中而生，出去才會讓你活力滿滿。多走動，多規劃行程，憑直覺前往去一個地方，成功順利離你不遠矣！</t>
  </si>
  <si>
    <t>官祿宮</t>
  </si>
  <si>
    <t>你越投入事業越成就，把時間、心思、精神都放在事業上，貴人會是你的工作夥伴，也會是你的好人脈。不用顧慮到賺錢有多少，你未來的成就比金錢來得豐盛。在事業上只專注往前衝，不分心，所有好人好事好感情都會從中而生。</t>
  </si>
  <si>
    <t>福德宮</t>
  </si>
  <si>
    <t>你的心靈越是富足，你越能收穫更多。專注投資在你的身心靈上，所有好貴人好運氣，會因你的身心享受而豐盛。不必顧慮到經濟或事業，因為你身心靈的直覺會帶領你走正確的路上，財富與成就也會隨著你的狀態而增強。</t>
  </si>
  <si>
    <t>父母宮</t>
  </si>
  <si>
    <t>你對長輩或父母親付出越多，他們幫助你會越多，甚至會有意外收穫，他們就是你的貴人，多聽他們的意見，學習智慧，得貴人關照，路會更順更易走。尤其對父母親越孝順，福報自來。</t>
  </si>
  <si>
    <t>田宅宮</t>
  </si>
  <si>
    <t>增強房地產相關的知識（例如設計、稅務、風水等等），專注在房地產相關的領域，你得到更多靈感，更多回報。財富與成就會在你投入越多越成正比例，有錢就買房，有人問就幫忙，累積福報不會虧待你。風水要學好，懂得運用風水，升官發財會比其他人更有感。</t>
  </si>
  <si>
    <t>一生拉址的位置（業力）：</t>
  </si>
  <si>
    <t>你最糾結的地方就是你自己，常常跟自己過不去，也無法為自己作主。所以，當遇到困難時，會傾向於自我懷疑，變得沒信心、沒自信、更自卑。除了學會放下「我執」，更要找「正確的貴人」指導你、教育你。</t>
  </si>
  <si>
    <t>你最糾結的地方就是兄弟或母親，兄弟情深或母子情深都會成為你「成功」的絆腳石。當你覺得有義務照顧他們的時候，往往會選擇犧牲自己的夢想與理想。當你越專注在兄弟/母親身上時，你的付出，都沒辦法得到相對應的回報。除了學會取捨「親情的平衡」，更要把重心專注在「投入回報」的地方。</t>
  </si>
  <si>
    <t>你最糾結的地方就是婚姻/伴侶，你越是糾結感情，情關越多，問題越多，情執會成為你「成功」的絆腳石。你會為了婚姻/伴侶，選擇犧牲自己的夢想與理想。無論伴侶是否對你好，你對伴侶的付出，都沒辦法得到相對應的回報。除了學會平衡「感情」，更要把重心專注在「投入回報」的地方。</t>
  </si>
  <si>
    <t>你最糾結的地方就是晚輩，你越是掏心掏肺地付出，在晚輩的眼中往往都被視為「過關心、情緒勒索、嚴厲又管太多」等等。當你覺得有義務照顧晚輩的時候，往往會選擇犧牲自己的時間與資源。但你會發現，自己的疲憊內耗都是來自於「錯誤投放心力」。除了學會「重新分配資源」，更要把重心專注在「投入回報」的地方。</t>
  </si>
  <si>
    <t>你最糾結的地方就錢財，你常為錢所困，擔心賺不夠，擔心虧損。過度的「三思而後行」的結果，就是花小錢破大財，花錢消災，入不敷支等等。自我製造對錢財的恐懼，只會侵蝕你的能量。除了學會「金錢療癒」得到安心安全感，更要把重心專注在「投入回報」的地方。</t>
  </si>
  <si>
    <t>讓你常常處於低迷、低能量的狀況，是源自於你的【貪、瞋、癡、慢、疑】，即五毒。貪，就是過度索取，永不滿足 。 嗔，就是嗔恨之火，足以燎原 。痴，就是不明事理，不辨是非 ·。慢，就是自我膨脹，內心空虛 。 疑，就是多疑多慮，耽誤自己。當你越擺擇脫不了五毒，你的人生只有煩惱可言。除了學會「慈悲喜捨、布施造福」得到安心安全感，更要把重心專注在「投入回報」的地方。</t>
  </si>
  <si>
    <t>你這一生「出外見小人，在外是非多」，造成你常陷入過度在意別人的評價，活在別人的眼裡，無法做自己。當你把別人的說話放在心裡時，你特別難受，停滯不前。你越是在乎別人的批評，都無法讓自己進步。除了學會「相信直覺、聽從內心聲音」，更要把重心專注在「投入回報」的地方。</t>
  </si>
  <si>
    <t>你最糾結的地方就事業成就，你會花很多時間、精神、心力在工作上，容易為了未來的事業，犧牲家庭或感情。你越是工作狂，你越難以有所成就。你以為你付出的，會在職場上有正比例的回應，但結果往往都是讓你失望又絕望。你越是往上爬，你越是陷入低谷中。除了學會平衡「工作及生活」，更要把重心專注在「投入回報」的地方。</t>
  </si>
  <si>
    <t xml:space="preserve">你常想不開、有心結，源自於你心靈空虛。所有心理疾病，都是心靈不被滿足所致。不管你做什麼事，去哪裡，買什麼東西，體驗什麼服務，都無法填補你的空洞感。你越是用物質穫得一時開心，你越覺得生活沒希望。除了學會「身心靈療癒」，更要把重心專注在「投入回報」的地方。
</t>
  </si>
  <si>
    <t>你最糾結的地方就是父母，對於父母親的期盼，你永遠追不上進度。你的壓力也來自於父母親的期望，但是你知道那些都不是你想要的。當你有困難時，他們更是沒辦法幫你解決問題，甚至是幫你做錯誤的決定。千萬不要把自己的人生，框架在父母親的嘴巴上，你會一事無成。你越是聽話照做，千依百順會成為你「成功」的絆腳石。你對父母親的付出，都沒辦法得到相對應的回報。除了學會「堅定自己的立場」，更要把重心專注在「投入回報」的地方。</t>
  </si>
  <si>
    <t>你最糾結的地方就是家庭，你會花時間在照顧家庭，也願意犧牲自己來成就家庭。但是，家庭鬥爭與不和諧，往往會成為你「成功」的絆腳石。無論家庭是否對你好，你對家庭的付出，都沒辦法得到相對應的回報。除了學會拿揑取捨「心力」，更要把重心專注在「投入回報」的地方。</t>
  </si>
  <si>
    <t>交友宮</t>
  </si>
  <si>
    <t>你最糾結的地方就是朋友，你所在乎的友情都會摧毀你的人生。你越是重朋友，換來的只有背叛、出賣、麻煩。「掏錯心，信錯人」是你的人生故事，也會成為你「成功」的絆腳石。無論朋友是否對你好，你對朋友的付出，都沒辦法得到相對應的回報。除了學會平衡「人情」，更要把重心專注在「投入回報」的地方。</t>
  </si>
  <si>
    <t>人生意義：</t>
  </si>
  <si>
    <t>子午：命宮</t>
  </si>
  <si>
    <t>一生在於只管自己有興趣的事情，埋首享受在興趣之中。自我主觀意識強、自負、不容易受他人影響。重視自己，自我要求也比較高。同時，觀察自己的情緒起伏，以及同理心的拿捏會是一個課題。</t>
  </si>
  <si>
    <t>卯酉：遷移宮</t>
  </si>
  <si>
    <t>一生在於良好的人際關係，朋友成群，在乎出門在外的人際關係與他人對自己的評價。重視人際關係的人，多半異常在意別人的眼光和看法，怎麼平衡這之間的能量變得非常的重要，足以影響當事人一生的發展。</t>
  </si>
  <si>
    <t>巳亥：夫妻宮</t>
  </si>
  <si>
    <t>一生在於擁有一段美好的愛情，沒有愛情就不是生活，也在乎另一半的感受。重視愛情的，此生感情故事一定精彩，那就請好好經營愛情與婚姻。</t>
  </si>
  <si>
    <t>寅申：官祿宮</t>
  </si>
  <si>
    <t>一生在於事業成就，重視工作上的名聲與地位、工作上自我要求高。你重視工作，請認真想好自己適合什麼類型的工作模式，畢竟生命時間有限，刻意安排，也要刻意精彩。</t>
  </si>
  <si>
    <t>丑未：福德宮</t>
  </si>
  <si>
    <t>一生在於滿足心靈層面的需求。表現為重享受、重視精神與生活品質、在乎身心靈感受。</t>
  </si>
  <si>
    <t>辰戍：財帛宮</t>
  </si>
  <si>
    <t>一生在於以賺錢為人生最高目的、身上沒錢全身不自在。重視金錢的，可以多方認識眾多理財工具，滿足自己在金錢追求上的中庸之道。</t>
  </si>
  <si>
    <t>工作能力</t>
  </si>
  <si>
    <t>七殺、破軍、貪狼、廉貞</t>
  </si>
  <si>
    <t>你衝動，不是壞事，但請你好好利用。
善用你個性的能力，會展現出你的優勢，你擁有很強的開創力、行動力以及交際力，你也敢於冒險嘗試，這些特質是你最為突出的經營特質。也正因為敢想敢做，有著「只要我想，沒什麼不可以」的人生信念，很適合在年輕的時候創業找到自己的經營方式。
所以，在你的經營模式裡，請給自己高難度的挑戰任務。讓你的工作充滿著挑戰、變化、新鮮、刺激，這種氛圍或環境會激發到你發揮優勢。</t>
  </si>
  <si>
    <t>紫微、天府、武曲、天相</t>
  </si>
  <si>
    <t>你有遠大的目標，不是畫大餅，但請你好好用在對的位置上。
善用你個性的能力，會展現出你的優勢，你可以客觀理性，同時以大局視野看清整體狀況，這些特質是你最為突出的經營特質。你適合做可以「果斷領導，用人唯才，指派人才分工合作」的工作，你擁有領袖的氣質，代表著你比其他人更能帶領團隊，走在正軌上，專注目標。
所以，在你的經營模式裡，請給自己主導的機會，你的事業雄心不會辜負你。但不要三心兩意，專注在同一個行業，你才會建立穩定的事業，否則每每失敗轉型。</t>
  </si>
  <si>
    <t>太陽、巨門、天機</t>
  </si>
  <si>
    <t>你口才很好，但不是用來爭議，而是用來說服他人認同自己，加入自己。
善用你個性的能力，會展現出你的優勢，你的角色就是擔當智囊團的策劃者，非常有研究精神，也喜歡表達想法，這些特質是你最為突出的經營特質。你有一種「帶給人深層思考、突破盲點、能幫人做出正確的策略、規劃正確的方向」的能力，所以，你的存在會讓人安心又放心。你的想法，透過其他人去實行，成為你的實驗。你不應該走「自編自導自演的路線」，而是要「你編，你導，他演」才是完美。
所以，在你的經營模式裡，請好好發揮自己的想像，不要局限於「必須要自己實行」，會非常阻斷了你腦海裡最完美的計劃。沒有行動力沒關係，你必須認清楚，你是善於表達，不是善於行動。只要你願意表達，再配合說話技巧，是可以靠腦袋嘴巴就能賺錢。</t>
  </si>
  <si>
    <t>太陰、天同、天梁</t>
  </si>
  <si>
    <t>你的團隊能力很強，不是依賴，而是很會整合團隊，讓團體越來越壯大。
善用你個性的能力，會展現出你的優勢，心思細膩，深入細節，這些特質是你最為突出的經營特質。你很擅長管理團隊或處理規劃，因為你行事謹慎，懂得循序漸進，可以讓一夥人共同走在正軌上，不偏不移，從穩定中強大起來。你的存在，是讓整個計劃是否更有效率地強大的關鍵，著重進行，不浪費時間重複錯誤，為各位把關細節，用最快的節奏順利地完成。
所以，在你的經營模式裡，請好好發揮你對處理細節的熱忱，細微地打點一切，都是一種體貼入微的優質服務。不要吝嗇於提供你的觀察結論，你的一句話，會讓整個計劃回到正確的效率上。你的細心，會是你在團隊裡成為關鍵人物的原因。</t>
  </si>
  <si>
    <t>天生的財富來源</t>
  </si>
  <si>
    <t>經營白手起家的工作，你對於一切的堅持，都需要經過一段奮鬥才能獲得財富。</t>
  </si>
  <si>
    <t>破軍</t>
  </si>
  <si>
    <t>善用你有能力實現夢想的特質，呈現或表達在與別人不同的創意跟想法上，容易有賺錢的機會。</t>
  </si>
  <si>
    <t>貪狼</t>
  </si>
  <si>
    <t>善用你對XX的慾望，利用人際關係跟多方面的知識，容易有賺錢的機會。</t>
  </si>
  <si>
    <t>廉貞</t>
  </si>
  <si>
    <t>善用並結合創意跟人脈會就是你最大的資源，容易有賺錢的機會。</t>
  </si>
  <si>
    <t>紫微</t>
  </si>
  <si>
    <t>運用自己的魅力，堅信自己對事情的看法，容易有賺錢的機會。</t>
  </si>
  <si>
    <t>天府</t>
  </si>
  <si>
    <t>你善於籌劃與謀略，和這類能力相關的事業範疇，容易有賺錢的機會。</t>
  </si>
  <si>
    <t>武曲</t>
  </si>
  <si>
    <t>一步一腳印地展現各類型專業技能，容易有賺錢的機會。</t>
  </si>
  <si>
    <t>天相</t>
  </si>
  <si>
    <t>專注在人際關係的建立與經營，人脈就是錢脈，容易有賺錢的機會。</t>
  </si>
  <si>
    <t>太陽</t>
  </si>
  <si>
    <t>事業要制訂規則才會順利，因此努力讓自己有所展現。同時，也要照顧身邊所有的人，重心放在「溫暖關懷」的舉動上，你會因這一層關懷而容易有賺錢的機會。</t>
  </si>
  <si>
    <t>巨門</t>
  </si>
  <si>
    <t>因為你內心的不安（沒有安全感）所以讓你努力累積的各種知識，再加上你超強的溝通能力及判斷能力，盡心發揮這2項技能，容易有賺錢的機會。</t>
  </si>
  <si>
    <t>天機</t>
  </si>
  <si>
    <t>善用邏輯能力，和這類能力相關的事業範疇，多加尋找不同的發揮機會，容易有賺錢的機會。</t>
  </si>
  <si>
    <t>太陰</t>
  </si>
  <si>
    <t>善用溫暖關懷的特質，專注照顧他人，容易有賺錢的機會。</t>
  </si>
  <si>
    <t>天同</t>
  </si>
  <si>
    <t>善用一技之長用來成就他人，容易有賺錢的機會。</t>
  </si>
  <si>
    <t>天梁</t>
  </si>
  <si>
    <t>專注在信念，堅定並堅持，你會呈現「心想事成」的狀態，只要夠努力，容易有賺錢的機會。</t>
  </si>
  <si>
    <t>空宫</t>
  </si>
  <si>
    <t>經常視錢財如糞土，有些「無欲無求」的味道，也不管自己缺不缺錢，很難受錢財的誘惑，掙錢上也比較難有積極性，有些佛系。</t>
  </si>
  <si>
    <t>賺錢的動力：</t>
  </si>
  <si>
    <t>要提升賺錢的動力，就不要怕吃苦，重視自我，抱有想快速成功的企圖心，並且要享受賺錢過程。</t>
  </si>
  <si>
    <t>要提升賺錢的動力，就要重視自我，享受刺激過程，而且不斷超越別人。</t>
  </si>
  <si>
    <t>要提升賺錢的動力，就要掌控你能掌控的事，同時，遇到挑戰要敢於冒險。</t>
  </si>
  <si>
    <t>要提升賺錢的動力，就要著重玩樂，同時，要滿足欲望。</t>
  </si>
  <si>
    <t>要提升賺錢的動力，就要做事乾脆俐落，滿足心中的佔有慾，同時也要得到尊敬及地位。</t>
  </si>
  <si>
    <t>要提升賺錢的動力，就是享受人生，大方慷慨，靠權謀爭奪權力。</t>
  </si>
  <si>
    <t>要提升賺錢的動力，就要願意吃苦耐勞，不畏挫折。</t>
  </si>
  <si>
    <t>要提升賺錢的動力，凡事就要照自己腳本走，快速處理，掌權，把責任交給信任的人去執行。</t>
  </si>
  <si>
    <t>要提升賺錢的動力，就要熱心幫助大眾，無私奉獻。</t>
  </si>
  <si>
    <t>要提升賺錢的動力，就要專研自己喜歡的事，找出答案，獨立處理。</t>
  </si>
  <si>
    <t>要提升賺錢的動力，做事就要用對謀略，付出也要看時機，需要照著自己的想法或直覺去執行。</t>
  </si>
  <si>
    <t>要提升賺錢的動力，就要追求完美，做好自己的本份，順應環境。</t>
  </si>
  <si>
    <t>要提升賺錢的動力，就要知足常樂，常常感恩，滿足於當下。</t>
  </si>
  <si>
    <t>要提升賺錢的動力，做事的意義要在於公益，樂於無私奉獻，滿足自己的使命感。</t>
  </si>
  <si>
    <t>真正為你賺錢的方法：</t>
  </si>
  <si>
    <t>真正為你賺錢的方法</t>
  </si>
  <si>
    <t>工作成就感：</t>
  </si>
  <si>
    <t>工作成就感</t>
  </si>
  <si>
    <t>適合賺錢的模式：</t>
  </si>
  <si>
    <t>調整盲點：</t>
  </si>
  <si>
    <t xml:space="preserve"> 你不服輸的個性，造就你常常陷入靠一己之力拼命往前衝的思維中。不僅勞心勞力，而且容易忽略團隊的作用，無法利用分工合作，團隊的格局也因此受限。你應該把精力多放在重要的事務上，用心訓練、教導團隊，維繫上下關係，才會事半功倍。</t>
  </si>
  <si>
    <t>你的盲點在於你的人際關係，因為你待人處事不夠圓融，你的固執會讓自己及其他人帶來困擾。你可以固執，但首先你要先說服他們，他們才會認同你欣賞你的堅持。面對否定自己的人，要培養大格局，不用跟他們一般見識，但你必須要表達自己的獨特見解，說服的過程就是一種考驗。培養胸襟，包容與自己不同的人。圓融，會累積好的人脈，遠比自己的資本和實力重要很多。</t>
  </si>
  <si>
    <t>不要糾結在自己的行動力差，你應該要專注在如何讓計劃更完美地呈現，達到目標。再把自己的想法大方地告訴團隊，讓他們為你執行，你從中輔導和調整。你在計劃進行當中，是不可或缺的重要人物，你是計劃的靈魂所在。</t>
  </si>
  <si>
    <t>不要糾結在行動力少上，你的能力是用來處理團體的細節意見，你的動力是源自於「你的發現」，什麼都看不到看不清楚，當然沒有動力。當你發現後，你會主積極地調整。盡量讓人看見「你的細心」，呈現「你體貼入微的優質服務」的一面，你會穫得更多認同你需要你的好人脈。</t>
  </si>
  <si>
    <t>實際問題：</t>
  </si>
  <si>
    <t>你在工作上碰到不順眼的主管，是因為你在職場上充滿了鬥志，同時你也希望其他人能認同你，欣賞你，給予你權力，讓你掌管事情，也讓你好發揮好處理好操作。你看不過眼沒有鬥志的主管，也看不過眼做事懶惰低效率。
導致你職場不順的原因，就是你很有主見，看不順眼的時候會主動提出，希望追上進度，趕快解決問題，提升效率，加快看見成果。所以，你的「求好心切」，會讓你因此而受到打壓。
解決方法：把主見放在自己身上，把改變回到自己身上。首先改變別人都是瘋子，所以，把自己的本份做到極致，再幫助團隊解決問題，你的團隊地位才會上升，你的支持者也會越來越多，到你有足夠的聲量與支持，這些都是你的底氣，推翻無能者，直接坐上當權者位置。</t>
  </si>
  <si>
    <t>你在事業上常與主管、同事容易發生衝突，是因為你做事充滿幹勁，希望在不變中保持新鮮有趣，同時，你希望在固有的模式中，尋找「史無前列」的新領域，來幫助大家突破事業瓶頸或發展。你無法接受大家一成不變，你認為變化才會帶來好處。
導致你職場不順的原因，就是你不夠耐心，變化速度太快，其他人追不上你的思維。你提出很多可能性的時候，跟你格局有落差的人會否定你，因為有些人的宗旨是「以不變應萬變」「變化會帶來不可預知的負擔」。
解決方法：把行動力先放在自己身上，讓他們從你身上看見了希望，從而用自己來做見證，引導他們加入自己，打破規距才是進步的開始。你就是成功的案例，你越能帶來效益，他們越欣賞你的前瞻性。所以，先把變化回到自己身上，用你自己來證明自己是正確的，你才是格局大，你才是看清市場的人，你才是正確的帶領者。</t>
  </si>
  <si>
    <t>你在事業上容易沒耐心，是因為你容易對一件事情充滿期待與抱負。你覺得可以成功，你覺得是可以實行。當你目前的快樂是在某一件事情上時，你會很積極投入，但當你失去了對這件事情的快樂時，你會不想繼續做。所以，你的沒耐心，說到底就是失去了快樂。
導致你職場不順的原因，就是你變化大且不穩定，給人一種「愛作夢又不踏實」的感覺，讓人無法交託重要事情給你，也害怕要收拾你的爛攤子。其實在你的眼中，他們是一板一眼的「工作機器人」，沒有生活可言，也沒有快樂可言，所以，導致你顯得格格不入，不合群。說白了，他們忌妒你活得任性自我，做事只為了追求快樂，時而重心放在工作快樂，時而重心在學習也快樂，即使重心放在愛情上也很快樂。
解決方法：嘗試把你的快樂感染你身邊的人，你要知道工作機器人是沒有「追求快樂、活得快樂」的觀念。所以，把你對生活的熱情勇敢地表達出來，你會發現，那些被你感染的人會開始懂得生活，就像是你把他們的人生救活了。認同你並追隨你的人，才是你的好人脈。累積的好人緣會讓你活得更舒服自在，更加遊戲人生。</t>
  </si>
  <si>
    <t>你在事業上容易對上司的工作挑剔、不滿，是因為你很理解自己的需求是什麼，如果觸碰到底線或是偏離了目標的軌道，你寧願什麼都不要，打掉重來。同時，你的堅定，你的認真，無人能及。有人誤會你，或是，對方呈現不認真的的態度，你是很有底氣跟對方說清楚明白。
導致你職場不順的原因，就是你自信心太強，其他人沒辦法動搖你的想法，會讓他們氣餒，轉化成失望，最後會變成仇恨。所以，當你主動說出人事物的問題是，他們日積月累的怨恨，會演變成指責你，反過來說成是你的錯。
解決方法：你先把正確的方法做出來，等到有結果，再來檢討他們的不認真。你的盡職，你的責任心，你的認真，是絕對有資格講出人事物的不合理。以自己對事情的投入程度，帶來正面的結果，去證明你是正確的，嘴巴容易讓人誤會，但工作實力會讓人認同及欣賞。你在工作中展現的魅力，來算你的自信心及處事的底線。</t>
  </si>
  <si>
    <t>你在事業上比較不合群，是因為你知道自己的能力比其他人好，你不需要依靠他們也能獨自完成。你是一個實做實幹，廢話少說的人，你更不需要討好其他人，也能爬上理想的位置。你認為，在職場上就要有該有的狀態和角色，一個實力派的人，就要專注在展現自己的能力，得到的結果遠比千言萬語更有說服力。
導致你職場不順的原因，就是你比較自我，也獨斷獨行，與主流群體產生對比。那些在你背後閒言閒語的人，就是格局比你低比你小的人。你的自我，是源自於你自己的價值。你的獨斷獨行，是為了讓自己的社交圈乾淨。所以，你忌妒你的人，他們的小心眼永遠追不上你發揮才能的速度。
解決方法：自己有能力就多幫助比你弱小的人，照顧他們能展現你的優越，而不是基於融入團體。你想要在團隊裡被重視，你就得先重視他們的問題，你可以不熱心，但你不可以不出手解決，請你在最關鍵時刻，展現你的能力。不用你主動融入，他們就已經先靠近你。懂得感恩的人，是你的好人脈，累積的好人緣，會增加支持度和聲量，能夠提升你的地位與權力。成為真正的領導者，就必須要用能力解決問題，團隊心甘情願地追隨你，以後處事才會順利。</t>
  </si>
  <si>
    <t>你在事業上容易挑剔領導級別的毛病，因為這是你「愛之深責之切」的表現，你不希望自己隨便妥協在不合理或不正確的事情上，你認為總有更好的方法去完成。要你做錯誤的方法，你當然心不甘，情不願。
導致你職場不順的原因，就是你太過有自己的想法，而且也很堅持己見，讓其他人覺得你常在不合理的場合，發表不恰當的建議。但是，他們只在乎眼前的地位輕重，卻忽略了更有把握成功的方法。在做最後的決策前，你的直覺會告訴你，要盡快糾正。但是，你往往會被看不清楚的人給否定，指責你在職場上的問題。
解決方法：把你成功的慾望在放自己身上，你要證明自己就是「成功的本體」，不需要妥協，你只需要做好自己的本份。你的自我意識很強，能夠帶你做正確的決定。為了成功，你需要大量學習，才能完整「成功」。只要你專注在「成功」，你就會找到認同你並追隨你的人，你才會找到共同進退的好夥伴。否則，在你還沒成功前就與其他人合作，他們都會阻撓你，否定你。</t>
  </si>
  <si>
    <t>你在職場裡，上司容易對你看不順眼，因為你不太喜歡與同事互動，比較孤傲。你只是害怕煩瑣，多跟一個人熟悉，可能也會面臨更多的工作雜事，也可能會有更多的工作支援，讓你更不喜歡花心思在小事情上。
導致你職場不順的原因，就是處事過於踏實，過於重視現實層面，讓人覺得你不懂人情世故。其實，比起人性，你更在乎「具體價值」。你享受事業中帶來的挑戰，所以，你選擇努力認真，換取事業成就。你的踏實，你的賣力，讓你成為其他人眼中的高績效的菁英，是其他人都做不到的。
解決方法：把你的毅力和決心，做出成果，證明你的努力才是有價值的。你不爽其他人畫大餅（空談夢想），就想盡辦把計劃具體執行，一步一步帶領團隊，一步一步地達成目標。你只需要
重視當下的目標，引導其他人不要浪費時間在「探討夢想」，要達成目的也要靠現在的努力才能達到。只要你走著你的SOP，你的追隨者才會跟上你的步伐。「聽話照做」的人才是你的好人脈，累積的好人緣，會讓你做事更順利，更快更有效率地完成目標。</t>
  </si>
  <si>
    <t>你在事業上，你容易惹來惡意的競爭者，他們小心眼也會在背後中傷你，因為你在做人處理上很會協調，招人羨慕忌妒恨。你只是很會協調對你有幫助的人，你理解他們的需求，你也清楚他們對你的好處。所以，你寧願花心思去溝通、處理、解決他們，也不要奉承對你無益的人。
導致你職場不順的原因，就是你懂得挑選有價值的人，讓自己的人際關係保持乾淨。你的格局大，懂得「知人善任，唯才所宜」，所以，你也很珍惜可貴的人緣。比你格局低格局小的人，是無法理解你的深度與巧思。
解決方法：保持你在人際社交的原則，再加以對你有價值的人無私地犧牲奉獻。發掘他們內涵的價值，協助他們更上一層樓。懂得感恩的人都是好人脈，累積的好人緣，會為你帶來更多機遇，事業發展的成就來自於沿路貴人多助，有認同你欣賞你的靠山，爬上高位自然順利，小人只能眼紅，也阻擋不了。</t>
  </si>
  <si>
    <t>你在事業上，上司同事容易輕視你的能力，因為你總是樂於奉獻自己的熱情，幫人做事卻被搶功勞。你傾向於看重效率與規矩，把潛規矩當作份內事，也把舉手之勞當作效率。比起邀功，你更願意表現專業及表達自己。
導致你職場不順的原因，就是你過於重視效率，忽略了其他人傾向於重視感覺與過程。對你而言，無法加強及加快效率的事，你更不願意去配合，你越是抗拒做沒有效益的事情，你越顯得不好相處。他們的做法，不在你的格局範疇裡，所以，只要你的格局夠大，你的熱心會為你帶來成果、成就、利益，都是他們無法理解的。
解決方法：保持你對生活的熱情，勇敢把你的想法表達出來，熱心付出及幫助認同你的人。只要你想做這件事，你會非常投入及積極，哪怕困難重重，你都能一一克服。認同你的人才是你的好人脈，累積的好人緣，會成為你的強將，你只需要表達你的想法，引導他們去執行，你的團隊會超越高峰，突破紀錄。</t>
  </si>
  <si>
    <t>你在事業上，容易跟其他人溝通不良，或是造成溝通上的誤會，因為你為人處理傾向於公私分明，不會探究人情事故。在職場上，拿出該有的態度，什麼場合做什麼事，才是你敬業原則。
導致你職場不順的原因，就是你的認真投入，會變成其他人眼裡的挑剔。你做事細心，發現缺口，發現漏洞，發現錯誤，不是你挑剔，而是他們做事不夠認真，才會有需要調整及注意的地方。這些低級錯誤，不應該存在，卻變成你得罪人的地方。
解決方法：保持樂觀應對其他人的錯誤，沒有人能打擊你，只要你保持著敬業的態度，他們更沒辦法拿你的優勢當缺點來看。你的原則，會幫你篩選處事隨便的人，那些格局小的人，會自動遠離你。同時，你的原則，你的直來直往，能帶給黟伴安全感。你的坦言，值得更敬業的團隊。留下來的人都是好人脈，累積的好人緣，能更完整你的計劃。</t>
  </si>
  <si>
    <t>你在事業上，你的能力受到質疑或批評，是因為他們從你的工作表現上無法挑剔，只能從你的情緒挑毛病。你的工作能力可塑性高，能任意隨著環境或工作內容而變化，同一個慨念，應用在不同的範疇裡。所以，當有人質疑你的時候，你要認清他們是「惡意攻擊你」，還是「你的情緒傷害到他們」。
導致你職場不順的原因，就是心性容易浮躁，讓人不好捉摸，尤其是你表面看似好相處，但當你發現有人用不對的方式做事時，你更沒辦法接受那些腦筋遲鈍又緩慢的人，你會抓狂。所以，你的不耐煩是來自於他們不會變通，也會是他們攻擊的點。
解決方法：深度的思考，淋漓盡致的專業技術，源源不絕的靈感，整合成各種充滿智慧的策略。你的價值在於多元的想法與創意，要發揮你的創造力，就要待在你可以掌握變化的行業裡。你的想法，能協助很多人成功，你的智慧，能成就很多人成功。別吝嗇提供建議，聽得進去且執行的人，才是你的好人脈，累積好人緣，能讓你團隊越來越狀大。你在團隊裡是不可或缺的軍師，你不需要自己去行動，你只需要提供你的策劃，讓團隊去行動，事業才會走得更長久。</t>
  </si>
  <si>
    <t>你在事業上，容易被排擠或被排斥，因為你的信念很強，其他人不理解，在他們的眼中變成了固執。你的信念，帶著犧牲奉獻的精神，本意是無私地幫助任何人。格局小的人，會不理解你的強大。格局足夠大的人，你才是美麗的存在。以善引善，善念驅惡，保留你的善念，送給正心正念的人。
導致你職場不順的原因，就是你抗壓力較弱，會有逃避的心態。你過於重視別人的觀感而讓自己內耗，逃避只是你想遠離惡劣的人。所以，不是你被排擠，而是你在篩選跟你不同層次的人。默默做好目己的本份，默默地表現真性情，只展現給值得關心的人。
解決方法：保持你的善念，勇敢表現你的信念，你細微的心思，往往會有讓人意想不到的體貼與溫柔藏在裡面，這份舉動會感動很多人。而這份感動，足以讓人從惡轉善。所以，不要吝嗇給予暖心的鼓勵與祝福，你的一句話帶給他人生的轉變，從此正向面對人生。懂得感恩的人才是你的好人脈，累積好人緣，能讓你在服務當中有所成就，你也會因協助他們脫胎換骨而感到滿足。</t>
  </si>
  <si>
    <t>你在事業上，容易跟其他人產生相處的隔閡，因為你個性早熟且眼光往往比周遭的人看的遠，所以，你在其他人眼中顯得特別自負。你的自負，讓你的人際產生距離感，同時也是在幫你篩選跟你一樣成熟想法的夥伴，遠離格局低且幼稚的人。
導致你職場不順的原因，就是你沒辦法與其他人產生利益關係，你寧願跟群體若即若離，也不要陷入其中，你保持你的清高，也不要淪為惡劣的人。你的思路清晰，你清楚知道局面狀況，再作出行動；你的行事作風與其他人截然不同，你明白職場上就是行走不一樣的哲理。
解決方法：遠離變動多或變化大的工作範疇，選擇穩定中求發展才是你的方向。你能夠從不變中應萬變，你的哲理能讓你備受器重。同時，遠離複雜的交際，把你的智慧傳授給欣賞你的人，幫助他們成為跟你一樣擁有智慧的人。你熱心的幫忙，要用在對的人身上。學習運用哲學行事的人，才是你的好人脈，累積好人緣，能讓你感受到「為善最樂」的滿足，心靈也會得到平靜。</t>
  </si>
  <si>
    <t>你在事業上，容易被人看輕你的能力，一副沒有鬥志和衝勁的態度，因為你的人生觀裡面，工作不是只為錢，而是得到更優質的生活。人生，就是享受生活品味才會愉快。你懂得平衡生活，能夠從忙碌中兼顧喜歡的休閒享受。其他人看輕你的能力沒關係，你的生活保持愉快不被打擾才是最重要。
導致你職場不順的原因，就是你擁有與世無爭的處事態度，同時沒有過多的人生企圖。面對生活，你選擇逆來順受，不是你抗壓力較弱，而是你穩定性高。即使遇上難關及挑戰，你都能夠從容自在，感受黑暗的痛苦同時也在尋覓著苦中一點甜。所以，你的安定感源自於生活的樂趣，努力工作的能量也會源源不絕。
解決方法：保持生活平衡，宣揚你的人生態度「享受人生、瞭解愛」，事業才能長久發展，創意靈感才會無窮無盡，工作能力也不會遭受限制。運用你的理念，同頻共振，吸引正確的人才在身邊。認同你且X持著你的理念工作生活，才是你的好人脈，累積好人緣，能讓你的事業成就更上一層樓。只有懂得享受人生，才會突破人生巔峰，才會創造更高層次的人生成就。</t>
  </si>
  <si>
    <t>總結：</t>
  </si>
  <si>
    <t>總結</t>
  </si>
  <si>
    <t>請你專注在：
不要糾結在沒有結果的人事物上：
換個方式實現你的人生：為重要
認清你的工作能力：
發揮在這邊獲得更多賺錢機會：
啟動賺錢動力：
融合賺錢&amp;發展的範疇：
工作成就感：
適合賺錢的模式：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</si>
</sst>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scheme val="minor"/>
    </font>
    <font>
      <b/>
      <sz val="16"/>
      <color theme="1"/>
      <name val="Verdana"/>
      <family val="2"/>
    </font>
    <font>
      <b/>
      <sz val="14"/>
      <color rgb="FFFF0000"/>
      <name val="Verdana"/>
      <family val="2"/>
    </font>
    <font>
      <sz val="16"/>
      <color theme="1"/>
      <name val="Verdana"/>
      <family val="2"/>
    </font>
    <font>
      <sz val="10"/>
      <name val="Arial"/>
      <family val="2"/>
    </font>
    <font>
      <sz val="12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Arial"/>
      <family val="2"/>
      <scheme val="minor"/>
    </font>
    <font>
      <sz val="10"/>
      <color rgb="FF0000FF"/>
      <name val="Verdana"/>
      <family val="2"/>
    </font>
    <font>
      <sz val="10"/>
      <color rgb="FFFF0000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Verdana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9"/>
      <name val="Arial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9DBF8"/>
        <bgColor rgb="FFC9DBF8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vertical="center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0" borderId="0" xfId="0" applyFont="1"/>
    <xf numFmtId="0" fontId="16" fillId="4" borderId="0" xfId="0" applyFont="1" applyFill="1" applyAlignment="1">
      <alignment horizontal="left" vertical="center"/>
    </xf>
    <xf numFmtId="0" fontId="17" fillId="0" borderId="0" xfId="0" applyFont="1"/>
    <xf numFmtId="0" fontId="17" fillId="4" borderId="0" xfId="0" applyFont="1" applyFill="1"/>
    <xf numFmtId="0" fontId="16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19" fillId="0" borderId="0" xfId="0" applyFont="1" applyAlignment="1">
      <alignment horizontal="left" vertical="center" wrapText="1"/>
    </xf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 wrapText="1"/>
    </xf>
    <xf numFmtId="0" fontId="24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/>
    <xf numFmtId="0" fontId="5" fillId="0" borderId="3" xfId="0" applyFont="1" applyBorder="1" applyAlignment="1">
      <alignment horizontal="left" vertical="top" wrapText="1"/>
    </xf>
    <xf numFmtId="0" fontId="4" fillId="0" borderId="4" xfId="0" applyFont="1" applyBorder="1"/>
    <xf numFmtId="0" fontId="4" fillId="0" borderId="5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2</xdr:row>
      <xdr:rowOff>333375</xdr:rowOff>
    </xdr:from>
    <xdr:ext cx="971550" cy="419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79200" y="2461250"/>
          <a:ext cx="955200" cy="400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highlight>
                <a:srgbClr val="F4CCCC"/>
              </a:highlight>
            </a:rPr>
            <a:t>Ａ按鈕１</a:t>
          </a:r>
          <a:endParaRPr sz="1400">
            <a:highlight>
              <a:srgbClr val="F4CCCC"/>
            </a:highlight>
          </a:endParaRPr>
        </a:p>
      </xdr:txBody>
    </xdr:sp>
    <xdr:clientData fLocksWithSheet="0"/>
  </xdr:oneCellAnchor>
  <xdr:oneCellAnchor>
    <xdr:from>
      <xdr:col>2</xdr:col>
      <xdr:colOff>85725</xdr:colOff>
      <xdr:row>2</xdr:row>
      <xdr:rowOff>333375</xdr:rowOff>
    </xdr:from>
    <xdr:ext cx="914400" cy="4191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118025" y="3506125"/>
          <a:ext cx="895500" cy="400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highlight>
                <a:srgbClr val="F4CCCC"/>
              </a:highlight>
            </a:rPr>
            <a:t>Ａ按鈕２</a:t>
          </a:r>
          <a:endParaRPr sz="1400">
            <a:highlight>
              <a:srgbClr val="F4CCCC"/>
            </a:highlight>
          </a:endParaRPr>
        </a:p>
      </xdr:txBody>
    </xdr:sp>
    <xdr:clientData fLocksWithSheet="0"/>
  </xdr:oneCellAnchor>
  <xdr:oneCellAnchor>
    <xdr:from>
      <xdr:col>3</xdr:col>
      <xdr:colOff>47625</xdr:colOff>
      <xdr:row>2</xdr:row>
      <xdr:rowOff>333375</xdr:rowOff>
    </xdr:from>
    <xdr:ext cx="914400" cy="4191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934025" y="2958800"/>
          <a:ext cx="895500" cy="400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highlight>
                <a:srgbClr val="F4CCCC"/>
              </a:highlight>
            </a:rPr>
            <a:t>Ａ按鈕３</a:t>
          </a:r>
          <a:endParaRPr sz="1400">
            <a:highlight>
              <a:srgbClr val="F4CCCC"/>
            </a:highlight>
          </a:endParaRPr>
        </a:p>
      </xdr:txBody>
    </xdr:sp>
    <xdr:clientData fLocksWithSheet="0"/>
  </xdr:oneCellAnchor>
  <xdr:oneCellAnchor>
    <xdr:from>
      <xdr:col>1</xdr:col>
      <xdr:colOff>38100</xdr:colOff>
      <xdr:row>4</xdr:row>
      <xdr:rowOff>342900</xdr:rowOff>
    </xdr:from>
    <xdr:ext cx="914400" cy="4191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446425" y="3058325"/>
          <a:ext cx="895500" cy="400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highlight>
                <a:srgbClr val="F4CCCC"/>
              </a:highlight>
            </a:rPr>
            <a:t>Ｂ按鈕１</a:t>
          </a:r>
          <a:endParaRPr sz="1400">
            <a:highlight>
              <a:srgbClr val="F4CCCC"/>
            </a:highlight>
          </a:endParaRPr>
        </a:p>
      </xdr:txBody>
    </xdr:sp>
    <xdr:clientData fLocksWithSheet="0"/>
  </xdr:oneCellAnchor>
  <xdr:oneCellAnchor>
    <xdr:from>
      <xdr:col>2</xdr:col>
      <xdr:colOff>47625</xdr:colOff>
      <xdr:row>4</xdr:row>
      <xdr:rowOff>342900</xdr:rowOff>
    </xdr:from>
    <xdr:ext cx="933450" cy="4191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436475" y="2262225"/>
          <a:ext cx="915600" cy="400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highlight>
                <a:srgbClr val="F4CCCC"/>
              </a:highlight>
            </a:rPr>
            <a:t>Ｂ按鈕２</a:t>
          </a:r>
          <a:endParaRPr sz="1400">
            <a:highlight>
              <a:srgbClr val="F4CCCC"/>
            </a:highlight>
          </a:endParaRPr>
        </a:p>
      </xdr:txBody>
    </xdr:sp>
    <xdr:clientData fLocksWithSheet="0"/>
  </xdr:oneCellAnchor>
  <xdr:oneCellAnchor>
    <xdr:from>
      <xdr:col>3</xdr:col>
      <xdr:colOff>76200</xdr:colOff>
      <xdr:row>4</xdr:row>
      <xdr:rowOff>342900</xdr:rowOff>
    </xdr:from>
    <xdr:ext cx="981075" cy="4191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968750" y="1834325"/>
          <a:ext cx="965400" cy="400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highlight>
                <a:srgbClr val="F4CCCC"/>
              </a:highlight>
            </a:rPr>
            <a:t>Ｂ按鈕３</a:t>
          </a:r>
          <a:endParaRPr sz="1400">
            <a:highlight>
              <a:srgbClr val="F4CCCC"/>
            </a:highlight>
          </a:endParaRPr>
        </a:p>
      </xdr:txBody>
    </xdr:sp>
    <xdr:clientData fLocksWithSheet="0"/>
  </xdr:oneCellAnchor>
  <xdr:oneCellAnchor>
    <xdr:from>
      <xdr:col>1</xdr:col>
      <xdr:colOff>38100</xdr:colOff>
      <xdr:row>6</xdr:row>
      <xdr:rowOff>352425</xdr:rowOff>
    </xdr:from>
    <xdr:ext cx="914400" cy="4191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839400" y="1655200"/>
          <a:ext cx="895500" cy="400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highlight>
                <a:srgbClr val="F4CCCC"/>
              </a:highlight>
            </a:rPr>
            <a:t>Ｃ按鈕１</a:t>
          </a:r>
          <a:endParaRPr sz="1400">
            <a:highlight>
              <a:srgbClr val="F4CCCC"/>
            </a:highlight>
          </a:endParaRPr>
        </a:p>
      </xdr:txBody>
    </xdr:sp>
    <xdr:clientData fLocksWithSheet="0"/>
  </xdr:oneCellAnchor>
  <xdr:oneCellAnchor>
    <xdr:from>
      <xdr:col>2</xdr:col>
      <xdr:colOff>85725</xdr:colOff>
      <xdr:row>6</xdr:row>
      <xdr:rowOff>352425</xdr:rowOff>
    </xdr:from>
    <xdr:ext cx="923925" cy="4191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257350" y="1734825"/>
          <a:ext cx="905700" cy="400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highlight>
                <a:srgbClr val="F4CCCC"/>
              </a:highlight>
            </a:rPr>
            <a:t>Ｃ按鈕２</a:t>
          </a:r>
          <a:endParaRPr sz="1400">
            <a:highlight>
              <a:srgbClr val="F4CCCC"/>
            </a:highlight>
          </a:endParaRPr>
        </a:p>
      </xdr:txBody>
    </xdr:sp>
    <xdr:clientData fLocksWithSheet="0"/>
  </xdr:oneCellAnchor>
  <xdr:oneCellAnchor>
    <xdr:from>
      <xdr:col>3</xdr:col>
      <xdr:colOff>47625</xdr:colOff>
      <xdr:row>6</xdr:row>
      <xdr:rowOff>352425</xdr:rowOff>
    </xdr:from>
    <xdr:ext cx="923925" cy="4191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620500" y="2242300"/>
          <a:ext cx="905400" cy="400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highlight>
                <a:srgbClr val="F4CCCC"/>
              </a:highlight>
            </a:rPr>
            <a:t>Ｃ按鈕３</a:t>
          </a:r>
          <a:endParaRPr sz="1400">
            <a:highlight>
              <a:srgbClr val="F4CCCC"/>
            </a:highlight>
          </a:endParaRPr>
        </a:p>
      </xdr:txBody>
    </xdr:sp>
    <xdr:clientData fLocksWithSheet="0"/>
  </xdr:oneCellAnchor>
  <xdr:oneCellAnchor>
    <xdr:from>
      <xdr:col>1</xdr:col>
      <xdr:colOff>161925</xdr:colOff>
      <xdr:row>0</xdr:row>
      <xdr:rowOff>66675</xdr:rowOff>
    </xdr:from>
    <xdr:ext cx="657225" cy="41910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3656150" y="1686950"/>
          <a:ext cx="639600" cy="400200"/>
        </a:xfrm>
        <a:prstGeom prst="rect">
          <a:avLst/>
        </a:prstGeom>
        <a:solidFill>
          <a:srgbClr val="F4CCCC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clear</a:t>
          </a:r>
          <a:endParaRPr sz="1400"/>
        </a:p>
      </xdr:txBody>
    </xdr:sp>
    <xdr:clientData fLocksWithSheet="0"/>
  </xdr:oneCellAnchor>
  <xdr:oneCellAnchor>
    <xdr:from>
      <xdr:col>4</xdr:col>
      <xdr:colOff>200025</xdr:colOff>
      <xdr:row>0</xdr:row>
      <xdr:rowOff>581025</xdr:rowOff>
    </xdr:from>
    <xdr:ext cx="600075" cy="41910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466675" y="1076000"/>
          <a:ext cx="578700" cy="400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highlight>
                <a:srgbClr val="F4CCCC"/>
              </a:highlight>
              <a:latin typeface="Verdana"/>
              <a:ea typeface="Verdana"/>
              <a:cs typeface="Verdana"/>
              <a:sym typeface="Verdana"/>
            </a:rPr>
            <a:t>輸入</a:t>
          </a:r>
          <a:endParaRPr sz="1400">
            <a:highlight>
              <a:srgbClr val="F4CCCC"/>
            </a:highlight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3"/>
  <sheetViews>
    <sheetView tabSelected="1" workbookViewId="0"/>
  </sheetViews>
  <sheetFormatPr baseColWidth="10" defaultColWidth="12.6640625" defaultRowHeight="15.75" customHeight="1" x14ac:dyDescent="0.15"/>
  <cols>
    <col min="1" max="1" width="2.6640625" customWidth="1"/>
    <col min="6" max="6" width="50.1640625" customWidth="1"/>
  </cols>
  <sheetData>
    <row r="1" spans="1:7" ht="46.5" customHeight="1" x14ac:dyDescent="0.15">
      <c r="A1" s="1"/>
      <c r="B1" s="1"/>
      <c r="C1" s="46" t="s">
        <v>0</v>
      </c>
      <c r="D1" s="47"/>
      <c r="E1" s="1"/>
      <c r="F1" s="1"/>
      <c r="G1" s="1"/>
    </row>
    <row r="2" spans="1:7" ht="30" customHeight="1" x14ac:dyDescent="0.15">
      <c r="A2" s="1"/>
      <c r="B2" s="1" t="s">
        <v>1</v>
      </c>
      <c r="C2" s="48"/>
      <c r="D2" s="49"/>
      <c r="E2" s="2"/>
      <c r="F2" s="50" t="s">
        <v>2</v>
      </c>
      <c r="G2" s="1"/>
    </row>
    <row r="3" spans="1:7" ht="30" customHeight="1" x14ac:dyDescent="0.15">
      <c r="A3" s="1"/>
      <c r="B3" s="1"/>
      <c r="C3" s="1"/>
      <c r="D3" s="1"/>
      <c r="E3" s="1"/>
      <c r="F3" s="51"/>
      <c r="G3" s="1"/>
    </row>
    <row r="4" spans="1:7" ht="30" customHeight="1" x14ac:dyDescent="0.15">
      <c r="A4" s="1"/>
      <c r="B4" s="1"/>
      <c r="C4" s="1"/>
      <c r="D4" s="1"/>
      <c r="E4" s="1"/>
      <c r="F4" s="51"/>
      <c r="G4" s="1"/>
    </row>
    <row r="5" spans="1:7" ht="30" customHeight="1" x14ac:dyDescent="0.15">
      <c r="A5" s="1"/>
      <c r="B5" s="1"/>
      <c r="C5" s="1"/>
      <c r="D5" s="1"/>
      <c r="E5" s="1"/>
      <c r="F5" s="51"/>
      <c r="G5" s="1"/>
    </row>
    <row r="6" spans="1:7" ht="30" customHeight="1" x14ac:dyDescent="0.15">
      <c r="A6" s="1"/>
      <c r="B6" s="1"/>
      <c r="C6" s="1"/>
      <c r="D6" s="1"/>
      <c r="E6" s="3"/>
      <c r="F6" s="51"/>
      <c r="G6" s="1"/>
    </row>
    <row r="7" spans="1:7" ht="30" customHeight="1" x14ac:dyDescent="0.15">
      <c r="A7" s="1"/>
      <c r="B7" s="1"/>
      <c r="C7" s="1"/>
      <c r="D7" s="1"/>
      <c r="E7" s="1"/>
      <c r="F7" s="51"/>
      <c r="G7" s="1"/>
    </row>
    <row r="8" spans="1:7" ht="30" customHeight="1" x14ac:dyDescent="0.15">
      <c r="A8" s="1"/>
      <c r="B8" s="1"/>
      <c r="C8" s="1"/>
      <c r="D8" s="1"/>
      <c r="E8" s="1"/>
      <c r="F8" s="51"/>
      <c r="G8" s="1"/>
    </row>
    <row r="9" spans="1:7" ht="30" customHeight="1" x14ac:dyDescent="0.15">
      <c r="A9" s="1"/>
      <c r="B9" s="1"/>
      <c r="C9" s="1"/>
      <c r="D9" s="1"/>
      <c r="E9" s="1"/>
      <c r="F9" s="51"/>
      <c r="G9" s="1"/>
    </row>
    <row r="10" spans="1:7" ht="30" customHeight="1" x14ac:dyDescent="0.15">
      <c r="A10" s="1"/>
      <c r="B10" s="1"/>
      <c r="C10" s="1"/>
      <c r="D10" s="1"/>
      <c r="E10" s="1"/>
      <c r="F10" s="51"/>
      <c r="G10" s="1"/>
    </row>
    <row r="11" spans="1:7" ht="30" customHeight="1" x14ac:dyDescent="0.15">
      <c r="A11" s="1"/>
      <c r="B11" s="1"/>
      <c r="C11" s="1"/>
      <c r="D11" s="1"/>
      <c r="E11" s="1"/>
      <c r="F11" s="51"/>
      <c r="G11" s="1"/>
    </row>
    <row r="12" spans="1:7" ht="30" customHeight="1" x14ac:dyDescent="0.15">
      <c r="A12" s="1"/>
      <c r="B12" s="1"/>
      <c r="C12" s="1"/>
      <c r="D12" s="1"/>
      <c r="E12" s="1"/>
      <c r="F12" s="52"/>
      <c r="G12" s="1"/>
    </row>
    <row r="13" spans="1:7" ht="30" customHeight="1" x14ac:dyDescent="0.15">
      <c r="A13" s="1"/>
      <c r="B13" s="1"/>
      <c r="C13" s="1"/>
      <c r="D13" s="1"/>
      <c r="E13" s="1"/>
      <c r="F13" s="1"/>
      <c r="G13" s="1"/>
    </row>
  </sheetData>
  <mergeCells count="3">
    <mergeCell ref="C1:D1"/>
    <mergeCell ref="C2:D2"/>
    <mergeCell ref="F2:F12"/>
  </mergeCells>
  <phoneticPr fontId="2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24"/>
  <sheetViews>
    <sheetView workbookViewId="0"/>
  </sheetViews>
  <sheetFormatPr baseColWidth="10" defaultColWidth="12.6640625" defaultRowHeight="15.75" customHeight="1" x14ac:dyDescent="0.15"/>
  <cols>
    <col min="1" max="1" width="24.83203125" customWidth="1"/>
    <col min="2" max="2" width="73.83203125" customWidth="1"/>
  </cols>
  <sheetData>
    <row r="1" spans="1:3" ht="15.75" customHeight="1" x14ac:dyDescent="0.15">
      <c r="A1" s="4" t="s">
        <v>3</v>
      </c>
      <c r="B1" s="4" t="s">
        <v>4</v>
      </c>
      <c r="C1" s="4" t="s">
        <v>5</v>
      </c>
    </row>
    <row r="2" spans="1:3" ht="15.75" customHeight="1" x14ac:dyDescent="0.15">
      <c r="A2" s="4" t="s">
        <v>6</v>
      </c>
      <c r="B2" s="4" t="s">
        <v>7</v>
      </c>
      <c r="C2" s="4" t="s">
        <v>8</v>
      </c>
    </row>
    <row r="3" spans="1:3" ht="15.75" customHeight="1" x14ac:dyDescent="0.15">
      <c r="A3" s="4" t="s">
        <v>9</v>
      </c>
      <c r="B3" s="4" t="s">
        <v>10</v>
      </c>
      <c r="C3" s="4" t="s">
        <v>11</v>
      </c>
    </row>
    <row r="4" spans="1:3" ht="15.75" customHeight="1" x14ac:dyDescent="0.15">
      <c r="A4" s="4" t="s">
        <v>12</v>
      </c>
      <c r="B4" s="4" t="s">
        <v>13</v>
      </c>
      <c r="C4" s="4" t="s">
        <v>8</v>
      </c>
    </row>
    <row r="5" spans="1:3" ht="15.75" customHeight="1" x14ac:dyDescent="0.15">
      <c r="A5" s="4" t="s">
        <v>14</v>
      </c>
      <c r="B5" s="4" t="s">
        <v>15</v>
      </c>
      <c r="C5" s="5"/>
    </row>
    <row r="6" spans="1:3" ht="15.75" customHeight="1" x14ac:dyDescent="0.15">
      <c r="A6" s="4" t="s">
        <v>16</v>
      </c>
      <c r="B6" s="4" t="s">
        <v>17</v>
      </c>
      <c r="C6" s="4" t="s">
        <v>11</v>
      </c>
    </row>
    <row r="7" spans="1:3" ht="15.75" customHeight="1" x14ac:dyDescent="0.15">
      <c r="A7" s="4" t="s">
        <v>18</v>
      </c>
      <c r="B7" s="4" t="s">
        <v>19</v>
      </c>
      <c r="C7" s="4" t="s">
        <v>8</v>
      </c>
    </row>
    <row r="8" spans="1:3" ht="15.75" customHeight="1" x14ac:dyDescent="0.15">
      <c r="A8" s="4" t="s">
        <v>20</v>
      </c>
      <c r="B8" s="4" t="s">
        <v>21</v>
      </c>
      <c r="C8" s="5"/>
    </row>
    <row r="9" spans="1:3" ht="15.75" customHeight="1" x14ac:dyDescent="0.15">
      <c r="A9" s="6" t="s">
        <v>22</v>
      </c>
      <c r="B9" s="4" t="s">
        <v>23</v>
      </c>
      <c r="C9" s="6" t="s">
        <v>11</v>
      </c>
    </row>
    <row r="10" spans="1:3" ht="15.75" customHeight="1" x14ac:dyDescent="0.15">
      <c r="A10" s="4" t="s">
        <v>24</v>
      </c>
      <c r="B10" s="4" t="s">
        <v>25</v>
      </c>
      <c r="C10" s="4" t="s">
        <v>8</v>
      </c>
    </row>
    <row r="11" spans="1:3" ht="15.75" customHeight="1" x14ac:dyDescent="0.15">
      <c r="A11" s="6" t="s">
        <v>26</v>
      </c>
      <c r="B11" s="4" t="s">
        <v>27</v>
      </c>
      <c r="C11" s="4" t="s">
        <v>11</v>
      </c>
    </row>
    <row r="12" spans="1:3" ht="15.75" customHeight="1" x14ac:dyDescent="0.15">
      <c r="A12" s="4" t="s">
        <v>28</v>
      </c>
      <c r="B12" s="4" t="s">
        <v>29</v>
      </c>
      <c r="C12" s="4" t="s">
        <v>8</v>
      </c>
    </row>
    <row r="13" spans="1:3" ht="15.75" customHeight="1" x14ac:dyDescent="0.15">
      <c r="A13" s="4" t="s">
        <v>30</v>
      </c>
      <c r="B13" s="4" t="s">
        <v>31</v>
      </c>
      <c r="C13" s="4" t="s">
        <v>11</v>
      </c>
    </row>
    <row r="14" spans="1:3" ht="15.75" customHeight="1" x14ac:dyDescent="0.15">
      <c r="A14" s="4" t="s">
        <v>32</v>
      </c>
      <c r="B14" s="4" t="s">
        <v>33</v>
      </c>
      <c r="C14" s="4" t="s">
        <v>8</v>
      </c>
    </row>
    <row r="15" spans="1:3" ht="15.75" customHeight="1" x14ac:dyDescent="0.15">
      <c r="A15" s="7" t="s">
        <v>34</v>
      </c>
      <c r="B15" s="4" t="s">
        <v>35</v>
      </c>
      <c r="C15" s="5"/>
    </row>
    <row r="16" spans="1:3" ht="15.75" customHeight="1" x14ac:dyDescent="0.15">
      <c r="A16" s="4" t="s">
        <v>36</v>
      </c>
      <c r="B16" s="4" t="s">
        <v>37</v>
      </c>
      <c r="C16" s="4" t="s">
        <v>11</v>
      </c>
    </row>
    <row r="17" spans="1:3" ht="15.75" customHeight="1" x14ac:dyDescent="0.15">
      <c r="A17" s="4" t="s">
        <v>38</v>
      </c>
      <c r="B17" s="4" t="s">
        <v>39</v>
      </c>
      <c r="C17" s="4" t="s">
        <v>8</v>
      </c>
    </row>
    <row r="18" spans="1:3" ht="15.75" customHeight="1" x14ac:dyDescent="0.15">
      <c r="A18" s="4" t="s">
        <v>40</v>
      </c>
      <c r="B18" s="4" t="s">
        <v>41</v>
      </c>
      <c r="C18" s="5"/>
    </row>
    <row r="19" spans="1:3" ht="15.75" customHeight="1" x14ac:dyDescent="0.15">
      <c r="A19" s="4" t="s">
        <v>42</v>
      </c>
      <c r="B19" s="4" t="s">
        <v>43</v>
      </c>
      <c r="C19" s="4" t="s">
        <v>11</v>
      </c>
    </row>
    <row r="20" spans="1:3" ht="15.75" customHeight="1" x14ac:dyDescent="0.15">
      <c r="A20" s="4" t="s">
        <v>44</v>
      </c>
      <c r="B20" s="4" t="s">
        <v>45</v>
      </c>
      <c r="C20" s="4" t="s">
        <v>8</v>
      </c>
    </row>
    <row r="21" spans="1:3" ht="15.75" customHeight="1" x14ac:dyDescent="0.15">
      <c r="A21" s="4" t="s">
        <v>46</v>
      </c>
      <c r="B21" s="4" t="s">
        <v>47</v>
      </c>
      <c r="C21" s="4" t="s">
        <v>11</v>
      </c>
    </row>
    <row r="22" spans="1:3" ht="15.75" customHeight="1" x14ac:dyDescent="0.15">
      <c r="A22" s="4" t="s">
        <v>48</v>
      </c>
      <c r="B22" s="4" t="s">
        <v>4</v>
      </c>
      <c r="C22" s="4" t="s">
        <v>5</v>
      </c>
    </row>
    <row r="23" spans="1:3" ht="15.75" customHeight="1" x14ac:dyDescent="0.15">
      <c r="A23" s="4" t="s">
        <v>49</v>
      </c>
      <c r="B23" s="4" t="s">
        <v>50</v>
      </c>
      <c r="C23" s="4" t="s">
        <v>8</v>
      </c>
    </row>
    <row r="24" spans="1:3" ht="15.75" customHeight="1" x14ac:dyDescent="0.15">
      <c r="A24" s="4" t="s">
        <v>51</v>
      </c>
      <c r="B24" s="4" t="s">
        <v>52</v>
      </c>
      <c r="C24" s="5"/>
    </row>
    <row r="25" spans="1:3" ht="15.75" customHeight="1" x14ac:dyDescent="0.15">
      <c r="A25" s="4" t="s">
        <v>53</v>
      </c>
      <c r="B25" s="4" t="s">
        <v>54</v>
      </c>
      <c r="C25" s="4" t="s">
        <v>11</v>
      </c>
    </row>
    <row r="26" spans="1:3" ht="15.75" customHeight="1" x14ac:dyDescent="0.15">
      <c r="A26" s="4" t="s">
        <v>55</v>
      </c>
      <c r="B26" s="4" t="s">
        <v>4</v>
      </c>
      <c r="C26" s="4" t="s">
        <v>5</v>
      </c>
    </row>
    <row r="27" spans="1:3" ht="15.75" customHeight="1" x14ac:dyDescent="0.15">
      <c r="A27" s="4" t="s">
        <v>56</v>
      </c>
      <c r="B27" s="4" t="s">
        <v>57</v>
      </c>
      <c r="C27" s="4" t="s">
        <v>8</v>
      </c>
    </row>
    <row r="28" spans="1:3" ht="15.75" customHeight="1" x14ac:dyDescent="0.15">
      <c r="A28" s="4" t="s">
        <v>58</v>
      </c>
      <c r="B28" s="4" t="s">
        <v>59</v>
      </c>
      <c r="C28" s="5"/>
    </row>
    <row r="29" spans="1:3" ht="15.75" customHeight="1" x14ac:dyDescent="0.15">
      <c r="A29" s="7" t="s">
        <v>60</v>
      </c>
      <c r="B29" s="4" t="s">
        <v>61</v>
      </c>
      <c r="C29" s="4" t="s">
        <v>11</v>
      </c>
    </row>
    <row r="30" spans="1:3" ht="15.75" customHeight="1" x14ac:dyDescent="0.15">
      <c r="A30" s="4" t="s">
        <v>62</v>
      </c>
      <c r="B30" s="4" t="s">
        <v>63</v>
      </c>
      <c r="C30" s="4" t="s">
        <v>8</v>
      </c>
    </row>
    <row r="31" spans="1:3" ht="15.75" customHeight="1" x14ac:dyDescent="0.15">
      <c r="A31" s="4" t="s">
        <v>64</v>
      </c>
      <c r="B31" s="4" t="s">
        <v>65</v>
      </c>
      <c r="C31" s="4" t="s">
        <v>11</v>
      </c>
    </row>
    <row r="32" spans="1:3" ht="15.75" customHeight="1" x14ac:dyDescent="0.15">
      <c r="A32" s="4" t="s">
        <v>66</v>
      </c>
      <c r="B32" s="4" t="s">
        <v>67</v>
      </c>
      <c r="C32" s="4" t="s">
        <v>8</v>
      </c>
    </row>
    <row r="33" spans="1:3" ht="15.75" customHeight="1" x14ac:dyDescent="0.15">
      <c r="A33" s="4" t="s">
        <v>68</v>
      </c>
      <c r="B33" s="4" t="s">
        <v>69</v>
      </c>
      <c r="C33" s="4" t="s">
        <v>11</v>
      </c>
    </row>
    <row r="34" spans="1:3" ht="15.75" customHeight="1" x14ac:dyDescent="0.15">
      <c r="A34" s="4" t="s">
        <v>70</v>
      </c>
      <c r="B34" s="4" t="s">
        <v>71</v>
      </c>
      <c r="C34" s="4" t="s">
        <v>8</v>
      </c>
    </row>
    <row r="35" spans="1:3" ht="15.75" customHeight="1" x14ac:dyDescent="0.15">
      <c r="A35" s="4" t="s">
        <v>72</v>
      </c>
      <c r="B35" s="4" t="s">
        <v>73</v>
      </c>
      <c r="C35" s="5"/>
    </row>
    <row r="36" spans="1:3" ht="15.75" customHeight="1" x14ac:dyDescent="0.15">
      <c r="A36" s="4" t="s">
        <v>74</v>
      </c>
      <c r="B36" s="4" t="s">
        <v>75</v>
      </c>
      <c r="C36" s="4" t="s">
        <v>11</v>
      </c>
    </row>
    <row r="37" spans="1:3" ht="15.75" customHeight="1" x14ac:dyDescent="0.15">
      <c r="A37" s="4" t="s">
        <v>76</v>
      </c>
      <c r="B37" s="4" t="s">
        <v>77</v>
      </c>
      <c r="C37" s="4" t="s">
        <v>8</v>
      </c>
    </row>
    <row r="38" spans="1:3" ht="15.75" customHeight="1" x14ac:dyDescent="0.15">
      <c r="A38" s="4" t="s">
        <v>78</v>
      </c>
      <c r="B38" s="4" t="s">
        <v>79</v>
      </c>
      <c r="C38" s="5"/>
    </row>
    <row r="39" spans="1:3" ht="15.75" customHeight="1" x14ac:dyDescent="0.15">
      <c r="A39" s="4" t="s">
        <v>80</v>
      </c>
      <c r="B39" s="4" t="s">
        <v>81</v>
      </c>
      <c r="C39" s="4" t="s">
        <v>11</v>
      </c>
    </row>
    <row r="40" spans="1:3" ht="15.75" customHeight="1" x14ac:dyDescent="0.15">
      <c r="A40" s="4" t="s">
        <v>82</v>
      </c>
      <c r="B40" s="4" t="s">
        <v>83</v>
      </c>
      <c r="C40" s="4" t="s">
        <v>8</v>
      </c>
    </row>
    <row r="41" spans="1:3" ht="15.75" customHeight="1" x14ac:dyDescent="0.15">
      <c r="A41" s="4" t="s">
        <v>84</v>
      </c>
      <c r="B41" s="4" t="s">
        <v>85</v>
      </c>
      <c r="C41" s="5"/>
    </row>
    <row r="42" spans="1:3" ht="15.75" customHeight="1" x14ac:dyDescent="0.15">
      <c r="A42" s="4" t="s">
        <v>86</v>
      </c>
      <c r="B42" s="4" t="s">
        <v>87</v>
      </c>
      <c r="C42" s="4" t="s">
        <v>11</v>
      </c>
    </row>
    <row r="43" spans="1:3" ht="15.75" customHeight="1" x14ac:dyDescent="0.15">
      <c r="A43" s="4" t="s">
        <v>88</v>
      </c>
      <c r="B43" s="4" t="s">
        <v>89</v>
      </c>
      <c r="C43" s="4" t="s">
        <v>5</v>
      </c>
    </row>
    <row r="44" spans="1:3" ht="15.75" customHeight="1" x14ac:dyDescent="0.15">
      <c r="A44" s="4" t="s">
        <v>90</v>
      </c>
      <c r="B44" s="4" t="s">
        <v>4</v>
      </c>
      <c r="C44" s="4" t="s">
        <v>5</v>
      </c>
    </row>
    <row r="45" spans="1:3" ht="15.75" customHeight="1" x14ac:dyDescent="0.15">
      <c r="A45" s="4" t="s">
        <v>91</v>
      </c>
      <c r="B45" s="4" t="s">
        <v>92</v>
      </c>
      <c r="C45" s="4" t="s">
        <v>8</v>
      </c>
    </row>
    <row r="46" spans="1:3" ht="15.75" customHeight="1" x14ac:dyDescent="0.15">
      <c r="A46" s="4" t="s">
        <v>93</v>
      </c>
      <c r="B46" s="4" t="s">
        <v>94</v>
      </c>
      <c r="C46" s="5"/>
    </row>
    <row r="47" spans="1:3" ht="15.75" customHeight="1" x14ac:dyDescent="0.15">
      <c r="A47" s="4" t="s">
        <v>95</v>
      </c>
      <c r="B47" s="4" t="s">
        <v>96</v>
      </c>
      <c r="C47" s="4" t="s">
        <v>11</v>
      </c>
    </row>
    <row r="48" spans="1:3" ht="15.75" customHeight="1" x14ac:dyDescent="0.15">
      <c r="A48" s="4" t="s">
        <v>97</v>
      </c>
      <c r="B48" s="4" t="s">
        <v>98</v>
      </c>
      <c r="C48" s="4" t="s">
        <v>8</v>
      </c>
    </row>
    <row r="49" spans="1:3" ht="15.75" customHeight="1" x14ac:dyDescent="0.15">
      <c r="A49" s="4" t="s">
        <v>99</v>
      </c>
      <c r="B49" s="4" t="s">
        <v>100</v>
      </c>
      <c r="C49" s="5"/>
    </row>
    <row r="50" spans="1:3" ht="15.75" customHeight="1" x14ac:dyDescent="0.15">
      <c r="A50" s="4" t="s">
        <v>101</v>
      </c>
      <c r="B50" s="4" t="s">
        <v>102</v>
      </c>
      <c r="C50" s="4" t="s">
        <v>11</v>
      </c>
    </row>
    <row r="51" spans="1:3" ht="15.75" customHeight="1" x14ac:dyDescent="0.15">
      <c r="A51" s="4" t="s">
        <v>103</v>
      </c>
      <c r="B51" s="4" t="s">
        <v>104</v>
      </c>
      <c r="C51" s="4" t="s">
        <v>8</v>
      </c>
    </row>
    <row r="52" spans="1:3" ht="15.75" customHeight="1" x14ac:dyDescent="0.15">
      <c r="A52" s="4" t="s">
        <v>105</v>
      </c>
      <c r="B52" s="4" t="s">
        <v>106</v>
      </c>
      <c r="C52" s="5"/>
    </row>
    <row r="53" spans="1:3" ht="15.75" customHeight="1" x14ac:dyDescent="0.15">
      <c r="A53" s="4" t="s">
        <v>107</v>
      </c>
      <c r="B53" s="4" t="s">
        <v>108</v>
      </c>
      <c r="C53" s="5"/>
    </row>
    <row r="54" spans="1:3" ht="15.75" customHeight="1" x14ac:dyDescent="0.15">
      <c r="A54" s="4" t="s">
        <v>109</v>
      </c>
      <c r="B54" s="4" t="s">
        <v>110</v>
      </c>
      <c r="C54" s="4" t="s">
        <v>11</v>
      </c>
    </row>
    <row r="55" spans="1:3" ht="15.75" customHeight="1" x14ac:dyDescent="0.15">
      <c r="A55" s="4" t="s">
        <v>111</v>
      </c>
      <c r="B55" s="4" t="s">
        <v>4</v>
      </c>
      <c r="C55" s="4" t="s">
        <v>5</v>
      </c>
    </row>
    <row r="56" spans="1:3" ht="15.75" customHeight="1" x14ac:dyDescent="0.15">
      <c r="A56" s="4" t="s">
        <v>112</v>
      </c>
      <c r="B56" s="4" t="s">
        <v>113</v>
      </c>
      <c r="C56" s="4" t="s">
        <v>8</v>
      </c>
    </row>
    <row r="57" spans="1:3" ht="15.75" customHeight="1" x14ac:dyDescent="0.15">
      <c r="A57" s="4" t="s">
        <v>114</v>
      </c>
      <c r="B57" s="4" t="s">
        <v>115</v>
      </c>
      <c r="C57" s="4" t="s">
        <v>11</v>
      </c>
    </row>
    <row r="58" spans="1:3" ht="15.75" customHeight="1" x14ac:dyDescent="0.15">
      <c r="A58" s="4" t="s">
        <v>116</v>
      </c>
      <c r="B58" s="4" t="s">
        <v>117</v>
      </c>
      <c r="C58" s="4" t="s">
        <v>8</v>
      </c>
    </row>
    <row r="59" spans="1:3" ht="15.75" customHeight="1" x14ac:dyDescent="0.15">
      <c r="A59" s="4" t="s">
        <v>118</v>
      </c>
      <c r="B59" s="4" t="s">
        <v>119</v>
      </c>
      <c r="C59" s="4" t="s">
        <v>11</v>
      </c>
    </row>
    <row r="60" spans="1:3" ht="15.75" customHeight="1" x14ac:dyDescent="0.15">
      <c r="A60" s="4" t="s">
        <v>120</v>
      </c>
      <c r="B60" s="4" t="s">
        <v>121</v>
      </c>
      <c r="C60" s="4" t="s">
        <v>5</v>
      </c>
    </row>
    <row r="61" spans="1:3" ht="15.75" customHeight="1" x14ac:dyDescent="0.15">
      <c r="A61" s="4" t="s">
        <v>122</v>
      </c>
      <c r="B61" s="4" t="s">
        <v>4</v>
      </c>
      <c r="C61" s="4" t="s">
        <v>5</v>
      </c>
    </row>
    <row r="62" spans="1:3" ht="15.75" customHeight="1" x14ac:dyDescent="0.15">
      <c r="A62" s="4" t="s">
        <v>123</v>
      </c>
      <c r="B62" s="4" t="s">
        <v>124</v>
      </c>
      <c r="C62" s="4" t="s">
        <v>8</v>
      </c>
    </row>
    <row r="63" spans="1:3" ht="15.75" customHeight="1" x14ac:dyDescent="0.15">
      <c r="A63" s="7" t="s">
        <v>125</v>
      </c>
      <c r="B63" s="4" t="s">
        <v>126</v>
      </c>
      <c r="C63" s="4" t="s">
        <v>11</v>
      </c>
    </row>
    <row r="64" spans="1:3" ht="15.75" customHeight="1" x14ac:dyDescent="0.15">
      <c r="A64" s="4" t="s">
        <v>127</v>
      </c>
      <c r="B64" s="4" t="s">
        <v>4</v>
      </c>
      <c r="C64" s="4" t="s">
        <v>5</v>
      </c>
    </row>
    <row r="65" spans="1:3" ht="15.75" customHeight="1" x14ac:dyDescent="0.15">
      <c r="A65" s="4" t="s">
        <v>128</v>
      </c>
      <c r="B65" s="4" t="s">
        <v>129</v>
      </c>
      <c r="C65" s="4" t="s">
        <v>8</v>
      </c>
    </row>
    <row r="66" spans="1:3" ht="15.75" customHeight="1" x14ac:dyDescent="0.15">
      <c r="A66" s="4" t="s">
        <v>130</v>
      </c>
      <c r="B66" s="4" t="s">
        <v>131</v>
      </c>
      <c r="C66" s="4" t="s">
        <v>11</v>
      </c>
    </row>
    <row r="67" spans="1:3" ht="15.75" customHeight="1" x14ac:dyDescent="0.15">
      <c r="A67" s="7" t="s">
        <v>132</v>
      </c>
      <c r="B67" s="4" t="s">
        <v>133</v>
      </c>
      <c r="C67" s="4" t="s">
        <v>5</v>
      </c>
    </row>
    <row r="68" spans="1:3" ht="15.75" customHeight="1" x14ac:dyDescent="0.15">
      <c r="A68" s="4" t="s">
        <v>134</v>
      </c>
      <c r="B68" s="4" t="s">
        <v>135</v>
      </c>
      <c r="C68" s="4" t="s">
        <v>8</v>
      </c>
    </row>
    <row r="69" spans="1:3" ht="15.75" customHeight="1" x14ac:dyDescent="0.15">
      <c r="A69" s="4" t="s">
        <v>136</v>
      </c>
      <c r="B69" s="4" t="s">
        <v>137</v>
      </c>
      <c r="C69" s="5"/>
    </row>
    <row r="70" spans="1:3" ht="15.75" customHeight="1" x14ac:dyDescent="0.15">
      <c r="A70" s="4" t="s">
        <v>138</v>
      </c>
      <c r="B70" s="4" t="s">
        <v>139</v>
      </c>
      <c r="C70" s="4" t="s">
        <v>11</v>
      </c>
    </row>
    <row r="71" spans="1:3" ht="15.75" customHeight="1" x14ac:dyDescent="0.15">
      <c r="A71" s="4" t="s">
        <v>140</v>
      </c>
      <c r="B71" s="4" t="s">
        <v>141</v>
      </c>
      <c r="C71" s="4" t="s">
        <v>8</v>
      </c>
    </row>
    <row r="72" spans="1:3" ht="15.75" customHeight="1" x14ac:dyDescent="0.15">
      <c r="A72" s="4" t="s">
        <v>142</v>
      </c>
      <c r="B72" s="4" t="s">
        <v>143</v>
      </c>
      <c r="C72" s="5"/>
    </row>
    <row r="73" spans="1:3" ht="15.75" customHeight="1" x14ac:dyDescent="0.15">
      <c r="A73" s="4" t="s">
        <v>144</v>
      </c>
      <c r="B73" s="4" t="s">
        <v>145</v>
      </c>
      <c r="C73" s="4" t="s">
        <v>11</v>
      </c>
    </row>
    <row r="74" spans="1:3" ht="15.75" customHeight="1" x14ac:dyDescent="0.15">
      <c r="A74" s="4" t="s">
        <v>146</v>
      </c>
      <c r="B74" s="4" t="s">
        <v>147</v>
      </c>
      <c r="C74" s="4" t="s">
        <v>8</v>
      </c>
    </row>
    <row r="75" spans="1:3" ht="15.75" customHeight="1" x14ac:dyDescent="0.15">
      <c r="A75" s="4" t="s">
        <v>148</v>
      </c>
      <c r="B75" s="4" t="s">
        <v>149</v>
      </c>
      <c r="C75" s="4" t="s">
        <v>11</v>
      </c>
    </row>
    <row r="76" spans="1:3" ht="15.75" customHeight="1" x14ac:dyDescent="0.15">
      <c r="A76" s="4" t="s">
        <v>150</v>
      </c>
      <c r="B76" s="4" t="s">
        <v>151</v>
      </c>
      <c r="C76" s="4" t="s">
        <v>8</v>
      </c>
    </row>
    <row r="77" spans="1:3" ht="15.75" customHeight="1" x14ac:dyDescent="0.15">
      <c r="A77" s="4" t="s">
        <v>152</v>
      </c>
      <c r="B77" s="4" t="s">
        <v>153</v>
      </c>
      <c r="C77" s="5"/>
    </row>
    <row r="78" spans="1:3" ht="15.75" customHeight="1" x14ac:dyDescent="0.15">
      <c r="A78" s="4" t="s">
        <v>154</v>
      </c>
      <c r="B78" s="4" t="s">
        <v>155</v>
      </c>
      <c r="C78" s="4" t="s">
        <v>11</v>
      </c>
    </row>
    <row r="79" spans="1:3" ht="15.75" customHeight="1" x14ac:dyDescent="0.15">
      <c r="A79" s="4" t="s">
        <v>156</v>
      </c>
      <c r="B79" s="4" t="s">
        <v>157</v>
      </c>
      <c r="C79" s="4" t="s">
        <v>8</v>
      </c>
    </row>
    <row r="80" spans="1:3" ht="15.75" customHeight="1" x14ac:dyDescent="0.15">
      <c r="A80" s="4" t="s">
        <v>158</v>
      </c>
      <c r="B80" s="4" t="s">
        <v>159</v>
      </c>
      <c r="C80" s="4" t="s">
        <v>11</v>
      </c>
    </row>
    <row r="81" spans="1:3" ht="15.75" customHeight="1" x14ac:dyDescent="0.15">
      <c r="A81" s="4" t="s">
        <v>160</v>
      </c>
      <c r="B81" s="4" t="s">
        <v>161</v>
      </c>
      <c r="C81" s="4" t="s">
        <v>8</v>
      </c>
    </row>
    <row r="82" spans="1:3" ht="15.75" customHeight="1" x14ac:dyDescent="0.15">
      <c r="A82" s="4" t="s">
        <v>162</v>
      </c>
      <c r="B82" s="4" t="s">
        <v>163</v>
      </c>
      <c r="C82" s="5"/>
    </row>
    <row r="83" spans="1:3" ht="15.75" customHeight="1" x14ac:dyDescent="0.15">
      <c r="A83" s="4" t="s">
        <v>164</v>
      </c>
      <c r="B83" s="4" t="s">
        <v>165</v>
      </c>
      <c r="C83" s="4" t="s">
        <v>11</v>
      </c>
    </row>
    <row r="84" spans="1:3" ht="15.75" customHeight="1" x14ac:dyDescent="0.15">
      <c r="A84" s="4" t="s">
        <v>166</v>
      </c>
      <c r="B84" s="4" t="s">
        <v>4</v>
      </c>
      <c r="C84" s="4" t="s">
        <v>5</v>
      </c>
    </row>
    <row r="85" spans="1:3" ht="15.75" customHeight="1" x14ac:dyDescent="0.15">
      <c r="A85" s="4" t="s">
        <v>167</v>
      </c>
      <c r="B85" s="4" t="s">
        <v>168</v>
      </c>
      <c r="C85" s="4" t="s">
        <v>8</v>
      </c>
    </row>
    <row r="86" spans="1:3" ht="15.75" customHeight="1" x14ac:dyDescent="0.15">
      <c r="A86" s="4" t="s">
        <v>169</v>
      </c>
      <c r="B86" s="4" t="s">
        <v>170</v>
      </c>
      <c r="C86" s="5"/>
    </row>
    <row r="87" spans="1:3" ht="15.75" customHeight="1" x14ac:dyDescent="0.15">
      <c r="A87" s="4" t="s">
        <v>171</v>
      </c>
      <c r="B87" s="4" t="s">
        <v>172</v>
      </c>
      <c r="C87" s="4" t="s">
        <v>11</v>
      </c>
    </row>
    <row r="88" spans="1:3" ht="15.75" customHeight="1" x14ac:dyDescent="0.15">
      <c r="A88" s="4" t="s">
        <v>173</v>
      </c>
      <c r="B88" s="4" t="s">
        <v>174</v>
      </c>
      <c r="C88" s="4" t="s">
        <v>8</v>
      </c>
    </row>
    <row r="89" spans="1:3" ht="15.75" customHeight="1" x14ac:dyDescent="0.15">
      <c r="A89" s="4" t="s">
        <v>175</v>
      </c>
      <c r="B89" s="4" t="s">
        <v>176</v>
      </c>
      <c r="C89" s="4" t="s">
        <v>11</v>
      </c>
    </row>
    <row r="90" spans="1:3" ht="15.75" customHeight="1" x14ac:dyDescent="0.15">
      <c r="A90" s="4" t="s">
        <v>177</v>
      </c>
      <c r="B90" s="4" t="s">
        <v>178</v>
      </c>
      <c r="C90" s="4" t="s">
        <v>8</v>
      </c>
    </row>
    <row r="91" spans="1:3" ht="15.75" customHeight="1" x14ac:dyDescent="0.15">
      <c r="A91" s="4" t="s">
        <v>179</v>
      </c>
      <c r="B91" s="4" t="s">
        <v>180</v>
      </c>
      <c r="C91" s="4" t="s">
        <v>11</v>
      </c>
    </row>
    <row r="92" spans="1:3" ht="15.75" customHeight="1" x14ac:dyDescent="0.15">
      <c r="A92" s="4" t="s">
        <v>181</v>
      </c>
      <c r="B92" s="4" t="s">
        <v>182</v>
      </c>
      <c r="C92" s="4" t="s">
        <v>8</v>
      </c>
    </row>
    <row r="93" spans="1:3" ht="15.75" customHeight="1" x14ac:dyDescent="0.15">
      <c r="A93" s="4" t="s">
        <v>183</v>
      </c>
      <c r="B93" s="4" t="s">
        <v>184</v>
      </c>
      <c r="C93" s="4" t="s">
        <v>11</v>
      </c>
    </row>
    <row r="94" spans="1:3" ht="15.75" customHeight="1" x14ac:dyDescent="0.15">
      <c r="A94" s="6" t="s">
        <v>185</v>
      </c>
      <c r="B94" s="6" t="s">
        <v>186</v>
      </c>
      <c r="C94" s="6" t="s">
        <v>8</v>
      </c>
    </row>
    <row r="95" spans="1:3" ht="15.75" customHeight="1" x14ac:dyDescent="0.15">
      <c r="A95" s="6" t="s">
        <v>187</v>
      </c>
      <c r="B95" s="6" t="s">
        <v>188</v>
      </c>
      <c r="C95" s="5"/>
    </row>
    <row r="96" spans="1:3" ht="15.75" customHeight="1" x14ac:dyDescent="0.15">
      <c r="A96" s="4" t="s">
        <v>189</v>
      </c>
      <c r="B96" s="4" t="s">
        <v>190</v>
      </c>
      <c r="C96" s="4" t="s">
        <v>11</v>
      </c>
    </row>
    <row r="97" spans="1:3" ht="15.75" customHeight="1" x14ac:dyDescent="0.15">
      <c r="A97" s="4" t="s">
        <v>191</v>
      </c>
      <c r="B97" s="4" t="s">
        <v>192</v>
      </c>
      <c r="C97" s="4" t="s">
        <v>8</v>
      </c>
    </row>
    <row r="98" spans="1:3" ht="15.75" customHeight="1" x14ac:dyDescent="0.15">
      <c r="A98" s="4" t="s">
        <v>193</v>
      </c>
      <c r="B98" s="4" t="s">
        <v>194</v>
      </c>
      <c r="C98" s="5"/>
    </row>
    <row r="99" spans="1:3" ht="15.75" customHeight="1" x14ac:dyDescent="0.15">
      <c r="A99" s="4" t="s">
        <v>195</v>
      </c>
      <c r="B99" s="4" t="s">
        <v>196</v>
      </c>
      <c r="C99" s="4" t="s">
        <v>11</v>
      </c>
    </row>
    <row r="100" spans="1:3" ht="15.75" customHeight="1" x14ac:dyDescent="0.15">
      <c r="A100" s="4" t="s">
        <v>34</v>
      </c>
      <c r="B100" s="4" t="s">
        <v>197</v>
      </c>
      <c r="C100" s="4" t="s">
        <v>8</v>
      </c>
    </row>
    <row r="101" spans="1:3" ht="15.75" customHeight="1" x14ac:dyDescent="0.15">
      <c r="A101" s="4" t="s">
        <v>198</v>
      </c>
      <c r="B101" s="4" t="s">
        <v>199</v>
      </c>
      <c r="C101" s="5"/>
    </row>
    <row r="102" spans="1:3" ht="15.75" customHeight="1" x14ac:dyDescent="0.15">
      <c r="A102" s="4" t="s">
        <v>200</v>
      </c>
      <c r="B102" s="4" t="s">
        <v>201</v>
      </c>
      <c r="C102" s="4" t="s">
        <v>11</v>
      </c>
    </row>
    <row r="103" spans="1:3" ht="15.75" customHeight="1" x14ac:dyDescent="0.15">
      <c r="A103" s="4" t="s">
        <v>202</v>
      </c>
      <c r="B103" s="4" t="s">
        <v>4</v>
      </c>
      <c r="C103" s="4" t="s">
        <v>5</v>
      </c>
    </row>
    <row r="104" spans="1:3" ht="15.75" customHeight="1" x14ac:dyDescent="0.15">
      <c r="A104" s="4" t="s">
        <v>203</v>
      </c>
      <c r="B104" s="4" t="s">
        <v>204</v>
      </c>
      <c r="C104" s="4" t="s">
        <v>8</v>
      </c>
    </row>
    <row r="105" spans="1:3" ht="15.75" customHeight="1" x14ac:dyDescent="0.15">
      <c r="A105" s="4" t="s">
        <v>205</v>
      </c>
      <c r="B105" s="4" t="s">
        <v>206</v>
      </c>
      <c r="C105" s="5"/>
    </row>
    <row r="106" spans="1:3" ht="15.75" customHeight="1" x14ac:dyDescent="0.15">
      <c r="A106" s="4" t="s">
        <v>207</v>
      </c>
      <c r="B106" s="4" t="s">
        <v>208</v>
      </c>
      <c r="C106" s="4" t="s">
        <v>11</v>
      </c>
    </row>
    <row r="107" spans="1:3" ht="15.75" customHeight="1" x14ac:dyDescent="0.15">
      <c r="A107" s="4" t="s">
        <v>209</v>
      </c>
      <c r="B107" s="4" t="s">
        <v>210</v>
      </c>
      <c r="C107" s="4" t="s">
        <v>8</v>
      </c>
    </row>
    <row r="108" spans="1:3" ht="15.75" customHeight="1" x14ac:dyDescent="0.15">
      <c r="A108" s="4" t="s">
        <v>211</v>
      </c>
      <c r="B108" s="4" t="s">
        <v>212</v>
      </c>
      <c r="C108" s="5"/>
    </row>
    <row r="109" spans="1:3" ht="15.75" customHeight="1" x14ac:dyDescent="0.15">
      <c r="A109" s="4" t="s">
        <v>213</v>
      </c>
      <c r="B109" s="4" t="s">
        <v>214</v>
      </c>
      <c r="C109" s="4" t="s">
        <v>11</v>
      </c>
    </row>
    <row r="110" spans="1:3" ht="15.75" customHeight="1" x14ac:dyDescent="0.15">
      <c r="A110" s="4" t="s">
        <v>215</v>
      </c>
      <c r="B110" s="4" t="s">
        <v>216</v>
      </c>
      <c r="C110" s="4" t="s">
        <v>8</v>
      </c>
    </row>
    <row r="111" spans="1:3" ht="15.75" customHeight="1" x14ac:dyDescent="0.15">
      <c r="A111" s="4" t="s">
        <v>217</v>
      </c>
      <c r="B111" s="4" t="s">
        <v>218</v>
      </c>
      <c r="C111" s="5"/>
    </row>
    <row r="112" spans="1:3" ht="15.75" customHeight="1" x14ac:dyDescent="0.15">
      <c r="A112" s="4" t="s">
        <v>219</v>
      </c>
      <c r="B112" s="4" t="s">
        <v>220</v>
      </c>
      <c r="C112" s="4" t="s">
        <v>11</v>
      </c>
    </row>
    <row r="113" spans="1:3" ht="15.75" customHeight="1" x14ac:dyDescent="0.15">
      <c r="A113" s="4" t="s">
        <v>221</v>
      </c>
      <c r="B113" s="4" t="s">
        <v>222</v>
      </c>
      <c r="C113" s="4" t="s">
        <v>8</v>
      </c>
    </row>
    <row r="114" spans="1:3" ht="15.75" customHeight="1" x14ac:dyDescent="0.15">
      <c r="A114" s="4" t="s">
        <v>223</v>
      </c>
      <c r="B114" s="4" t="s">
        <v>224</v>
      </c>
      <c r="C114" s="5"/>
    </row>
    <row r="115" spans="1:3" ht="15.75" customHeight="1" x14ac:dyDescent="0.15">
      <c r="A115" s="4" t="s">
        <v>225</v>
      </c>
      <c r="B115" s="4" t="s">
        <v>226</v>
      </c>
      <c r="C115" s="4" t="s">
        <v>11</v>
      </c>
    </row>
    <row r="116" spans="1:3" ht="15.75" customHeight="1" x14ac:dyDescent="0.15">
      <c r="A116" s="4" t="s">
        <v>227</v>
      </c>
      <c r="B116" s="4" t="s">
        <v>228</v>
      </c>
      <c r="C116" s="4" t="s">
        <v>8</v>
      </c>
    </row>
    <row r="117" spans="1:3" ht="15.75" customHeight="1" x14ac:dyDescent="0.15">
      <c r="A117" s="4" t="s">
        <v>229</v>
      </c>
      <c r="B117" s="4" t="s">
        <v>230</v>
      </c>
      <c r="C117" s="5"/>
    </row>
    <row r="118" spans="1:3" ht="15.75" customHeight="1" x14ac:dyDescent="0.15">
      <c r="A118" s="4" t="s">
        <v>231</v>
      </c>
      <c r="B118" s="4" t="s">
        <v>232</v>
      </c>
      <c r="C118" s="4" t="s">
        <v>11</v>
      </c>
    </row>
    <row r="119" spans="1:3" ht="15.75" customHeight="1" x14ac:dyDescent="0.15">
      <c r="A119" s="4" t="s">
        <v>233</v>
      </c>
      <c r="B119" s="4" t="s">
        <v>234</v>
      </c>
      <c r="C119" s="4" t="s">
        <v>8</v>
      </c>
    </row>
    <row r="120" spans="1:3" ht="15.75" customHeight="1" x14ac:dyDescent="0.15">
      <c r="A120" s="4" t="s">
        <v>235</v>
      </c>
      <c r="B120" s="4" t="s">
        <v>236</v>
      </c>
      <c r="C120" s="5"/>
    </row>
    <row r="121" spans="1:3" ht="15.75" customHeight="1" x14ac:dyDescent="0.15">
      <c r="A121" s="4" t="s">
        <v>237</v>
      </c>
      <c r="B121" s="4" t="s">
        <v>238</v>
      </c>
      <c r="C121" s="4" t="s">
        <v>11</v>
      </c>
    </row>
    <row r="122" spans="1:3" ht="15.75" customHeight="1" x14ac:dyDescent="0.15">
      <c r="A122" s="4" t="s">
        <v>239</v>
      </c>
      <c r="B122" s="4" t="s">
        <v>240</v>
      </c>
      <c r="C122" s="4" t="s">
        <v>8</v>
      </c>
    </row>
    <row r="123" spans="1:3" ht="15.75" customHeight="1" x14ac:dyDescent="0.15">
      <c r="A123" s="4" t="s">
        <v>241</v>
      </c>
      <c r="B123" s="4" t="s">
        <v>242</v>
      </c>
      <c r="C123" s="5"/>
    </row>
    <row r="124" spans="1:3" ht="15.75" customHeight="1" x14ac:dyDescent="0.15">
      <c r="A124" s="4" t="s">
        <v>243</v>
      </c>
      <c r="B124" s="4" t="s">
        <v>244</v>
      </c>
      <c r="C124" s="4" t="s">
        <v>11</v>
      </c>
    </row>
    <row r="125" spans="1:3" ht="15.75" customHeight="1" x14ac:dyDescent="0.15">
      <c r="A125" s="4" t="s">
        <v>245</v>
      </c>
      <c r="B125" s="4" t="s">
        <v>246</v>
      </c>
      <c r="C125" s="4" t="s">
        <v>8</v>
      </c>
    </row>
    <row r="126" spans="1:3" ht="15.75" customHeight="1" x14ac:dyDescent="0.15">
      <c r="A126" s="4" t="s">
        <v>247</v>
      </c>
      <c r="B126" s="4" t="s">
        <v>248</v>
      </c>
      <c r="C126" s="5"/>
    </row>
    <row r="127" spans="1:3" ht="15.75" customHeight="1" x14ac:dyDescent="0.15">
      <c r="A127" s="4" t="s">
        <v>249</v>
      </c>
      <c r="B127" s="4" t="s">
        <v>250</v>
      </c>
      <c r="C127" s="4" t="s">
        <v>11</v>
      </c>
    </row>
    <row r="128" spans="1:3" ht="15.75" customHeight="1" x14ac:dyDescent="0.15">
      <c r="A128" s="4" t="s">
        <v>251</v>
      </c>
      <c r="B128" s="4" t="s">
        <v>252</v>
      </c>
      <c r="C128" s="4" t="s">
        <v>8</v>
      </c>
    </row>
    <row r="129" spans="1:3" ht="15.75" customHeight="1" x14ac:dyDescent="0.15">
      <c r="A129" s="4" t="s">
        <v>253</v>
      </c>
      <c r="B129" s="4" t="s">
        <v>254</v>
      </c>
      <c r="C129" s="5"/>
    </row>
    <row r="130" spans="1:3" ht="15.75" customHeight="1" x14ac:dyDescent="0.15">
      <c r="A130" s="4" t="s">
        <v>255</v>
      </c>
      <c r="B130" s="4" t="s">
        <v>256</v>
      </c>
      <c r="C130" s="4" t="s">
        <v>11</v>
      </c>
    </row>
    <row r="131" spans="1:3" ht="15.75" customHeight="1" x14ac:dyDescent="0.15">
      <c r="A131" s="4" t="s">
        <v>257</v>
      </c>
      <c r="B131" s="4" t="s">
        <v>258</v>
      </c>
      <c r="C131" s="4" t="s">
        <v>8</v>
      </c>
    </row>
    <row r="132" spans="1:3" ht="15.75" customHeight="1" x14ac:dyDescent="0.15">
      <c r="A132" s="4" t="s">
        <v>259</v>
      </c>
      <c r="B132" s="4" t="s">
        <v>260</v>
      </c>
      <c r="C132" s="5"/>
    </row>
    <row r="133" spans="1:3" ht="15.75" customHeight="1" x14ac:dyDescent="0.15">
      <c r="A133" s="4" t="s">
        <v>261</v>
      </c>
      <c r="B133" s="4" t="s">
        <v>262</v>
      </c>
      <c r="C133" s="4" t="s">
        <v>11</v>
      </c>
    </row>
    <row r="134" spans="1:3" ht="15.75" customHeight="1" x14ac:dyDescent="0.15">
      <c r="A134" s="4" t="s">
        <v>263</v>
      </c>
      <c r="B134" s="4" t="s">
        <v>264</v>
      </c>
      <c r="C134" s="4" t="s">
        <v>8</v>
      </c>
    </row>
    <row r="135" spans="1:3" ht="15.75" customHeight="1" x14ac:dyDescent="0.15">
      <c r="A135" s="4" t="s">
        <v>265</v>
      </c>
      <c r="B135" s="4" t="s">
        <v>266</v>
      </c>
      <c r="C135" s="5"/>
    </row>
    <row r="136" spans="1:3" ht="15.75" customHeight="1" x14ac:dyDescent="0.15">
      <c r="A136" s="4" t="s">
        <v>267</v>
      </c>
      <c r="B136" s="4" t="s">
        <v>268</v>
      </c>
      <c r="C136" s="4" t="s">
        <v>11</v>
      </c>
    </row>
    <row r="137" spans="1:3" ht="15.75" customHeight="1" x14ac:dyDescent="0.15">
      <c r="A137" s="4" t="s">
        <v>269</v>
      </c>
      <c r="B137" s="4" t="s">
        <v>270</v>
      </c>
      <c r="C137" s="4" t="s">
        <v>8</v>
      </c>
    </row>
    <row r="138" spans="1:3" ht="15.75" customHeight="1" x14ac:dyDescent="0.15">
      <c r="A138" s="4" t="s">
        <v>271</v>
      </c>
      <c r="B138" s="4" t="s">
        <v>272</v>
      </c>
      <c r="C138" s="5"/>
    </row>
    <row r="139" spans="1:3" ht="15.75" customHeight="1" x14ac:dyDescent="0.15">
      <c r="A139" s="4" t="s">
        <v>273</v>
      </c>
      <c r="B139" s="4" t="s">
        <v>274</v>
      </c>
      <c r="C139" s="4" t="s">
        <v>11</v>
      </c>
    </row>
    <row r="140" spans="1:3" ht="15.75" customHeight="1" x14ac:dyDescent="0.15">
      <c r="A140" s="4" t="s">
        <v>275</v>
      </c>
      <c r="B140" s="4" t="s">
        <v>276</v>
      </c>
      <c r="C140" s="4" t="s">
        <v>8</v>
      </c>
    </row>
    <row r="141" spans="1:3" ht="15.75" customHeight="1" x14ac:dyDescent="0.15">
      <c r="A141" s="4" t="s">
        <v>277</v>
      </c>
      <c r="B141" s="4" t="s">
        <v>278</v>
      </c>
      <c r="C141" s="5"/>
    </row>
    <row r="142" spans="1:3" ht="15.75" customHeight="1" x14ac:dyDescent="0.15">
      <c r="A142" s="4" t="s">
        <v>279</v>
      </c>
      <c r="B142" s="4" t="s">
        <v>280</v>
      </c>
      <c r="C142" s="4" t="s">
        <v>11</v>
      </c>
    </row>
    <row r="143" spans="1:3" ht="15.75" customHeight="1" x14ac:dyDescent="0.15">
      <c r="A143" s="4" t="s">
        <v>281</v>
      </c>
      <c r="B143" s="4" t="s">
        <v>282</v>
      </c>
      <c r="C143" s="4" t="s">
        <v>8</v>
      </c>
    </row>
    <row r="144" spans="1:3" ht="15.75" customHeight="1" x14ac:dyDescent="0.15">
      <c r="A144" s="4" t="s">
        <v>283</v>
      </c>
      <c r="B144" s="4" t="s">
        <v>284</v>
      </c>
      <c r="C144" s="5"/>
    </row>
    <row r="145" spans="1:3" ht="15.75" customHeight="1" x14ac:dyDescent="0.15">
      <c r="A145" s="4" t="s">
        <v>285</v>
      </c>
      <c r="B145" s="4" t="s">
        <v>286</v>
      </c>
      <c r="C145" s="4" t="s">
        <v>11</v>
      </c>
    </row>
    <row r="146" spans="1:3" ht="15.75" customHeight="1" x14ac:dyDescent="0.15">
      <c r="A146" s="4" t="s">
        <v>287</v>
      </c>
      <c r="B146" s="4" t="s">
        <v>288</v>
      </c>
      <c r="C146" s="4" t="s">
        <v>8</v>
      </c>
    </row>
    <row r="147" spans="1:3" ht="15.75" customHeight="1" x14ac:dyDescent="0.15">
      <c r="A147" s="4" t="s">
        <v>289</v>
      </c>
      <c r="B147" s="4" t="s">
        <v>290</v>
      </c>
      <c r="C147" s="5"/>
    </row>
    <row r="148" spans="1:3" ht="15.75" customHeight="1" x14ac:dyDescent="0.15">
      <c r="A148" s="4" t="s">
        <v>291</v>
      </c>
      <c r="B148" s="4" t="s">
        <v>292</v>
      </c>
      <c r="C148" s="4" t="s">
        <v>11</v>
      </c>
    </row>
    <row r="149" spans="1:3" ht="15.75" customHeight="1" x14ac:dyDescent="0.15">
      <c r="A149" s="4" t="s">
        <v>293</v>
      </c>
      <c r="B149" s="4" t="s">
        <v>294</v>
      </c>
      <c r="C149" s="4" t="s">
        <v>8</v>
      </c>
    </row>
    <row r="150" spans="1:3" ht="15.75" customHeight="1" x14ac:dyDescent="0.15">
      <c r="A150" s="4" t="s">
        <v>295</v>
      </c>
      <c r="B150" s="4" t="s">
        <v>296</v>
      </c>
      <c r="C150" s="5"/>
    </row>
    <row r="151" spans="1:3" ht="15.75" customHeight="1" x14ac:dyDescent="0.15">
      <c r="A151" s="4" t="s">
        <v>297</v>
      </c>
      <c r="B151" s="4" t="s">
        <v>298</v>
      </c>
      <c r="C151" s="4" t="s">
        <v>11</v>
      </c>
    </row>
    <row r="152" spans="1:3" ht="15.75" customHeight="1" x14ac:dyDescent="0.15">
      <c r="A152" s="4" t="s">
        <v>299</v>
      </c>
      <c r="B152" s="4" t="s">
        <v>300</v>
      </c>
      <c r="C152" s="4" t="s">
        <v>8</v>
      </c>
    </row>
    <row r="153" spans="1:3" ht="15.75" customHeight="1" x14ac:dyDescent="0.15">
      <c r="A153" s="4" t="s">
        <v>301</v>
      </c>
      <c r="B153" s="4" t="s">
        <v>302</v>
      </c>
      <c r="C153" s="5"/>
    </row>
    <row r="154" spans="1:3" ht="15.75" customHeight="1" x14ac:dyDescent="0.15">
      <c r="A154" s="4" t="s">
        <v>303</v>
      </c>
      <c r="B154" s="4" t="s">
        <v>304</v>
      </c>
      <c r="C154" s="4" t="s">
        <v>11</v>
      </c>
    </row>
    <row r="155" spans="1:3" ht="15.75" customHeight="1" x14ac:dyDescent="0.15">
      <c r="A155" s="4" t="s">
        <v>305</v>
      </c>
      <c r="B155" s="4" t="s">
        <v>306</v>
      </c>
      <c r="C155" s="4" t="s">
        <v>8</v>
      </c>
    </row>
    <row r="156" spans="1:3" ht="15.75" customHeight="1" x14ac:dyDescent="0.15">
      <c r="A156" s="4" t="s">
        <v>307</v>
      </c>
      <c r="B156" s="4" t="s">
        <v>308</v>
      </c>
      <c r="C156" s="5"/>
    </row>
    <row r="157" spans="1:3" ht="15.75" customHeight="1" x14ac:dyDescent="0.15">
      <c r="A157" s="4" t="s">
        <v>309</v>
      </c>
      <c r="B157" s="4" t="s">
        <v>310</v>
      </c>
      <c r="C157" s="4" t="s">
        <v>11</v>
      </c>
    </row>
    <row r="158" spans="1:3" ht="15.75" customHeight="1" x14ac:dyDescent="0.15">
      <c r="A158" s="4" t="s">
        <v>311</v>
      </c>
      <c r="B158" s="4" t="s">
        <v>312</v>
      </c>
      <c r="C158" s="4" t="s">
        <v>8</v>
      </c>
    </row>
    <row r="159" spans="1:3" ht="15.75" customHeight="1" x14ac:dyDescent="0.15">
      <c r="A159" s="4" t="s">
        <v>313</v>
      </c>
      <c r="B159" s="4" t="s">
        <v>314</v>
      </c>
      <c r="C159" s="5"/>
    </row>
    <row r="160" spans="1:3" ht="15.75" customHeight="1" x14ac:dyDescent="0.15">
      <c r="A160" s="4" t="s">
        <v>315</v>
      </c>
      <c r="B160" s="4" t="s">
        <v>316</v>
      </c>
      <c r="C160" s="4" t="s">
        <v>11</v>
      </c>
    </row>
    <row r="161" spans="1:3" ht="15.75" customHeight="1" x14ac:dyDescent="0.15">
      <c r="A161" s="4" t="s">
        <v>317</v>
      </c>
      <c r="B161" s="4" t="s">
        <v>318</v>
      </c>
      <c r="C161" s="4" t="s">
        <v>8</v>
      </c>
    </row>
    <row r="162" spans="1:3" ht="15.75" customHeight="1" x14ac:dyDescent="0.15">
      <c r="A162" s="4" t="s">
        <v>319</v>
      </c>
      <c r="B162" s="4" t="s">
        <v>320</v>
      </c>
      <c r="C162" s="5"/>
    </row>
    <row r="163" spans="1:3" ht="15.75" customHeight="1" x14ac:dyDescent="0.15">
      <c r="A163" s="4" t="s">
        <v>321</v>
      </c>
      <c r="B163" s="4" t="s">
        <v>322</v>
      </c>
      <c r="C163" s="4" t="s">
        <v>11</v>
      </c>
    </row>
    <row r="164" spans="1:3" ht="15.75" customHeight="1" x14ac:dyDescent="0.15">
      <c r="A164" s="4" t="s">
        <v>323</v>
      </c>
      <c r="B164" s="4" t="s">
        <v>4</v>
      </c>
      <c r="C164" s="4" t="s">
        <v>5</v>
      </c>
    </row>
    <row r="165" spans="1:3" ht="15.75" customHeight="1" x14ac:dyDescent="0.15">
      <c r="A165" s="4" t="s">
        <v>324</v>
      </c>
      <c r="B165" s="4" t="s">
        <v>325</v>
      </c>
      <c r="C165" s="4" t="s">
        <v>8</v>
      </c>
    </row>
    <row r="166" spans="1:3" ht="15.75" customHeight="1" x14ac:dyDescent="0.15">
      <c r="A166" s="4" t="s">
        <v>326</v>
      </c>
      <c r="B166" s="4" t="s">
        <v>327</v>
      </c>
      <c r="C166" s="5"/>
    </row>
    <row r="167" spans="1:3" ht="15.75" customHeight="1" x14ac:dyDescent="0.15">
      <c r="A167" s="4" t="s">
        <v>328</v>
      </c>
      <c r="B167" s="4" t="s">
        <v>329</v>
      </c>
      <c r="C167" s="4" t="s">
        <v>11</v>
      </c>
    </row>
    <row r="168" spans="1:3" ht="15.75" customHeight="1" x14ac:dyDescent="0.15">
      <c r="A168" s="4" t="s">
        <v>330</v>
      </c>
      <c r="B168" s="4" t="s">
        <v>331</v>
      </c>
      <c r="C168" s="4" t="s">
        <v>8</v>
      </c>
    </row>
    <row r="169" spans="1:3" ht="15.75" customHeight="1" x14ac:dyDescent="0.15">
      <c r="A169" s="4" t="s">
        <v>332</v>
      </c>
      <c r="B169" s="4" t="s">
        <v>333</v>
      </c>
      <c r="C169" s="5"/>
    </row>
    <row r="170" spans="1:3" ht="15.75" customHeight="1" x14ac:dyDescent="0.15">
      <c r="A170" s="4" t="s">
        <v>334</v>
      </c>
      <c r="B170" s="4" t="s">
        <v>335</v>
      </c>
      <c r="C170" s="4" t="s">
        <v>11</v>
      </c>
    </row>
    <row r="171" spans="1:3" ht="15.75" customHeight="1" x14ac:dyDescent="0.15">
      <c r="A171" s="4" t="s">
        <v>336</v>
      </c>
      <c r="B171" s="4" t="s">
        <v>337</v>
      </c>
      <c r="C171" s="4" t="s">
        <v>8</v>
      </c>
    </row>
    <row r="172" spans="1:3" ht="15.75" customHeight="1" x14ac:dyDescent="0.15">
      <c r="A172" s="4" t="s">
        <v>338</v>
      </c>
      <c r="B172" s="4" t="s">
        <v>339</v>
      </c>
      <c r="C172" s="5"/>
    </row>
    <row r="173" spans="1:3" ht="15.75" customHeight="1" x14ac:dyDescent="0.15">
      <c r="A173" s="4" t="s">
        <v>340</v>
      </c>
      <c r="B173" s="4" t="s">
        <v>341</v>
      </c>
      <c r="C173" s="4" t="s">
        <v>11</v>
      </c>
    </row>
    <row r="174" spans="1:3" ht="15.75" customHeight="1" x14ac:dyDescent="0.15">
      <c r="A174" s="4" t="s">
        <v>342</v>
      </c>
      <c r="B174" s="4" t="s">
        <v>343</v>
      </c>
      <c r="C174" s="4" t="s">
        <v>8</v>
      </c>
    </row>
    <row r="175" spans="1:3" ht="15.75" customHeight="1" x14ac:dyDescent="0.15">
      <c r="A175" s="4" t="s">
        <v>344</v>
      </c>
      <c r="B175" s="4" t="s">
        <v>345</v>
      </c>
      <c r="C175" s="5"/>
    </row>
    <row r="176" spans="1:3" ht="15.75" customHeight="1" x14ac:dyDescent="0.15">
      <c r="A176" s="4" t="s">
        <v>346</v>
      </c>
      <c r="B176" s="4" t="s">
        <v>347</v>
      </c>
      <c r="C176" s="4" t="s">
        <v>11</v>
      </c>
    </row>
    <row r="177" spans="1:3" ht="15.75" customHeight="1" x14ac:dyDescent="0.15">
      <c r="A177" s="4" t="s">
        <v>348</v>
      </c>
      <c r="B177" s="4" t="s">
        <v>349</v>
      </c>
      <c r="C177" s="4" t="s">
        <v>8</v>
      </c>
    </row>
    <row r="178" spans="1:3" ht="15.75" customHeight="1" x14ac:dyDescent="0.15">
      <c r="A178" s="4" t="s">
        <v>350</v>
      </c>
      <c r="B178" s="4" t="s">
        <v>351</v>
      </c>
      <c r="C178" s="5"/>
    </row>
    <row r="179" spans="1:3" ht="15.75" customHeight="1" x14ac:dyDescent="0.15">
      <c r="A179" s="4" t="s">
        <v>352</v>
      </c>
      <c r="B179" s="4" t="s">
        <v>353</v>
      </c>
      <c r="C179" s="4" t="s">
        <v>11</v>
      </c>
    </row>
    <row r="180" spans="1:3" ht="15.75" customHeight="1" x14ac:dyDescent="0.15">
      <c r="A180" s="4" t="s">
        <v>354</v>
      </c>
      <c r="B180" s="4" t="s">
        <v>355</v>
      </c>
      <c r="C180" s="4" t="s">
        <v>8</v>
      </c>
    </row>
    <row r="181" spans="1:3" ht="15.75" customHeight="1" x14ac:dyDescent="0.15">
      <c r="A181" s="4" t="s">
        <v>356</v>
      </c>
      <c r="B181" s="4" t="s">
        <v>357</v>
      </c>
      <c r="C181" s="5"/>
    </row>
    <row r="182" spans="1:3" ht="15.75" customHeight="1" x14ac:dyDescent="0.15">
      <c r="A182" s="4" t="s">
        <v>358</v>
      </c>
      <c r="B182" s="4" t="s">
        <v>359</v>
      </c>
      <c r="C182" s="4" t="s">
        <v>11</v>
      </c>
    </row>
    <row r="183" spans="1:3" ht="15.75" customHeight="1" x14ac:dyDescent="0.15">
      <c r="A183" s="4" t="s">
        <v>360</v>
      </c>
      <c r="B183" s="4" t="s">
        <v>361</v>
      </c>
      <c r="C183" s="4" t="s">
        <v>8</v>
      </c>
    </row>
    <row r="184" spans="1:3" ht="15.75" customHeight="1" x14ac:dyDescent="0.15">
      <c r="A184" s="4" t="s">
        <v>362</v>
      </c>
      <c r="B184" s="4" t="s">
        <v>363</v>
      </c>
      <c r="C184" s="5"/>
    </row>
    <row r="185" spans="1:3" ht="15.75" customHeight="1" x14ac:dyDescent="0.15">
      <c r="A185" s="4" t="s">
        <v>364</v>
      </c>
      <c r="B185" s="4" t="s">
        <v>365</v>
      </c>
      <c r="C185" s="4" t="s">
        <v>11</v>
      </c>
    </row>
    <row r="186" spans="1:3" ht="15.75" customHeight="1" x14ac:dyDescent="0.15">
      <c r="A186" s="4" t="s">
        <v>366</v>
      </c>
      <c r="B186" s="4" t="s">
        <v>367</v>
      </c>
      <c r="C186" s="4" t="s">
        <v>8</v>
      </c>
    </row>
    <row r="187" spans="1:3" ht="15.75" customHeight="1" x14ac:dyDescent="0.15">
      <c r="A187" s="4" t="s">
        <v>368</v>
      </c>
      <c r="B187" s="4" t="s">
        <v>369</v>
      </c>
      <c r="C187" s="5"/>
    </row>
    <row r="188" spans="1:3" ht="15.75" customHeight="1" x14ac:dyDescent="0.15">
      <c r="A188" s="4" t="s">
        <v>370</v>
      </c>
      <c r="B188" s="4" t="s">
        <v>371</v>
      </c>
      <c r="C188" s="4" t="s">
        <v>11</v>
      </c>
    </row>
    <row r="189" spans="1:3" ht="15.75" customHeight="1" x14ac:dyDescent="0.15">
      <c r="A189" s="4" t="s">
        <v>372</v>
      </c>
      <c r="B189" s="4" t="s">
        <v>373</v>
      </c>
      <c r="C189" s="4" t="s">
        <v>8</v>
      </c>
    </row>
    <row r="190" spans="1:3" ht="15.75" customHeight="1" x14ac:dyDescent="0.15">
      <c r="A190" s="4" t="s">
        <v>374</v>
      </c>
      <c r="B190" s="4" t="s">
        <v>375</v>
      </c>
      <c r="C190" s="5"/>
    </row>
    <row r="191" spans="1:3" ht="15.75" customHeight="1" x14ac:dyDescent="0.15">
      <c r="A191" s="4" t="s">
        <v>376</v>
      </c>
      <c r="B191" s="4" t="s">
        <v>377</v>
      </c>
      <c r="C191" s="4" t="s">
        <v>11</v>
      </c>
    </row>
    <row r="192" spans="1:3" ht="15.75" customHeight="1" x14ac:dyDescent="0.15">
      <c r="A192" s="4" t="s">
        <v>378</v>
      </c>
      <c r="B192" s="4" t="s">
        <v>379</v>
      </c>
      <c r="C192" s="4" t="s">
        <v>8</v>
      </c>
    </row>
    <row r="193" spans="1:3" ht="15.75" customHeight="1" x14ac:dyDescent="0.15">
      <c r="A193" s="4" t="s">
        <v>380</v>
      </c>
      <c r="B193" s="4" t="s">
        <v>381</v>
      </c>
      <c r="C193" s="5"/>
    </row>
    <row r="194" spans="1:3" ht="15.75" customHeight="1" x14ac:dyDescent="0.15">
      <c r="A194" s="4" t="s">
        <v>382</v>
      </c>
      <c r="B194" s="4" t="s">
        <v>383</v>
      </c>
      <c r="C194" s="4" t="s">
        <v>11</v>
      </c>
    </row>
    <row r="195" spans="1:3" ht="15.75" customHeight="1" x14ac:dyDescent="0.15">
      <c r="A195" s="4" t="s">
        <v>384</v>
      </c>
      <c r="B195" s="4" t="s">
        <v>385</v>
      </c>
      <c r="C195" s="4" t="s">
        <v>8</v>
      </c>
    </row>
    <row r="196" spans="1:3" ht="15.75" customHeight="1" x14ac:dyDescent="0.15">
      <c r="A196" s="4" t="s">
        <v>386</v>
      </c>
      <c r="B196" s="4" t="s">
        <v>387</v>
      </c>
      <c r="C196" s="5"/>
    </row>
    <row r="197" spans="1:3" ht="15.75" customHeight="1" x14ac:dyDescent="0.15">
      <c r="A197" s="4" t="s">
        <v>388</v>
      </c>
      <c r="B197" s="4" t="s">
        <v>389</v>
      </c>
      <c r="C197" s="4" t="s">
        <v>11</v>
      </c>
    </row>
    <row r="198" spans="1:3" ht="15.75" customHeight="1" x14ac:dyDescent="0.15">
      <c r="A198" s="4" t="s">
        <v>390</v>
      </c>
      <c r="B198" s="4" t="s">
        <v>391</v>
      </c>
      <c r="C198" s="4" t="s">
        <v>8</v>
      </c>
    </row>
    <row r="199" spans="1:3" ht="15.75" customHeight="1" x14ac:dyDescent="0.15">
      <c r="A199" s="4" t="s">
        <v>392</v>
      </c>
      <c r="B199" s="4" t="s">
        <v>393</v>
      </c>
      <c r="C199" s="5"/>
    </row>
    <row r="200" spans="1:3" ht="15.75" customHeight="1" x14ac:dyDescent="0.15">
      <c r="A200" s="4" t="s">
        <v>394</v>
      </c>
      <c r="B200" s="4" t="s">
        <v>395</v>
      </c>
      <c r="C200" s="4" t="s">
        <v>11</v>
      </c>
    </row>
    <row r="201" spans="1:3" ht="15.75" customHeight="1" x14ac:dyDescent="0.15">
      <c r="A201" s="4" t="s">
        <v>396</v>
      </c>
      <c r="B201" s="4" t="s">
        <v>397</v>
      </c>
      <c r="C201" s="4" t="s">
        <v>8</v>
      </c>
    </row>
    <row r="202" spans="1:3" ht="15.75" customHeight="1" x14ac:dyDescent="0.15">
      <c r="A202" s="4" t="s">
        <v>398</v>
      </c>
      <c r="B202" s="4" t="s">
        <v>399</v>
      </c>
      <c r="C202" s="5"/>
    </row>
    <row r="203" spans="1:3" ht="15.75" customHeight="1" x14ac:dyDescent="0.15">
      <c r="A203" s="4" t="s">
        <v>400</v>
      </c>
      <c r="B203" s="4" t="s">
        <v>401</v>
      </c>
      <c r="C203" s="4" t="s">
        <v>11</v>
      </c>
    </row>
    <row r="204" spans="1:3" ht="15.75" customHeight="1" x14ac:dyDescent="0.15">
      <c r="A204" s="4" t="s">
        <v>402</v>
      </c>
      <c r="B204" s="4" t="s">
        <v>403</v>
      </c>
      <c r="C204" s="4" t="s">
        <v>8</v>
      </c>
    </row>
    <row r="205" spans="1:3" ht="15.75" customHeight="1" x14ac:dyDescent="0.15">
      <c r="A205" s="4" t="s">
        <v>404</v>
      </c>
      <c r="B205" s="4" t="s">
        <v>405</v>
      </c>
      <c r="C205" s="5"/>
    </row>
    <row r="206" spans="1:3" ht="15.75" customHeight="1" x14ac:dyDescent="0.15">
      <c r="A206" s="4" t="s">
        <v>406</v>
      </c>
      <c r="B206" s="4" t="s">
        <v>407</v>
      </c>
      <c r="C206" s="4" t="s">
        <v>11</v>
      </c>
    </row>
    <row r="207" spans="1:3" ht="15.75" customHeight="1" x14ac:dyDescent="0.15">
      <c r="A207" s="4" t="s">
        <v>408</v>
      </c>
      <c r="B207" s="4" t="s">
        <v>409</v>
      </c>
      <c r="C207" s="4" t="s">
        <v>8</v>
      </c>
    </row>
    <row r="208" spans="1:3" ht="15.75" customHeight="1" x14ac:dyDescent="0.15">
      <c r="A208" s="4" t="s">
        <v>410</v>
      </c>
      <c r="B208" s="4" t="s">
        <v>411</v>
      </c>
      <c r="C208" s="5"/>
    </row>
    <row r="209" spans="1:3" ht="15.75" customHeight="1" x14ac:dyDescent="0.15">
      <c r="A209" s="4" t="s">
        <v>412</v>
      </c>
      <c r="B209" s="4" t="s">
        <v>413</v>
      </c>
      <c r="C209" s="4" t="s">
        <v>11</v>
      </c>
    </row>
    <row r="210" spans="1:3" ht="15.75" customHeight="1" x14ac:dyDescent="0.15">
      <c r="A210" s="4" t="s">
        <v>414</v>
      </c>
      <c r="B210" s="4" t="s">
        <v>415</v>
      </c>
      <c r="C210" s="4" t="s">
        <v>8</v>
      </c>
    </row>
    <row r="211" spans="1:3" ht="15.75" customHeight="1" x14ac:dyDescent="0.15">
      <c r="A211" s="4" t="s">
        <v>416</v>
      </c>
      <c r="B211" s="4" t="s">
        <v>417</v>
      </c>
      <c r="C211" s="5"/>
    </row>
    <row r="212" spans="1:3" ht="15.75" customHeight="1" x14ac:dyDescent="0.15">
      <c r="A212" s="4" t="s">
        <v>418</v>
      </c>
      <c r="B212" s="4" t="s">
        <v>419</v>
      </c>
      <c r="C212" s="4" t="s">
        <v>11</v>
      </c>
    </row>
    <row r="213" spans="1:3" ht="15.75" customHeight="1" x14ac:dyDescent="0.15">
      <c r="A213" s="4" t="s">
        <v>420</v>
      </c>
      <c r="B213" s="4" t="s">
        <v>421</v>
      </c>
      <c r="C213" s="4" t="s">
        <v>8</v>
      </c>
    </row>
    <row r="214" spans="1:3" ht="15.75" customHeight="1" x14ac:dyDescent="0.15">
      <c r="A214" s="4" t="s">
        <v>422</v>
      </c>
      <c r="B214" s="4" t="s">
        <v>423</v>
      </c>
      <c r="C214" s="5"/>
    </row>
    <row r="215" spans="1:3" ht="15.75" customHeight="1" x14ac:dyDescent="0.15">
      <c r="A215" s="4" t="s">
        <v>424</v>
      </c>
      <c r="B215" s="4" t="s">
        <v>425</v>
      </c>
      <c r="C215" s="4" t="s">
        <v>11</v>
      </c>
    </row>
    <row r="216" spans="1:3" ht="15.75" customHeight="1" x14ac:dyDescent="0.15">
      <c r="A216" s="4" t="s">
        <v>426</v>
      </c>
      <c r="B216" s="4" t="s">
        <v>427</v>
      </c>
      <c r="C216" s="4" t="s">
        <v>8</v>
      </c>
    </row>
    <row r="217" spans="1:3" ht="15.75" customHeight="1" x14ac:dyDescent="0.15">
      <c r="A217" s="4" t="s">
        <v>428</v>
      </c>
      <c r="B217" s="4" t="s">
        <v>429</v>
      </c>
      <c r="C217" s="5"/>
    </row>
    <row r="218" spans="1:3" ht="15.75" customHeight="1" x14ac:dyDescent="0.15">
      <c r="A218" s="4" t="s">
        <v>430</v>
      </c>
      <c r="B218" s="4" t="s">
        <v>431</v>
      </c>
      <c r="C218" s="4" t="s">
        <v>11</v>
      </c>
    </row>
    <row r="219" spans="1:3" ht="15.75" customHeight="1" x14ac:dyDescent="0.15">
      <c r="A219" s="4" t="s">
        <v>432</v>
      </c>
      <c r="B219" s="4" t="s">
        <v>433</v>
      </c>
      <c r="C219" s="4" t="s">
        <v>8</v>
      </c>
    </row>
    <row r="220" spans="1:3" ht="15.75" customHeight="1" x14ac:dyDescent="0.15">
      <c r="A220" s="4" t="s">
        <v>434</v>
      </c>
      <c r="B220" s="4" t="s">
        <v>435</v>
      </c>
      <c r="C220" s="5"/>
    </row>
    <row r="221" spans="1:3" ht="15.75" customHeight="1" x14ac:dyDescent="0.15">
      <c r="A221" s="4" t="s">
        <v>436</v>
      </c>
      <c r="B221" s="4" t="s">
        <v>437</v>
      </c>
      <c r="C221" s="4" t="s">
        <v>11</v>
      </c>
    </row>
    <row r="222" spans="1:3" ht="15.75" customHeight="1" x14ac:dyDescent="0.15">
      <c r="A222" s="4" t="s">
        <v>438</v>
      </c>
      <c r="B222" s="4" t="s">
        <v>439</v>
      </c>
      <c r="C222" s="4" t="s">
        <v>8</v>
      </c>
    </row>
    <row r="223" spans="1:3" ht="15.75" customHeight="1" x14ac:dyDescent="0.15">
      <c r="A223" s="4" t="s">
        <v>440</v>
      </c>
      <c r="B223" s="4" t="s">
        <v>441</v>
      </c>
      <c r="C223" s="5"/>
    </row>
    <row r="224" spans="1:3" ht="15.75" customHeight="1" x14ac:dyDescent="0.15">
      <c r="A224" s="4" t="s">
        <v>442</v>
      </c>
      <c r="B224" s="4" t="s">
        <v>443</v>
      </c>
      <c r="C224" s="4" t="s">
        <v>11</v>
      </c>
    </row>
    <row r="225" spans="1:3" ht="15.75" customHeight="1" x14ac:dyDescent="0.15">
      <c r="A225" s="4" t="s">
        <v>444</v>
      </c>
      <c r="B225" s="4" t="s">
        <v>4</v>
      </c>
      <c r="C225" s="4" t="s">
        <v>5</v>
      </c>
    </row>
    <row r="226" spans="1:3" ht="15.75" customHeight="1" x14ac:dyDescent="0.15">
      <c r="A226" s="4" t="s">
        <v>445</v>
      </c>
      <c r="B226" s="4" t="s">
        <v>446</v>
      </c>
      <c r="C226" s="4" t="s">
        <v>8</v>
      </c>
    </row>
    <row r="227" spans="1:3" ht="15.75" customHeight="1" x14ac:dyDescent="0.15">
      <c r="A227" s="4" t="s">
        <v>447</v>
      </c>
      <c r="B227" s="4" t="s">
        <v>448</v>
      </c>
      <c r="C227" s="5"/>
    </row>
    <row r="228" spans="1:3" ht="15.75" customHeight="1" x14ac:dyDescent="0.15">
      <c r="A228" s="4" t="s">
        <v>449</v>
      </c>
      <c r="B228" s="4" t="s">
        <v>450</v>
      </c>
      <c r="C228" s="4" t="s">
        <v>11</v>
      </c>
    </row>
    <row r="229" spans="1:3" ht="15.75" customHeight="1" x14ac:dyDescent="0.15">
      <c r="A229" s="4" t="s">
        <v>451</v>
      </c>
      <c r="B229" s="4" t="s">
        <v>452</v>
      </c>
      <c r="C229" s="4" t="s">
        <v>8</v>
      </c>
    </row>
    <row r="230" spans="1:3" ht="15.75" customHeight="1" x14ac:dyDescent="0.15">
      <c r="A230" s="4" t="s">
        <v>453</v>
      </c>
      <c r="B230" s="4" t="s">
        <v>454</v>
      </c>
      <c r="C230" s="4" t="s">
        <v>11</v>
      </c>
    </row>
    <row r="231" spans="1:3" ht="15.75" customHeight="1" x14ac:dyDescent="0.15">
      <c r="A231" s="4" t="s">
        <v>455</v>
      </c>
      <c r="B231" s="4" t="s">
        <v>456</v>
      </c>
      <c r="C231" s="4" t="s">
        <v>5</v>
      </c>
    </row>
    <row r="232" spans="1:3" ht="15.75" customHeight="1" x14ac:dyDescent="0.15">
      <c r="A232" s="4" t="s">
        <v>457</v>
      </c>
      <c r="B232" s="4" t="s">
        <v>4</v>
      </c>
      <c r="C232" s="4" t="s">
        <v>5</v>
      </c>
    </row>
    <row r="233" spans="1:3" ht="15.75" customHeight="1" x14ac:dyDescent="0.15">
      <c r="A233" s="4" t="s">
        <v>458</v>
      </c>
      <c r="B233" s="4" t="s">
        <v>459</v>
      </c>
      <c r="C233" s="4" t="s">
        <v>8</v>
      </c>
    </row>
    <row r="234" spans="1:3" ht="15.75" customHeight="1" x14ac:dyDescent="0.15">
      <c r="A234" s="4" t="s">
        <v>460</v>
      </c>
      <c r="B234" s="4" t="s">
        <v>461</v>
      </c>
      <c r="C234" s="5"/>
    </row>
    <row r="235" spans="1:3" ht="15.75" customHeight="1" x14ac:dyDescent="0.15">
      <c r="A235" s="4" t="s">
        <v>462</v>
      </c>
      <c r="B235" s="4" t="s">
        <v>463</v>
      </c>
      <c r="C235" s="5"/>
    </row>
    <row r="236" spans="1:3" ht="15.75" customHeight="1" x14ac:dyDescent="0.15">
      <c r="A236" s="4" t="s">
        <v>464</v>
      </c>
      <c r="B236" s="4" t="s">
        <v>465</v>
      </c>
      <c r="C236" s="4" t="s">
        <v>11</v>
      </c>
    </row>
    <row r="237" spans="1:3" ht="15.75" customHeight="1" x14ac:dyDescent="0.15">
      <c r="A237" s="4" t="s">
        <v>466</v>
      </c>
      <c r="B237" s="4" t="s">
        <v>467</v>
      </c>
      <c r="C237" s="4" t="s">
        <v>8</v>
      </c>
    </row>
    <row r="238" spans="1:3" ht="15.75" customHeight="1" x14ac:dyDescent="0.15">
      <c r="A238" s="4" t="s">
        <v>468</v>
      </c>
      <c r="B238" s="4" t="s">
        <v>469</v>
      </c>
      <c r="C238" s="5"/>
    </row>
    <row r="239" spans="1:3" ht="15.75" customHeight="1" x14ac:dyDescent="0.15">
      <c r="A239" s="4" t="s">
        <v>470</v>
      </c>
      <c r="B239" s="4" t="s">
        <v>471</v>
      </c>
      <c r="C239" s="4" t="s">
        <v>11</v>
      </c>
    </row>
    <row r="240" spans="1:3" ht="15.75" customHeight="1" x14ac:dyDescent="0.15">
      <c r="A240" s="4" t="s">
        <v>472</v>
      </c>
      <c r="B240" s="4" t="s">
        <v>473</v>
      </c>
      <c r="C240" s="4" t="s">
        <v>8</v>
      </c>
    </row>
    <row r="241" spans="1:3" ht="15.75" customHeight="1" x14ac:dyDescent="0.15">
      <c r="A241" s="4" t="s">
        <v>474</v>
      </c>
      <c r="B241" s="4" t="s">
        <v>475</v>
      </c>
      <c r="C241" s="5"/>
    </row>
    <row r="242" spans="1:3" ht="15.75" customHeight="1" x14ac:dyDescent="0.15">
      <c r="A242" s="4" t="s">
        <v>476</v>
      </c>
      <c r="B242" s="4" t="s">
        <v>477</v>
      </c>
      <c r="C242" s="4" t="s">
        <v>11</v>
      </c>
    </row>
    <row r="243" spans="1:3" ht="15.75" customHeight="1" x14ac:dyDescent="0.15">
      <c r="A243" s="4" t="s">
        <v>478</v>
      </c>
      <c r="B243" s="4" t="s">
        <v>4</v>
      </c>
      <c r="C243" s="4" t="s">
        <v>5</v>
      </c>
    </row>
    <row r="244" spans="1:3" ht="15.75" customHeight="1" x14ac:dyDescent="0.15">
      <c r="A244" s="4" t="s">
        <v>479</v>
      </c>
      <c r="B244" s="4" t="s">
        <v>480</v>
      </c>
      <c r="C244" s="4" t="s">
        <v>8</v>
      </c>
    </row>
    <row r="245" spans="1:3" ht="15.75" customHeight="1" x14ac:dyDescent="0.15">
      <c r="A245" s="4" t="s">
        <v>481</v>
      </c>
      <c r="B245" s="4" t="s">
        <v>482</v>
      </c>
      <c r="C245" s="5"/>
    </row>
    <row r="246" spans="1:3" ht="15.75" customHeight="1" x14ac:dyDescent="0.15">
      <c r="A246" s="4" t="s">
        <v>483</v>
      </c>
      <c r="B246" s="4" t="s">
        <v>484</v>
      </c>
      <c r="C246" s="4" t="s">
        <v>11</v>
      </c>
    </row>
    <row r="247" spans="1:3" ht="15.75" customHeight="1" x14ac:dyDescent="0.15">
      <c r="A247" s="4" t="s">
        <v>485</v>
      </c>
      <c r="B247" s="4" t="s">
        <v>486</v>
      </c>
      <c r="C247" s="4" t="s">
        <v>8</v>
      </c>
    </row>
    <row r="248" spans="1:3" ht="15.75" customHeight="1" x14ac:dyDescent="0.15">
      <c r="A248" s="4" t="s">
        <v>487</v>
      </c>
      <c r="B248" s="4" t="s">
        <v>488</v>
      </c>
      <c r="C248" s="5"/>
    </row>
    <row r="249" spans="1:3" ht="15.75" customHeight="1" x14ac:dyDescent="0.15">
      <c r="A249" s="4" t="s">
        <v>489</v>
      </c>
      <c r="B249" s="4" t="s">
        <v>490</v>
      </c>
      <c r="C249" s="4" t="s">
        <v>11</v>
      </c>
    </row>
    <row r="250" spans="1:3" ht="15.75" customHeight="1" x14ac:dyDescent="0.15">
      <c r="A250" s="4" t="s">
        <v>491</v>
      </c>
      <c r="B250" s="4" t="s">
        <v>4</v>
      </c>
      <c r="C250" s="4" t="s">
        <v>5</v>
      </c>
    </row>
    <row r="251" spans="1:3" ht="15.75" customHeight="1" x14ac:dyDescent="0.15">
      <c r="A251" s="4" t="s">
        <v>492</v>
      </c>
      <c r="B251" s="4" t="s">
        <v>493</v>
      </c>
      <c r="C251" s="4" t="s">
        <v>8</v>
      </c>
    </row>
    <row r="252" spans="1:3" ht="15.75" customHeight="1" x14ac:dyDescent="0.15">
      <c r="A252" s="4" t="s">
        <v>494</v>
      </c>
      <c r="B252" s="4" t="s">
        <v>495</v>
      </c>
      <c r="C252" s="4" t="s">
        <v>11</v>
      </c>
    </row>
    <row r="253" spans="1:3" ht="15.75" customHeight="1" x14ac:dyDescent="0.15">
      <c r="A253" s="4" t="s">
        <v>496</v>
      </c>
      <c r="B253" s="4" t="s">
        <v>497</v>
      </c>
      <c r="C253" s="4" t="s">
        <v>8</v>
      </c>
    </row>
    <row r="254" spans="1:3" ht="15.75" customHeight="1" x14ac:dyDescent="0.15">
      <c r="A254" s="4" t="s">
        <v>498</v>
      </c>
      <c r="B254" s="4" t="s">
        <v>499</v>
      </c>
      <c r="C254" s="5"/>
    </row>
    <row r="255" spans="1:3" ht="15.75" customHeight="1" x14ac:dyDescent="0.15">
      <c r="A255" s="4" t="s">
        <v>500</v>
      </c>
      <c r="B255" s="4" t="s">
        <v>501</v>
      </c>
      <c r="C255" s="4" t="s">
        <v>11</v>
      </c>
    </row>
    <row r="256" spans="1:3" ht="15.75" customHeight="1" x14ac:dyDescent="0.15">
      <c r="A256" s="4" t="s">
        <v>502</v>
      </c>
      <c r="B256" s="4" t="s">
        <v>4</v>
      </c>
      <c r="C256" s="4" t="s">
        <v>5</v>
      </c>
    </row>
    <row r="257" spans="1:3" ht="15.75" customHeight="1" x14ac:dyDescent="0.15">
      <c r="A257" s="4" t="s">
        <v>485</v>
      </c>
      <c r="B257" s="4" t="s">
        <v>503</v>
      </c>
      <c r="C257" s="4" t="s">
        <v>8</v>
      </c>
    </row>
    <row r="258" spans="1:3" ht="15.75" customHeight="1" x14ac:dyDescent="0.15">
      <c r="A258" s="4" t="s">
        <v>504</v>
      </c>
      <c r="B258" s="4" t="s">
        <v>505</v>
      </c>
      <c r="C258" s="5"/>
    </row>
    <row r="259" spans="1:3" ht="15.75" customHeight="1" x14ac:dyDescent="0.15">
      <c r="A259" s="4" t="s">
        <v>506</v>
      </c>
      <c r="B259" s="4" t="s">
        <v>507</v>
      </c>
      <c r="C259" s="5"/>
    </row>
    <row r="260" spans="1:3" ht="15.75" customHeight="1" x14ac:dyDescent="0.15">
      <c r="A260" s="4" t="s">
        <v>508</v>
      </c>
      <c r="B260" s="4" t="s">
        <v>509</v>
      </c>
      <c r="C260" s="4" t="s">
        <v>11</v>
      </c>
    </row>
    <row r="261" spans="1:3" ht="15.75" customHeight="1" x14ac:dyDescent="0.15">
      <c r="A261" s="4" t="s">
        <v>487</v>
      </c>
      <c r="B261" s="4" t="s">
        <v>510</v>
      </c>
      <c r="C261" s="4" t="s">
        <v>8</v>
      </c>
    </row>
    <row r="262" spans="1:3" ht="15.75" customHeight="1" x14ac:dyDescent="0.15">
      <c r="A262" s="4" t="s">
        <v>481</v>
      </c>
      <c r="B262" s="4" t="s">
        <v>511</v>
      </c>
      <c r="C262" s="5"/>
    </row>
    <row r="263" spans="1:3" ht="15.75" customHeight="1" x14ac:dyDescent="0.15">
      <c r="A263" s="4" t="s">
        <v>489</v>
      </c>
      <c r="B263" s="4" t="s">
        <v>512</v>
      </c>
      <c r="C263" s="4" t="s">
        <v>11</v>
      </c>
    </row>
    <row r="264" spans="1:3" ht="15.75" customHeight="1" x14ac:dyDescent="0.15">
      <c r="A264" s="4" t="s">
        <v>513</v>
      </c>
      <c r="B264" s="4" t="s">
        <v>4</v>
      </c>
      <c r="C264" s="4" t="s">
        <v>5</v>
      </c>
    </row>
    <row r="265" spans="1:3" ht="15.75" customHeight="1" x14ac:dyDescent="0.15">
      <c r="A265" s="4" t="s">
        <v>514</v>
      </c>
      <c r="B265" s="4" t="s">
        <v>515</v>
      </c>
      <c r="C265" s="4" t="s">
        <v>8</v>
      </c>
    </row>
    <row r="266" spans="1:3" ht="15.75" customHeight="1" x14ac:dyDescent="0.15">
      <c r="A266" s="4" t="s">
        <v>516</v>
      </c>
      <c r="B266" s="4" t="s">
        <v>517</v>
      </c>
      <c r="C266" s="5"/>
    </row>
    <row r="267" spans="1:3" ht="15.75" customHeight="1" x14ac:dyDescent="0.15">
      <c r="A267" s="4" t="s">
        <v>518</v>
      </c>
      <c r="B267" s="4" t="s">
        <v>519</v>
      </c>
      <c r="C267" s="4" t="s">
        <v>11</v>
      </c>
    </row>
    <row r="268" spans="1:3" ht="15.75" customHeight="1" x14ac:dyDescent="0.15">
      <c r="A268" s="4" t="s">
        <v>520</v>
      </c>
      <c r="B268" s="4" t="s">
        <v>521</v>
      </c>
      <c r="C268" s="4" t="s">
        <v>8</v>
      </c>
    </row>
    <row r="269" spans="1:3" ht="15.75" customHeight="1" x14ac:dyDescent="0.15">
      <c r="A269" s="4" t="s">
        <v>522</v>
      </c>
      <c r="B269" s="4" t="s">
        <v>523</v>
      </c>
      <c r="C269" s="5"/>
    </row>
    <row r="270" spans="1:3" ht="15.75" customHeight="1" x14ac:dyDescent="0.15">
      <c r="A270" s="4" t="s">
        <v>524</v>
      </c>
      <c r="B270" s="4" t="s">
        <v>525</v>
      </c>
      <c r="C270" s="4" t="s">
        <v>11</v>
      </c>
    </row>
    <row r="271" spans="1:3" ht="15.75" customHeight="1" x14ac:dyDescent="0.15">
      <c r="A271" s="4" t="s">
        <v>504</v>
      </c>
      <c r="B271" s="4" t="s">
        <v>526</v>
      </c>
      <c r="C271" s="4" t="s">
        <v>8</v>
      </c>
    </row>
    <row r="272" spans="1:3" ht="15.75" customHeight="1" x14ac:dyDescent="0.15">
      <c r="A272" s="4" t="s">
        <v>527</v>
      </c>
      <c r="B272" s="4" t="s">
        <v>528</v>
      </c>
      <c r="C272" s="5"/>
    </row>
    <row r="273" spans="1:3" ht="15.75" customHeight="1" x14ac:dyDescent="0.15">
      <c r="A273" s="4" t="s">
        <v>506</v>
      </c>
      <c r="B273" s="4" t="s">
        <v>529</v>
      </c>
      <c r="C273" s="4" t="s">
        <v>11</v>
      </c>
    </row>
    <row r="274" spans="1:3" ht="15.75" customHeight="1" x14ac:dyDescent="0.15">
      <c r="A274" s="4" t="s">
        <v>487</v>
      </c>
      <c r="B274" s="4" t="s">
        <v>530</v>
      </c>
      <c r="C274" s="4" t="s">
        <v>8</v>
      </c>
    </row>
    <row r="275" spans="1:3" ht="15.75" customHeight="1" x14ac:dyDescent="0.15">
      <c r="A275" s="4" t="s">
        <v>531</v>
      </c>
      <c r="B275" s="4" t="s">
        <v>532</v>
      </c>
      <c r="C275" s="5"/>
    </row>
    <row r="276" spans="1:3" ht="15.75" customHeight="1" x14ac:dyDescent="0.15">
      <c r="A276" s="4" t="s">
        <v>533</v>
      </c>
      <c r="B276" s="4" t="s">
        <v>534</v>
      </c>
      <c r="C276" s="5"/>
    </row>
    <row r="277" spans="1:3" ht="15.75" customHeight="1" x14ac:dyDescent="0.15">
      <c r="A277" s="4" t="s">
        <v>535</v>
      </c>
      <c r="B277" s="4" t="s">
        <v>536</v>
      </c>
      <c r="C277" s="4" t="s">
        <v>11</v>
      </c>
    </row>
    <row r="278" spans="1:3" ht="15.75" customHeight="1" x14ac:dyDescent="0.15">
      <c r="A278" s="4" t="s">
        <v>537</v>
      </c>
      <c r="B278" s="4" t="s">
        <v>4</v>
      </c>
      <c r="C278" s="4" t="s">
        <v>5</v>
      </c>
    </row>
    <row r="279" spans="1:3" ht="15.75" customHeight="1" x14ac:dyDescent="0.15">
      <c r="A279" s="4" t="s">
        <v>538</v>
      </c>
      <c r="B279" s="4" t="s">
        <v>539</v>
      </c>
      <c r="C279" s="4" t="s">
        <v>8</v>
      </c>
    </row>
    <row r="280" spans="1:3" ht="15.75" customHeight="1" x14ac:dyDescent="0.15">
      <c r="A280" s="4" t="s">
        <v>540</v>
      </c>
      <c r="B280" s="4" t="s">
        <v>541</v>
      </c>
      <c r="C280" s="5"/>
    </row>
    <row r="281" spans="1:3" ht="15.75" customHeight="1" x14ac:dyDescent="0.15">
      <c r="A281" s="4" t="s">
        <v>542</v>
      </c>
      <c r="B281" s="4" t="s">
        <v>543</v>
      </c>
      <c r="C281" s="4" t="s">
        <v>11</v>
      </c>
    </row>
    <row r="282" spans="1:3" ht="15.75" customHeight="1" x14ac:dyDescent="0.15">
      <c r="A282" s="4" t="s">
        <v>522</v>
      </c>
      <c r="B282" s="4" t="s">
        <v>544</v>
      </c>
      <c r="C282" s="4" t="s">
        <v>8</v>
      </c>
    </row>
    <row r="283" spans="1:3" ht="15.75" customHeight="1" x14ac:dyDescent="0.15">
      <c r="A283" s="4" t="s">
        <v>524</v>
      </c>
      <c r="B283" s="4" t="s">
        <v>545</v>
      </c>
      <c r="C283" s="5"/>
    </row>
    <row r="284" spans="1:3" ht="15.75" customHeight="1" x14ac:dyDescent="0.15">
      <c r="A284" s="4" t="s">
        <v>506</v>
      </c>
      <c r="B284" s="4" t="s">
        <v>546</v>
      </c>
      <c r="C284" s="4" t="s">
        <v>11</v>
      </c>
    </row>
    <row r="285" spans="1:3" ht="15.75" customHeight="1" x14ac:dyDescent="0.15">
      <c r="A285" s="4" t="s">
        <v>547</v>
      </c>
      <c r="B285" s="4" t="s">
        <v>548</v>
      </c>
      <c r="C285" s="4" t="s">
        <v>8</v>
      </c>
    </row>
    <row r="286" spans="1:3" ht="15.75" customHeight="1" x14ac:dyDescent="0.15">
      <c r="A286" s="4" t="s">
        <v>487</v>
      </c>
      <c r="B286" s="4" t="s">
        <v>549</v>
      </c>
      <c r="C286" s="5"/>
    </row>
    <row r="287" spans="1:3" ht="15.75" customHeight="1" x14ac:dyDescent="0.15">
      <c r="A287" s="4" t="s">
        <v>550</v>
      </c>
      <c r="B287" s="4" t="s">
        <v>551</v>
      </c>
      <c r="C287" s="5"/>
    </row>
    <row r="288" spans="1:3" ht="15.75" customHeight="1" x14ac:dyDescent="0.15">
      <c r="A288" s="4" t="s">
        <v>533</v>
      </c>
      <c r="B288" s="4" t="s">
        <v>552</v>
      </c>
      <c r="C288" s="4" t="s">
        <v>11</v>
      </c>
    </row>
    <row r="289" spans="1:3" ht="15.75" customHeight="1" x14ac:dyDescent="0.15">
      <c r="A289" s="4" t="s">
        <v>553</v>
      </c>
      <c r="B289" s="4" t="s">
        <v>4</v>
      </c>
      <c r="C289" s="4" t="s">
        <v>5</v>
      </c>
    </row>
    <row r="290" spans="1:3" ht="15.75" customHeight="1" x14ac:dyDescent="0.15">
      <c r="A290" s="4" t="s">
        <v>554</v>
      </c>
      <c r="B290" s="4" t="s">
        <v>555</v>
      </c>
      <c r="C290" s="4" t="s">
        <v>8</v>
      </c>
    </row>
    <row r="291" spans="1:3" ht="15.75" customHeight="1" x14ac:dyDescent="0.15">
      <c r="A291" s="4" t="s">
        <v>556</v>
      </c>
      <c r="B291" s="4" t="s">
        <v>557</v>
      </c>
      <c r="C291" s="4" t="s">
        <v>11</v>
      </c>
    </row>
    <row r="292" spans="1:3" ht="15.75" customHeight="1" x14ac:dyDescent="0.15">
      <c r="A292" s="4" t="s">
        <v>558</v>
      </c>
      <c r="B292" s="4" t="s">
        <v>559</v>
      </c>
      <c r="C292" s="4" t="s">
        <v>8</v>
      </c>
    </row>
    <row r="293" spans="1:3" ht="15.75" customHeight="1" x14ac:dyDescent="0.15">
      <c r="A293" s="4" t="s">
        <v>560</v>
      </c>
      <c r="B293" s="4" t="s">
        <v>561</v>
      </c>
      <c r="C293" s="4" t="s">
        <v>11</v>
      </c>
    </row>
    <row r="294" spans="1:3" ht="15.75" customHeight="1" x14ac:dyDescent="0.15">
      <c r="A294" s="7" t="s">
        <v>562</v>
      </c>
      <c r="B294" s="4" t="s">
        <v>563</v>
      </c>
      <c r="C294" s="4" t="s">
        <v>8</v>
      </c>
    </row>
    <row r="295" spans="1:3" ht="15.75" customHeight="1" x14ac:dyDescent="0.15">
      <c r="A295" s="4" t="s">
        <v>564</v>
      </c>
      <c r="B295" s="4" t="s">
        <v>565</v>
      </c>
      <c r="C295" s="5"/>
    </row>
    <row r="296" spans="1:3" ht="15.75" customHeight="1" x14ac:dyDescent="0.15">
      <c r="A296" s="4" t="s">
        <v>566</v>
      </c>
      <c r="B296" s="4" t="s">
        <v>567</v>
      </c>
      <c r="C296" s="5" t="s">
        <v>11</v>
      </c>
    </row>
    <row r="297" spans="1:3" ht="15.75" customHeight="1" x14ac:dyDescent="0.15">
      <c r="A297" s="8" t="s">
        <v>568</v>
      </c>
      <c r="B297" s="9" t="s">
        <v>569</v>
      </c>
      <c r="C297" s="5" t="s">
        <v>8</v>
      </c>
    </row>
    <row r="298" spans="1:3" ht="15.75" customHeight="1" x14ac:dyDescent="0.15">
      <c r="A298" s="4" t="s">
        <v>570</v>
      </c>
      <c r="B298" s="4" t="s">
        <v>571</v>
      </c>
      <c r="C298" s="5"/>
    </row>
    <row r="299" spans="1:3" ht="15.75" customHeight="1" x14ac:dyDescent="0.15">
      <c r="A299" s="4" t="s">
        <v>572</v>
      </c>
      <c r="B299" s="4" t="s">
        <v>573</v>
      </c>
      <c r="C299" s="4" t="s">
        <v>11</v>
      </c>
    </row>
    <row r="300" spans="1:3" ht="15.75" customHeight="1" x14ac:dyDescent="0.15">
      <c r="A300" s="4" t="s">
        <v>574</v>
      </c>
      <c r="B300" s="4" t="s">
        <v>4</v>
      </c>
      <c r="C300" s="4" t="s">
        <v>5</v>
      </c>
    </row>
    <row r="301" spans="1:3" ht="15.75" customHeight="1" x14ac:dyDescent="0.15">
      <c r="A301" s="4" t="s">
        <v>575</v>
      </c>
      <c r="B301" s="4" t="s">
        <v>576</v>
      </c>
      <c r="C301" s="4" t="s">
        <v>8</v>
      </c>
    </row>
    <row r="302" spans="1:3" ht="15.75" customHeight="1" x14ac:dyDescent="0.15">
      <c r="A302" s="7" t="s">
        <v>577</v>
      </c>
      <c r="B302" s="4" t="s">
        <v>578</v>
      </c>
      <c r="C302" s="5"/>
    </row>
    <row r="303" spans="1:3" ht="15.75" customHeight="1" x14ac:dyDescent="0.15">
      <c r="A303" s="4" t="s">
        <v>579</v>
      </c>
      <c r="B303" s="4" t="s">
        <v>580</v>
      </c>
      <c r="C303" s="4" t="s">
        <v>11</v>
      </c>
    </row>
    <row r="304" spans="1:3" ht="15.75" customHeight="1" x14ac:dyDescent="0.15">
      <c r="A304" s="4" t="s">
        <v>581</v>
      </c>
      <c r="B304" s="4" t="s">
        <v>582</v>
      </c>
      <c r="C304" s="4" t="s">
        <v>8</v>
      </c>
    </row>
    <row r="305" spans="1:3" ht="15.75" customHeight="1" x14ac:dyDescent="0.15">
      <c r="A305" s="4" t="s">
        <v>583</v>
      </c>
      <c r="B305" s="4" t="s">
        <v>584</v>
      </c>
      <c r="C305" s="4" t="s">
        <v>11</v>
      </c>
    </row>
    <row r="306" spans="1:3" ht="15.75" customHeight="1" x14ac:dyDescent="0.15">
      <c r="A306" s="4" t="s">
        <v>585</v>
      </c>
      <c r="B306" s="4" t="s">
        <v>586</v>
      </c>
      <c r="C306" s="4" t="s">
        <v>8</v>
      </c>
    </row>
    <row r="307" spans="1:3" ht="15.75" customHeight="1" x14ac:dyDescent="0.15">
      <c r="A307" s="4" t="s">
        <v>587</v>
      </c>
      <c r="B307" s="4" t="s">
        <v>588</v>
      </c>
      <c r="C307" s="4" t="s">
        <v>11</v>
      </c>
    </row>
    <row r="308" spans="1:3" ht="15.75" customHeight="1" x14ac:dyDescent="0.15">
      <c r="A308" s="4" t="s">
        <v>589</v>
      </c>
      <c r="B308" s="4" t="s">
        <v>590</v>
      </c>
      <c r="C308" s="4" t="s">
        <v>8</v>
      </c>
    </row>
    <row r="309" spans="1:3" ht="15.75" customHeight="1" x14ac:dyDescent="0.15">
      <c r="A309" s="4" t="s">
        <v>591</v>
      </c>
      <c r="B309" s="4" t="s">
        <v>592</v>
      </c>
      <c r="C309" s="4" t="s">
        <v>11</v>
      </c>
    </row>
    <row r="310" spans="1:3" ht="15.75" customHeight="1" x14ac:dyDescent="0.15">
      <c r="A310" s="4" t="s">
        <v>593</v>
      </c>
      <c r="B310" s="4" t="s">
        <v>4</v>
      </c>
      <c r="C310" s="4" t="s">
        <v>5</v>
      </c>
    </row>
    <row r="311" spans="1:3" ht="15.75" customHeight="1" x14ac:dyDescent="0.15">
      <c r="A311" s="4" t="s">
        <v>594</v>
      </c>
      <c r="B311" s="4" t="s">
        <v>595</v>
      </c>
      <c r="C311" s="4" t="s">
        <v>5</v>
      </c>
    </row>
    <row r="312" spans="1:3" ht="15.75" customHeight="1" x14ac:dyDescent="0.15">
      <c r="A312" s="4" t="s">
        <v>596</v>
      </c>
      <c r="B312" s="4" t="s">
        <v>597</v>
      </c>
      <c r="C312" s="4" t="s">
        <v>8</v>
      </c>
    </row>
    <row r="313" spans="1:3" ht="15.75" customHeight="1" x14ac:dyDescent="0.15">
      <c r="A313" s="4" t="s">
        <v>598</v>
      </c>
      <c r="B313" s="4" t="s">
        <v>599</v>
      </c>
      <c r="C313" s="4" t="s">
        <v>11</v>
      </c>
    </row>
    <row r="314" spans="1:3" ht="15.75" customHeight="1" x14ac:dyDescent="0.15">
      <c r="A314" s="4" t="s">
        <v>600</v>
      </c>
      <c r="B314" s="4" t="s">
        <v>601</v>
      </c>
      <c r="C314" s="4" t="s">
        <v>8</v>
      </c>
    </row>
    <row r="315" spans="1:3" ht="15.75" customHeight="1" x14ac:dyDescent="0.15">
      <c r="A315" s="4" t="s">
        <v>602</v>
      </c>
      <c r="B315" s="4" t="s">
        <v>603</v>
      </c>
      <c r="C315" s="5"/>
    </row>
    <row r="316" spans="1:3" ht="15.75" customHeight="1" x14ac:dyDescent="0.15">
      <c r="A316" s="7" t="s">
        <v>604</v>
      </c>
      <c r="B316" s="4" t="s">
        <v>605</v>
      </c>
      <c r="C316" s="4" t="s">
        <v>11</v>
      </c>
    </row>
    <row r="317" spans="1:3" ht="15.75" customHeight="1" x14ac:dyDescent="0.15">
      <c r="A317" s="4" t="s">
        <v>606</v>
      </c>
      <c r="B317" s="4" t="s">
        <v>4</v>
      </c>
      <c r="C317" s="4" t="s">
        <v>5</v>
      </c>
    </row>
    <row r="318" spans="1:3" ht="15.75" customHeight="1" x14ac:dyDescent="0.15">
      <c r="A318" s="4" t="s">
        <v>607</v>
      </c>
      <c r="B318" s="4" t="s">
        <v>608</v>
      </c>
      <c r="C318" s="4" t="s">
        <v>5</v>
      </c>
    </row>
    <row r="319" spans="1:3" ht="15.75" customHeight="1" x14ac:dyDescent="0.15">
      <c r="A319" s="4" t="s">
        <v>609</v>
      </c>
      <c r="B319" s="4" t="s">
        <v>610</v>
      </c>
      <c r="C319" s="4" t="s">
        <v>8</v>
      </c>
    </row>
    <row r="320" spans="1:3" ht="15.75" customHeight="1" x14ac:dyDescent="0.15">
      <c r="A320" s="4" t="s">
        <v>611</v>
      </c>
      <c r="B320" s="4" t="s">
        <v>612</v>
      </c>
      <c r="C320" s="4" t="s">
        <v>11</v>
      </c>
    </row>
    <row r="321" spans="1:3" ht="15.75" customHeight="1" x14ac:dyDescent="0.15">
      <c r="A321" s="4" t="s">
        <v>613</v>
      </c>
      <c r="B321" s="4" t="s">
        <v>614</v>
      </c>
      <c r="C321" s="4" t="s">
        <v>8</v>
      </c>
    </row>
    <row r="322" spans="1:3" ht="15.75" customHeight="1" x14ac:dyDescent="0.15">
      <c r="A322" s="4" t="s">
        <v>615</v>
      </c>
      <c r="B322" s="4" t="s">
        <v>616</v>
      </c>
      <c r="C322" s="4" t="s">
        <v>11</v>
      </c>
    </row>
    <row r="323" spans="1:3" ht="15.75" customHeight="1" x14ac:dyDescent="0.15">
      <c r="A323" s="4" t="s">
        <v>617</v>
      </c>
      <c r="B323" s="4" t="s">
        <v>618</v>
      </c>
      <c r="C323" s="4" t="s">
        <v>5</v>
      </c>
    </row>
    <row r="324" spans="1:3" ht="15.75" customHeight="1" x14ac:dyDescent="0.15">
      <c r="A324" s="10"/>
      <c r="B324" s="11"/>
      <c r="C324" s="11"/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323"/>
  <sheetViews>
    <sheetView workbookViewId="0"/>
  </sheetViews>
  <sheetFormatPr baseColWidth="10" defaultColWidth="12.6640625" defaultRowHeight="15.75" customHeight="1" x14ac:dyDescent="0.15"/>
  <cols>
    <col min="1" max="1" width="76.33203125" customWidth="1"/>
    <col min="2" max="2" width="44.1640625" customWidth="1"/>
  </cols>
  <sheetData>
    <row r="1" spans="1:2" ht="15.75" customHeight="1" x14ac:dyDescent="0.15">
      <c r="A1" s="12" t="str">
        <f ca="1">IFERROR(__xludf.DUMMYFUNCTION("FILTER(if('合盤Data'!B1:B815=""內容"",if(LEFT('合盤Data'!C1:C815,1)=""s"",""&lt;div id=""""topics""""&gt;"","""")&amp;""&lt;label for=""""nameInput""""&gt;""&amp;'合盤Data'!A1:A815&amp;""&lt;/label&gt;""&amp;if(RIGHT('合盤Data'!C1:C815,1)=""e"",""&lt;/div&gt;"",""""),if(LEFT('合盤Data'!C1:C815,1)=""s"",""&lt;"&amp;"div id=""""topics""""&gt;"","""")&amp;""&lt;button class=""""topic"""" onclick=""""showResult('""&amp;ROW('合盤Data'!A1:A815)&amp;""')""""&gt;""&amp;'合盤Data'!A1:A815&amp;""&lt;/button&gt;""&amp;if(RIGHT('合盤Data'!C1:C815,1)=""e"",""&lt;/div&gt;"","""")),'合盤Data'!A1:A815&lt;&gt;"""")"),"&lt;div id=""topics""&gt;&lt;label for=""nameInput""&gt;緣份&lt;/label&gt;&lt;/div&gt;")</f>
        <v>&lt;div id="topics"&gt;&lt;label for="nameInput"&gt;緣份&lt;/label&gt;&lt;/div&gt;</v>
      </c>
      <c r="B1" s="13" t="str">
        <f ca="1">IFERROR(__xludf.DUMMYFUNCTION("""if(topic &gt;= ""&amp;FILTER(ROW('合盤Data'!A1:A815),'合盤Data'!A1:A815=""緣份"")&amp;"" &amp;&amp; topic &lt; ""&amp;FILTER(ROW('合盤Data'!A1:A815),'合盤Data'!A1:A815=""關係"")&amp;""){var id ='result'}else if(topic &gt;= ""&amp;FILTER(ROW('合盤Data'!A1:A815),'合盤Data'!A1:A815=""關係"")&amp;"" &amp;&amp; topic &lt; ""&amp;F"&amp;"ILTER(ROW('合盤Data'!A1:A815),'合盤Data'!A1:A815=""合盤"")&amp;""){var id ='result2'}else if(topic &gt;= ""&amp;FILTER(ROW('合盤Data'!A1:A815),'合盤Data'!A1:A815=""合盤"")&amp;"" &amp;&amp; topic &lt; ""&amp;FILTER(ROW('合盤Data'!A1:A815),'合盤Data'!A1:A815=""攻略"")&amp;""){var id ='result3'}else if(topic"&amp;" &gt;= ""&amp;FILTER(ROW('合盤Data'!A1:A815),'合盤Data'!A1:A815=""攻略"")&amp;"" &amp;&amp; topic &lt; ""&amp;FILTER(ROW('合盤Data'!A1:A815),'合盤Data'!A1:A815=""情絲（你）"")&amp;""){var id ='result4'}else if(topic &gt;= ""&amp;FILTER(ROW('合盤Data'!A1:A815),'合盤Data'!A1:A815=""情絲（你）"")&amp;"" &amp;&amp; topic &lt; ""&amp;FILT"&amp;"ER(ROW('合盤Data'!A1:A815),'合盤Data'!A1:A815=""快速總結（第一：緣份）"")&amp;""){var id ='result5'}else if(topic &gt;= ""&amp;FILTER(ROW('合盤Data'!A1:A815),'合盤Data'!A1:A815=""快速總結（第一：緣份）"")&amp;""){var id ='result6'}"""),"if(topic &gt;= 1 &amp;&amp; topic &lt; 64){var id ='result'}else if(topic &gt;= 64 &amp;&amp; topic &lt; 84){var id ='result2'}else if(topic &gt;= 84 &amp;&amp; topic &lt; 232){var id ='result3'}else if(topic &gt;= 232 &amp;&amp; topic &lt; 243){var id ='result4'}else if(topic &gt;= 243 &amp;&amp; topic &lt; 289){var id ='r"&amp;"esult5'}else if(topic &gt;= 289){var id ='result6'}")</f>
        <v>if(topic &gt;= 1 &amp;&amp; topic &lt; 64){var id ='result'}else if(topic &gt;= 64 &amp;&amp; topic &lt; 84){var id ='result2'}else if(topic &gt;= 84 &amp;&amp; topic &lt; 232){var id ='result3'}else if(topic &gt;= 232 &amp;&amp; topic &lt; 243){var id ='result4'}else if(topic &gt;= 243 &amp;&amp; topic &lt; 289){var id ='result5'}else if(topic &gt;= 289){var id ='result6'}</v>
      </c>
    </row>
    <row r="2" spans="1:2" ht="15.75" customHeight="1" x14ac:dyDescent="0.15">
      <c r="A2" s="12" t="str">
        <f ca="1">IFERROR(__xludf.DUMMYFUNCTION("""COMPUTED_VALUE"""),"&lt;div id=""topics""&gt;&lt;button class=""topic"" onclick=""showResult('2')""&gt;你只是來報恩的姻緣&lt;/button&gt;")</f>
        <v>&lt;div id="topics"&gt;&lt;button class="topic" onclick="showResult('2')"&gt;你只是來報恩的姻緣&lt;/button&gt;</v>
      </c>
      <c r="B2" s="13"/>
    </row>
    <row r="3" spans="1:2" ht="15.75" customHeight="1" x14ac:dyDescent="0.15">
      <c r="A3" s="12" t="str">
        <f ca="1">IFERROR(__xludf.DUMMYFUNCTION("""COMPUTED_VALUE"""),"&lt;button class=""topic"" onclick=""showResult('3')""&gt;他只是來報恩的姻緣&lt;/button&gt;&lt;/div&gt;")</f>
        <v>&lt;button class="topic" onclick="showResult('3')"&gt;他只是來報恩的姻緣&lt;/button&gt;&lt;/div&gt;</v>
      </c>
      <c r="B3" s="13"/>
    </row>
    <row r="4" spans="1:2" ht="15.75" customHeight="1" x14ac:dyDescent="0.15">
      <c r="A4" s="12" t="str">
        <f ca="1">IFERROR(__xludf.DUMMYFUNCTION("""COMPUTED_VALUE"""),"&lt;div id=""topics""&gt;&lt;button class=""topic"" onclick=""showResult('4')""&gt;你命中要找的「人」&lt;/button&gt;")</f>
        <v>&lt;div id="topics"&gt;&lt;button class="topic" onclick="showResult('4')"&gt;你命中要找的「人」&lt;/button&gt;</v>
      </c>
      <c r="B4" s="13"/>
    </row>
    <row r="5" spans="1:2" ht="15.75" customHeight="1" x14ac:dyDescent="0.15">
      <c r="A5" s="12" t="str">
        <f ca="1">IFERROR(__xludf.DUMMYFUNCTION("""COMPUTED_VALUE"""),"&lt;button class=""topic"" onclick=""showResult('5')""&gt;他命中要找的「人」&lt;/button&gt;")</f>
        <v>&lt;button class="topic" onclick="showResult('5')"&gt;他命中要找的「人」&lt;/button&gt;</v>
      </c>
      <c r="B5" s="13"/>
    </row>
    <row r="6" spans="1:2" ht="15.75" customHeight="1" x14ac:dyDescent="0.15">
      <c r="A6" s="12" t="str">
        <f ca="1">IFERROR(__xludf.DUMMYFUNCTION("""COMPUTED_VALUE"""),"&lt;button class=""topic"" onclick=""showResult('6')""&gt;你們命中要找的「人」&lt;/button&gt;&lt;/div&gt;")</f>
        <v>&lt;button class="topic" onclick="showResult('6')"&gt;你們命中要找的「人」&lt;/button&gt;&lt;/div&gt;</v>
      </c>
      <c r="B6" s="13"/>
    </row>
    <row r="7" spans="1:2" ht="15.75" customHeight="1" x14ac:dyDescent="0.15">
      <c r="A7" s="12" t="str">
        <f ca="1">IFERROR(__xludf.DUMMYFUNCTION("""COMPUTED_VALUE"""),"&lt;div id=""topics""&gt;&lt;button class=""topic"" onclick=""showResult('7')""&gt;0%沒有緣份&lt;/button&gt;")</f>
        <v>&lt;div id="topics"&gt;&lt;button class="topic" onclick="showResult('7')"&gt;0%沒有緣份&lt;/button&gt;</v>
      </c>
      <c r="B7" s="13"/>
    </row>
    <row r="8" spans="1:2" ht="15.75" customHeight="1" x14ac:dyDescent="0.15">
      <c r="A8" s="12" t="str">
        <f ca="1">IFERROR(__xludf.DUMMYFUNCTION("""COMPUTED_VALUE"""),"&lt;button class=""topic"" onclick=""showResult('8')""&gt;30%少緣份&lt;/button&gt;")</f>
        <v>&lt;button class="topic" onclick="showResult('8')"&gt;30%少緣份&lt;/button&gt;</v>
      </c>
      <c r="B8" s="13"/>
    </row>
    <row r="9" spans="1:2" ht="15.75" customHeight="1" x14ac:dyDescent="0.15">
      <c r="A9" s="12" t="str">
        <f ca="1">IFERROR(__xludf.DUMMYFUNCTION("""COMPUTED_VALUE"""),"&lt;button class=""topic"" onclick=""showResult('9')""&gt;30%曖昧&lt;/button&gt;&lt;/div&gt;")</f>
        <v>&lt;button class="topic" onclick="showResult('9')"&gt;30%曖昧&lt;/button&gt;&lt;/div&gt;</v>
      </c>
      <c r="B9" s="13"/>
    </row>
    <row r="10" spans="1:2" ht="15.75" customHeight="1" x14ac:dyDescent="0.15">
      <c r="A10" s="12" t="str">
        <f ca="1">IFERROR(__xludf.DUMMYFUNCTION("""COMPUTED_VALUE"""),"&lt;div id=""topics""&gt;&lt;button class=""topic"" onclick=""showResult('10')""&gt;50%他喜歡你多一些&lt;/button&gt;")</f>
        <v>&lt;div id="topics"&gt;&lt;button class="topic" onclick="showResult('10')"&gt;50%他喜歡你多一些&lt;/button&gt;</v>
      </c>
      <c r="B10" s="13"/>
    </row>
    <row r="11" spans="1:2" ht="15.75" customHeight="1" x14ac:dyDescent="0.15">
      <c r="A11" s="12" t="str">
        <f ca="1">IFERROR(__xludf.DUMMYFUNCTION("""COMPUTED_VALUE"""),"&lt;button class=""topic"" onclick=""showResult('11')""&gt;50%你喜歡他多一些&lt;/button&gt;&lt;/div&gt;")</f>
        <v>&lt;button class="topic" onclick="showResult('11')"&gt;50%你喜歡他多一些&lt;/button&gt;&lt;/div&gt;</v>
      </c>
    </row>
    <row r="12" spans="1:2" ht="15.75" customHeight="1" x14ac:dyDescent="0.15">
      <c r="A12" s="12" t="str">
        <f ca="1">IFERROR(__xludf.DUMMYFUNCTION("""COMPUTED_VALUE"""),"&lt;div id=""topics""&gt;&lt;button class=""topic"" onclick=""showResult('12')""&gt;60%不能長相廝守&lt;/button&gt;")</f>
        <v>&lt;div id="topics"&gt;&lt;button class="topic" onclick="showResult('12')"&gt;60%不能長相廝守&lt;/button&gt;</v>
      </c>
    </row>
    <row r="13" spans="1:2" ht="15.75" customHeight="1" x14ac:dyDescent="0.15">
      <c r="A13" s="12" t="str">
        <f ca="1">IFERROR(__xludf.DUMMYFUNCTION("""COMPUTED_VALUE"""),"&lt;button class=""topic"" onclick=""showResult('13')""&gt;70%斷不開的組合&lt;/button&gt;&lt;/div&gt;")</f>
        <v>&lt;button class="topic" onclick="showResult('13')"&gt;70%斷不開的組合&lt;/button&gt;&lt;/div&gt;</v>
      </c>
    </row>
    <row r="14" spans="1:2" ht="15.75" customHeight="1" x14ac:dyDescent="0.15">
      <c r="A14" s="12" t="str">
        <f ca="1">IFERROR(__xludf.DUMMYFUNCTION("""COMPUTED_VALUE"""),"&lt;div id=""topics""&gt;&lt;button class=""topic"" onclick=""showResult('14')""&gt;90%互相喜歡&lt;/button&gt;")</f>
        <v>&lt;div id="topics"&gt;&lt;button class="topic" onclick="showResult('14')"&gt;90%互相喜歡&lt;/button&gt;</v>
      </c>
    </row>
    <row r="15" spans="1:2" ht="15.75" customHeight="1" x14ac:dyDescent="0.15">
      <c r="A15" s="12" t="str">
        <f ca="1">IFERROR(__xludf.DUMMYFUNCTION("""COMPUTED_VALUE"""),"&lt;button class=""topic"" onclick=""showResult('15')""&gt;曖昧不夠緣份&lt;/button&gt;")</f>
        <v>&lt;button class="topic" onclick="showResult('15')"&gt;曖昧不夠緣份&lt;/button&gt;</v>
      </c>
    </row>
    <row r="16" spans="1:2" ht="15.75" customHeight="1" x14ac:dyDescent="0.15">
      <c r="A16" s="12" t="str">
        <f ca="1">IFERROR(__xludf.DUMMYFUNCTION("""COMPUTED_VALUE"""),"&lt;button class=""topic"" onclick=""showResult('16')""&gt;你一見鐘情&lt;/button&gt;&lt;/div&gt;")</f>
        <v>&lt;button class="topic" onclick="showResult('16')"&gt;你一見鐘情&lt;/button&gt;&lt;/div&gt;</v>
      </c>
    </row>
    <row r="17" spans="1:1" ht="15.75" customHeight="1" x14ac:dyDescent="0.15">
      <c r="A17" s="12" t="str">
        <f ca="1">IFERROR(__xludf.DUMMYFUNCTION("""COMPUTED_VALUE"""),"&lt;div id=""topics""&gt;&lt;button class=""topic"" onclick=""showResult('17')""&gt;他不一見鐘情&lt;/button&gt;")</f>
        <v>&lt;div id="topics"&gt;&lt;button class="topic" onclick="showResult('17')"&gt;他不一見鐘情&lt;/button&gt;</v>
      </c>
    </row>
    <row r="18" spans="1:1" ht="15.75" customHeight="1" x14ac:dyDescent="0.15">
      <c r="A18" s="12" t="str">
        <f ca="1">IFERROR(__xludf.DUMMYFUNCTION("""COMPUTED_VALUE"""),"&lt;button class=""topic"" onclick=""showResult('18')""&gt;你不一見鐘情&lt;/button&gt;")</f>
        <v>&lt;button class="topic" onclick="showResult('18')"&gt;你不一見鐘情&lt;/button&gt;</v>
      </c>
    </row>
    <row r="19" spans="1:1" ht="15.75" customHeight="1" x14ac:dyDescent="0.15">
      <c r="A19" s="12" t="str">
        <f ca="1">IFERROR(__xludf.DUMMYFUNCTION("""COMPUTED_VALUE"""),"&lt;button class=""topic"" onclick=""showResult('19')""&gt;命盤很像&lt;/button&gt;&lt;/div&gt;")</f>
        <v>&lt;button class="topic" onclick="showResult('19')"&gt;命盤很像&lt;/button&gt;&lt;/div&gt;</v>
      </c>
    </row>
    <row r="20" spans="1:1" ht="15.75" customHeight="1" x14ac:dyDescent="0.15">
      <c r="A20" s="12" t="str">
        <f ca="1">IFERROR(__xludf.DUMMYFUNCTION("""COMPUTED_VALUE"""),"&lt;div id=""topics""&gt;&lt;button class=""topic"" onclick=""showResult('20')""&gt;為何不想再跟你復合？&lt;/button&gt;")</f>
        <v>&lt;div id="topics"&gt;&lt;button class="topic" onclick="showResult('20')"&gt;為何不想再跟你復合？&lt;/button&gt;</v>
      </c>
    </row>
    <row r="21" spans="1:1" ht="15.75" customHeight="1" x14ac:dyDescent="0.15">
      <c r="A21" s="12" t="str">
        <f ca="1">IFERROR(__xludf.DUMMYFUNCTION("""COMPUTED_VALUE"""),"&lt;button class=""topic"" onclick=""showResult('21')""&gt;為何他會跟你分分合合？&lt;/button&gt;&lt;/div&gt;")</f>
        <v>&lt;button class="topic" onclick="showResult('21')"&gt;為何他會跟你分分合合？&lt;/button&gt;&lt;/div&gt;</v>
      </c>
    </row>
    <row r="22" spans="1:1" ht="15.75" customHeight="1" x14ac:dyDescent="0.15">
      <c r="A22" s="12" t="str">
        <f ca="1">IFERROR(__xludf.DUMMYFUNCTION("""COMPUTED_VALUE"""),"&lt;div id=""topics""&gt;&lt;label for=""nameInput""&gt;陰陽 天干&lt;/label&gt;&lt;/div&gt;")</f>
        <v>&lt;div id="topics"&gt;&lt;label for="nameInput"&gt;陰陽 天干&lt;/label&gt;&lt;/div&gt;</v>
      </c>
    </row>
    <row r="23" spans="1:1" ht="15.75" customHeight="1" x14ac:dyDescent="0.15">
      <c r="A23" s="12" t="str">
        <f ca="1">IFERROR(__xludf.DUMMYFUNCTION("""COMPUTED_VALUE"""),"&lt;div id=""topics""&gt;&lt;button class=""topic"" onclick=""showResult('23')""&gt;陽陽&lt;/button&gt;")</f>
        <v>&lt;div id="topics"&gt;&lt;button class="topic" onclick="showResult('23')"&gt;陽陽&lt;/button&gt;</v>
      </c>
    </row>
    <row r="24" spans="1:1" ht="15.75" customHeight="1" x14ac:dyDescent="0.15">
      <c r="A24" s="12" t="str">
        <f ca="1">IFERROR(__xludf.DUMMYFUNCTION("""COMPUTED_VALUE"""),"&lt;button class=""topic"" onclick=""showResult('24')""&gt;陰陰&lt;/button&gt;")</f>
        <v>&lt;button class="topic" onclick="showResult('24')"&gt;陰陰&lt;/button&gt;</v>
      </c>
    </row>
    <row r="25" spans="1:1" ht="15.75" customHeight="1" x14ac:dyDescent="0.15">
      <c r="A25" s="12" t="str">
        <f ca="1">IFERROR(__xludf.DUMMYFUNCTION("""COMPUTED_VALUE"""),"&lt;button class=""topic"" onclick=""showResult('25')""&gt;女陽男陰&lt;/button&gt;&lt;/div&gt;")</f>
        <v>&lt;button class="topic" onclick="showResult('25')"&gt;女陽男陰&lt;/button&gt;&lt;/div&gt;</v>
      </c>
    </row>
    <row r="26" spans="1:1" ht="15.75" customHeight="1" x14ac:dyDescent="0.15">
      <c r="A26" s="12" t="str">
        <f ca="1">IFERROR(__xludf.DUMMYFUNCTION("""COMPUTED_VALUE"""),"&lt;div id=""topics""&gt;&lt;label for=""nameInput""&gt;流年（比劫、印P、財）&lt;/label&gt;&lt;/div&gt;")</f>
        <v>&lt;div id="topics"&gt;&lt;label for="nameInput"&gt;流年（比劫、印P、財）&lt;/label&gt;&lt;/div&gt;</v>
      </c>
    </row>
    <row r="27" spans="1:1" ht="15.75" customHeight="1" x14ac:dyDescent="0.15">
      <c r="A27" s="12" t="str">
        <f ca="1">IFERROR(__xludf.DUMMYFUNCTION("""COMPUTED_VALUE"""),"&lt;div id=""topics""&gt;&lt;button class=""topic"" onclick=""showResult('27')""&gt;你走比劫&lt;/button&gt;")</f>
        <v>&lt;div id="topics"&gt;&lt;button class="topic" onclick="showResult('27')"&gt;你走比劫&lt;/button&gt;</v>
      </c>
    </row>
    <row r="28" spans="1:1" ht="15.75" customHeight="1" x14ac:dyDescent="0.15">
      <c r="A28" s="12" t="str">
        <f ca="1">IFERROR(__xludf.DUMMYFUNCTION("""COMPUTED_VALUE"""),"&lt;button class=""topic"" onclick=""showResult('28')""&gt;他走比劫&lt;/button&gt;")</f>
        <v>&lt;button class="topic" onclick="showResult('28')"&gt;他走比劫&lt;/button&gt;</v>
      </c>
    </row>
    <row r="29" spans="1:1" ht="15.75" customHeight="1" x14ac:dyDescent="0.15">
      <c r="A29" s="12" t="str">
        <f ca="1">IFERROR(__xludf.DUMMYFUNCTION("""COMPUTED_VALUE"""),"&lt;button class=""topic"" onclick=""showResult('29')""&gt;你們比劫&lt;/button&gt;&lt;/div&gt;")</f>
        <v>&lt;button class="topic" onclick="showResult('29')"&gt;你們比劫&lt;/button&gt;&lt;/div&gt;</v>
      </c>
    </row>
    <row r="30" spans="1:1" ht="15.75" customHeight="1" x14ac:dyDescent="0.15">
      <c r="A30" s="12" t="str">
        <f ca="1">IFERROR(__xludf.DUMMYFUNCTION("""COMPUTED_VALUE"""),"&lt;div id=""topics""&gt;&lt;button class=""topic"" onclick=""showResult('30')""&gt;他走P&lt;/button&gt;")</f>
        <v>&lt;div id="topics"&gt;&lt;button class="topic" onclick="showResult('30')"&gt;他走P&lt;/button&gt;</v>
      </c>
    </row>
    <row r="31" spans="1:1" ht="15.75" customHeight="1" x14ac:dyDescent="0.15">
      <c r="A31" s="12" t="str">
        <f ca="1">IFERROR(__xludf.DUMMYFUNCTION("""COMPUTED_VALUE"""),"&lt;button class=""topic"" onclick=""showResult('31')""&gt;他走梟印奪食&lt;/button&gt;&lt;/div&gt;")</f>
        <v>&lt;button class="topic" onclick="showResult('31')"&gt;他走梟印奪食&lt;/button&gt;&lt;/div&gt;</v>
      </c>
    </row>
    <row r="32" spans="1:1" ht="15.75" customHeight="1" x14ac:dyDescent="0.15">
      <c r="A32" s="12" t="str">
        <f ca="1">IFERROR(__xludf.DUMMYFUNCTION("""COMPUTED_VALUE"""),"&lt;div id=""topics""&gt;&lt;button class=""topic"" onclick=""showResult('32')""&gt;你走P&lt;/button&gt;")</f>
        <v>&lt;div id="topics"&gt;&lt;button class="topic" onclick="showResult('32')"&gt;你走P&lt;/button&gt;</v>
      </c>
    </row>
    <row r="33" spans="1:1" ht="15.75" customHeight="1" x14ac:dyDescent="0.15">
      <c r="A33" s="12" t="str">
        <f ca="1">IFERROR(__xludf.DUMMYFUNCTION("""COMPUTED_VALUE"""),"&lt;button class=""topic"" onclick=""showResult('33')""&gt;你走梟印奪食&lt;/button&gt;&lt;/div&gt;")</f>
        <v>&lt;button class="topic" onclick="showResult('33')"&gt;你走梟印奪食&lt;/button&gt;&lt;/div&gt;</v>
      </c>
    </row>
    <row r="34" spans="1:1" ht="15.75" customHeight="1" x14ac:dyDescent="0.15">
      <c r="A34" s="12" t="str">
        <f ca="1">IFERROR(__xludf.DUMMYFUNCTION("""COMPUTED_VALUE"""),"&lt;div id=""topics""&gt;&lt;button class=""topic"" onclick=""showResult('34')""&gt;你身強走印&lt;/button&gt;")</f>
        <v>&lt;div id="topics"&gt;&lt;button class="topic" onclick="showResult('34')"&gt;你身強走印&lt;/button&gt;</v>
      </c>
    </row>
    <row r="35" spans="1:1" ht="15.75" customHeight="1" x14ac:dyDescent="0.15">
      <c r="A35" s="12" t="str">
        <f ca="1">IFERROR(__xludf.DUMMYFUNCTION("""COMPUTED_VALUE"""),"&lt;button class=""topic"" onclick=""showResult('35')""&gt;他走印&lt;/button&gt;")</f>
        <v>&lt;button class="topic" onclick="showResult('35')"&gt;他走印&lt;/button&gt;</v>
      </c>
    </row>
    <row r="36" spans="1:1" ht="15.75" customHeight="1" x14ac:dyDescent="0.15">
      <c r="A36" s="12" t="str">
        <f ca="1">IFERROR(__xludf.DUMMYFUNCTION("""COMPUTED_VALUE"""),"&lt;button class=""topic"" onclick=""showResult('36')""&gt;你身弱走印&lt;/button&gt;&lt;/div&gt;")</f>
        <v>&lt;button class="topic" onclick="showResult('36')"&gt;你身弱走印&lt;/button&gt;&lt;/div&gt;</v>
      </c>
    </row>
    <row r="37" spans="1:1" ht="15.75" customHeight="1" x14ac:dyDescent="0.15">
      <c r="A37" s="12" t="str">
        <f ca="1">IFERROR(__xludf.DUMMYFUNCTION("""COMPUTED_VALUE"""),"&lt;div id=""topics""&gt;&lt;button class=""topic"" onclick=""showResult('37')""&gt;配偶走財&lt;/button&gt;")</f>
        <v>&lt;div id="topics"&gt;&lt;button class="topic" onclick="showResult('37')"&gt;配偶走財&lt;/button&gt;</v>
      </c>
    </row>
    <row r="38" spans="1:1" ht="15.75" customHeight="1" x14ac:dyDescent="0.15">
      <c r="A38" s="12" t="str">
        <f ca="1">IFERROR(__xludf.DUMMYFUNCTION("""COMPUTED_VALUE"""),"&lt;button class=""topic"" onclick=""showResult('38')""&gt;曖昧走財&lt;/button&gt;")</f>
        <v>&lt;button class="topic" onclick="showResult('38')"&gt;曖昧走財&lt;/button&gt;</v>
      </c>
    </row>
    <row r="39" spans="1:1" ht="15.75" customHeight="1" x14ac:dyDescent="0.15">
      <c r="A39" s="12" t="str">
        <f ca="1">IFERROR(__xludf.DUMMYFUNCTION("""COMPUTED_VALUE"""),"&lt;button class=""topic"" onclick=""showResult('39')""&gt;前任走財&lt;/button&gt;&lt;/div&gt;")</f>
        <v>&lt;button class="topic" onclick="showResult('39')"&gt;前任走財&lt;/button&gt;&lt;/div&gt;</v>
      </c>
    </row>
    <row r="40" spans="1:1" ht="15.75" customHeight="1" x14ac:dyDescent="0.15">
      <c r="A40" s="12" t="str">
        <f ca="1">IFERROR(__xludf.DUMMYFUNCTION("""COMPUTED_VALUE"""),"&lt;div id=""topics""&gt;&lt;button class=""topic"" onclick=""showResult('40')""&gt;小三走財&lt;/button&gt;")</f>
        <v>&lt;div id="topics"&gt;&lt;button class="topic" onclick="showResult('40')"&gt;小三走財&lt;/button&gt;</v>
      </c>
    </row>
    <row r="41" spans="1:1" ht="15.75" customHeight="1" x14ac:dyDescent="0.15">
      <c r="A41" s="12" t="str">
        <f ca="1">IFERROR(__xludf.DUMMYFUNCTION("""COMPUTED_VALUE"""),"&lt;button class=""topic"" onclick=""showResult('41')""&gt;走財關鍵&lt;/button&gt;")</f>
        <v>&lt;button class="topic" onclick="showResult('41')"&gt;走財關鍵&lt;/button&gt;</v>
      </c>
    </row>
    <row r="42" spans="1:1" ht="15.75" customHeight="1" x14ac:dyDescent="0.15">
      <c r="A42" s="12" t="str">
        <f ca="1">IFERROR(__xludf.DUMMYFUNCTION("""COMPUTED_VALUE"""),"&lt;button class=""topic"" onclick=""showResult('42')""&gt;你走財&lt;/button&gt;&lt;/div&gt;")</f>
        <v>&lt;button class="topic" onclick="showResult('42')"&gt;你走財&lt;/button&gt;&lt;/div&gt;</v>
      </c>
    </row>
    <row r="43" spans="1:1" ht="15.75" customHeight="1" x14ac:dyDescent="0.15">
      <c r="A43" s="12" t="str">
        <f ca="1">IFERROR(__xludf.DUMMYFUNCTION("""COMPUTED_VALUE"""),"&lt;div id=""topics""&gt;&lt;button class=""topic"" onclick=""showResult('43')""&gt;雙方注意爛桃花&lt;/button&gt;&lt;/div&gt;")</f>
        <v>&lt;div id="topics"&gt;&lt;button class="topic" onclick="showResult('43')"&gt;雙方注意爛桃花&lt;/button&gt;&lt;/div&gt;</v>
      </c>
    </row>
    <row r="44" spans="1:1" ht="15.75" customHeight="1" x14ac:dyDescent="0.15">
      <c r="A44" s="12" t="str">
        <f ca="1">IFERROR(__xludf.DUMMYFUNCTION("""COMPUTED_VALUE"""),"&lt;div id=""topics""&gt;&lt;label for=""nameInput""&gt;流年（官殺）&lt;/label&gt;&lt;/div&gt;")</f>
        <v>&lt;div id="topics"&gt;&lt;label for="nameInput"&gt;流年（官殺）&lt;/label&gt;&lt;/div&gt;</v>
      </c>
    </row>
    <row r="45" spans="1:1" ht="15.75" customHeight="1" x14ac:dyDescent="0.15">
      <c r="A45" s="12" t="str">
        <f ca="1">IFERROR(__xludf.DUMMYFUNCTION("""COMPUTED_VALUE"""),"&lt;div id=""topics""&gt;&lt;button class=""topic"" onclick=""showResult('45')""&gt;交往走正官&lt;/button&gt;")</f>
        <v>&lt;div id="topics"&gt;&lt;button class="topic" onclick="showResult('45')"&gt;交往走正官&lt;/button&gt;</v>
      </c>
    </row>
    <row r="46" spans="1:1" ht="15.75" customHeight="1" x14ac:dyDescent="0.15">
      <c r="A46" s="12" t="str">
        <f ca="1">IFERROR(__xludf.DUMMYFUNCTION("""COMPUTED_VALUE"""),"&lt;button class=""topic"" onclick=""showResult('46')""&gt;你重新審視愛情&lt;/button&gt;")</f>
        <v>&lt;button class="topic" onclick="showResult('46')"&gt;你重新審視愛情&lt;/button&gt;</v>
      </c>
    </row>
    <row r="47" spans="1:1" ht="15.75" customHeight="1" x14ac:dyDescent="0.15">
      <c r="A47" s="12" t="str">
        <f ca="1">IFERROR(__xludf.DUMMYFUNCTION("""COMPUTED_VALUE"""),"&lt;button class=""topic"" onclick=""showResult('47')""&gt;曖昧七殺&lt;/button&gt;&lt;/div&gt;")</f>
        <v>&lt;button class="topic" onclick="showResult('47')"&gt;曖昧七殺&lt;/button&gt;&lt;/div&gt;</v>
      </c>
    </row>
    <row r="48" spans="1:1" ht="15.75" customHeight="1" x14ac:dyDescent="0.15">
      <c r="A48" s="12" t="str">
        <f ca="1">IFERROR(__xludf.DUMMYFUNCTION("""COMPUTED_VALUE"""),"&lt;div id=""topics""&gt;&lt;button class=""topic"" onclick=""showResult('48')""&gt;分手走七殺&lt;/button&gt;")</f>
        <v>&lt;div id="topics"&gt;&lt;button class="topic" onclick="showResult('48')"&gt;分手走七殺&lt;/button&gt;</v>
      </c>
    </row>
    <row r="49" spans="1:1" ht="15.75" customHeight="1" x14ac:dyDescent="0.15">
      <c r="A49" s="12" t="str">
        <f ca="1">IFERROR(__xludf.DUMMYFUNCTION("""COMPUTED_VALUE"""),"&lt;button class=""topic"" onclick=""showResult('49')""&gt;出軌先殺後官&lt;/button&gt;")</f>
        <v>&lt;button class="topic" onclick="showResult('49')"&gt;出軌先殺後官&lt;/button&gt;</v>
      </c>
    </row>
    <row r="50" spans="1:1" ht="15.75" customHeight="1" x14ac:dyDescent="0.15">
      <c r="A50" s="12" t="str">
        <f ca="1">IFERROR(__xludf.DUMMYFUNCTION("""COMPUTED_VALUE"""),"&lt;button class=""topic"" onclick=""showResult('50')""&gt;曖昧先殺後官&lt;/button&gt;&lt;/div&gt;")</f>
        <v>&lt;button class="topic" onclick="showResult('50')"&gt;曖昧先殺後官&lt;/button&gt;&lt;/div&gt;</v>
      </c>
    </row>
    <row r="51" spans="1:1" ht="15.75" customHeight="1" x14ac:dyDescent="0.15">
      <c r="A51" s="12" t="str">
        <f ca="1">IFERROR(__xludf.DUMMYFUNCTION("""COMPUTED_VALUE"""),"&lt;div id=""topics""&gt;&lt;button class=""topic"" onclick=""showResult('51')""&gt;未婚走官&lt;/button&gt;")</f>
        <v>&lt;div id="topics"&gt;&lt;button class="topic" onclick="showResult('51')"&gt;未婚走官&lt;/button&gt;</v>
      </c>
    </row>
    <row r="52" spans="1:1" ht="15.75" customHeight="1" x14ac:dyDescent="0.15">
      <c r="A52" s="12" t="str">
        <f ca="1">IFERROR(__xludf.DUMMYFUNCTION("""COMPUTED_VALUE"""),"&lt;button class=""topic"" onclick=""showResult('52')""&gt;他傷官見官&lt;/button&gt;")</f>
        <v>&lt;button class="topic" onclick="showResult('52')"&gt;他傷官見官&lt;/button&gt;</v>
      </c>
    </row>
    <row r="53" spans="1:1" ht="15.75" customHeight="1" x14ac:dyDescent="0.15">
      <c r="A53" s="12" t="str">
        <f ca="1">IFERROR(__xludf.DUMMYFUNCTION("""COMPUTED_VALUE"""),"&lt;button class=""topic"" onclick=""showResult('53')""&gt;他走官&lt;/button&gt;")</f>
        <v>&lt;button class="topic" onclick="showResult('53')"&gt;他走官&lt;/button&gt;</v>
      </c>
    </row>
    <row r="54" spans="1:1" ht="15.75" customHeight="1" x14ac:dyDescent="0.15">
      <c r="A54" s="12" t="str">
        <f ca="1">IFERROR(__xludf.DUMMYFUNCTION("""COMPUTED_VALUE"""),"&lt;button class=""topic"" onclick=""showResult('54')""&gt;他走殺&lt;/button&gt;&lt;/div&gt;")</f>
        <v>&lt;button class="topic" onclick="showResult('54')"&gt;他走殺&lt;/button&gt;&lt;/div&gt;</v>
      </c>
    </row>
    <row r="55" spans="1:1" ht="15.75" customHeight="1" x14ac:dyDescent="0.15">
      <c r="A55" s="12" t="str">
        <f ca="1">IFERROR(__xludf.DUMMYFUNCTION("""COMPUTED_VALUE"""),"&lt;div id=""topics""&gt;&lt;label for=""nameInput""&gt;流年（食傷）&lt;/label&gt;&lt;/div&gt;")</f>
        <v>&lt;div id="topics"&gt;&lt;label for="nameInput"&gt;流年（食傷）&lt;/label&gt;&lt;/div&gt;</v>
      </c>
    </row>
    <row r="56" spans="1:1" ht="15.75" customHeight="1" x14ac:dyDescent="0.15">
      <c r="A56" s="12" t="str">
        <f ca="1">IFERROR(__xludf.DUMMYFUNCTION("""COMPUTED_VALUE"""),"&lt;div id=""topics""&gt;&lt;button class=""topic"" onclick=""showResult('56')""&gt;你走食傷&lt;/button&gt;")</f>
        <v>&lt;div id="topics"&gt;&lt;button class="topic" onclick="showResult('56')"&gt;你走食傷&lt;/button&gt;</v>
      </c>
    </row>
    <row r="57" spans="1:1" ht="15.75" customHeight="1" x14ac:dyDescent="0.15">
      <c r="A57" s="12" t="str">
        <f ca="1">IFERROR(__xludf.DUMMYFUNCTION("""COMPUTED_VALUE"""),"&lt;button class=""topic"" onclick=""showResult('57')""&gt;他走食傷&lt;/button&gt;&lt;/div&gt;")</f>
        <v>&lt;button class="topic" onclick="showResult('57')"&gt;他走食傷&lt;/button&gt;&lt;/div&gt;</v>
      </c>
    </row>
    <row r="58" spans="1:1" ht="15.75" customHeight="1" x14ac:dyDescent="0.15">
      <c r="A58" s="12" t="str">
        <f ca="1">IFERROR(__xludf.DUMMYFUNCTION("""COMPUTED_VALUE"""),"&lt;div id=""topics""&gt;&lt;button class=""topic"" onclick=""showResult('58')""&gt;今年對你來說&lt;/button&gt;")</f>
        <v>&lt;div id="topics"&gt;&lt;button class="topic" onclick="showResult('58')"&gt;今年對你來說&lt;/button&gt;</v>
      </c>
    </row>
    <row r="59" spans="1:1" ht="15.75" customHeight="1" x14ac:dyDescent="0.15">
      <c r="A59" s="12" t="str">
        <f ca="1">IFERROR(__xludf.DUMMYFUNCTION("""COMPUTED_VALUE"""),"&lt;button class=""topic"" onclick=""showResult('59')""&gt;今年對你們來說&lt;/button&gt;&lt;/div&gt;")</f>
        <v>&lt;button class="topic" onclick="showResult('59')"&gt;今年對你們來說&lt;/button&gt;&lt;/div&gt;</v>
      </c>
    </row>
    <row r="60" spans="1:1" ht="13" x14ac:dyDescent="0.15">
      <c r="A60" s="12" t="str">
        <f ca="1">IFERROR(__xludf.DUMMYFUNCTION("""COMPUTED_VALUE"""),"&lt;div id=""topics""&gt;&lt;button class=""topic"" onclick=""showResult('60')""&gt;再加上你的抱怨&lt;/button&gt;&lt;/div&gt;")</f>
        <v>&lt;div id="topics"&gt;&lt;button class="topic" onclick="showResult('60')"&gt;再加上你的抱怨&lt;/button&gt;&lt;/div&gt;</v>
      </c>
    </row>
    <row r="61" spans="1:1" ht="13" x14ac:dyDescent="0.15">
      <c r="A61" s="12" t="str">
        <f ca="1">IFERROR(__xludf.DUMMYFUNCTION("""COMPUTED_VALUE"""),"&lt;div id=""topics""&gt;&lt;label for=""nameInput""&gt;流年必要&lt;/label&gt;&lt;/div&gt;")</f>
        <v>&lt;div id="topics"&gt;&lt;label for="nameInput"&gt;流年必要&lt;/label&gt;&lt;/div&gt;</v>
      </c>
    </row>
    <row r="62" spans="1:1" ht="13" x14ac:dyDescent="0.15">
      <c r="A62" s="12" t="str">
        <f ca="1">IFERROR(__xludf.DUMMYFUNCTION("""COMPUTED_VALUE"""),"&lt;div id=""topics""&gt;&lt;button class=""topic"" onclick=""showResult('62')""&gt;流年小三&lt;/button&gt;")</f>
        <v>&lt;div id="topics"&gt;&lt;button class="topic" onclick="showResult('62')"&gt;流年小三&lt;/button&gt;</v>
      </c>
    </row>
    <row r="63" spans="1:1" ht="13" x14ac:dyDescent="0.15">
      <c r="A63" s="12" t="str">
        <f ca="1">IFERROR(__xludf.DUMMYFUNCTION("""COMPUTED_VALUE"""),"&lt;button class=""topic"" onclick=""showResult('63')""&gt;流年桃花狀況&lt;/button&gt;&lt;/div&gt;")</f>
        <v>&lt;button class="topic" onclick="showResult('63')"&gt;流年桃花狀況&lt;/button&gt;&lt;/div&gt;</v>
      </c>
    </row>
    <row r="64" spans="1:1" ht="13" x14ac:dyDescent="0.15">
      <c r="A64" s="12" t="str">
        <f ca="1">IFERROR(__xludf.DUMMYFUNCTION("""COMPUTED_VALUE"""),"&lt;div id=""topics""&gt;&lt;label for=""nameInput""&gt;關係&lt;/label&gt;&lt;/div&gt;")</f>
        <v>&lt;div id="topics"&gt;&lt;label for="nameInput"&gt;關係&lt;/label&gt;&lt;/div&gt;</v>
      </c>
    </row>
    <row r="65" spans="1:1" ht="13" x14ac:dyDescent="0.15">
      <c r="A65" s="12" t="str">
        <f ca="1">IFERROR(__xludf.DUMMYFUNCTION("""COMPUTED_VALUE"""),"&lt;div id=""topics""&gt;&lt;button class=""topic"" onclick=""showResult('65')""&gt;你以他為優先&lt;/button&gt;")</f>
        <v>&lt;div id="topics"&gt;&lt;button class="topic" onclick="showResult('65')"&gt;你以他為優先&lt;/button&gt;</v>
      </c>
    </row>
    <row r="66" spans="1:1" ht="13" x14ac:dyDescent="0.15">
      <c r="A66" s="12" t="str">
        <f ca="1">IFERROR(__xludf.DUMMYFUNCTION("""COMPUTED_VALUE"""),"&lt;button class=""topic"" onclick=""showResult('66')""&gt;事事以你為先&lt;/button&gt;&lt;/div&gt;")</f>
        <v>&lt;button class="topic" onclick="showResult('66')"&gt;事事以你為先&lt;/button&gt;&lt;/div&gt;</v>
      </c>
    </row>
    <row r="67" spans="1:1" ht="13" x14ac:dyDescent="0.15">
      <c r="A67" s="12" t="str">
        <f ca="1">IFERROR(__xludf.DUMMYFUNCTION("""COMPUTED_VALUE"""),"&lt;div id=""topics""&gt;&lt;button class=""topic"" onclick=""showResult('67')""&gt;你們會以對方為優先&lt;/button&gt;&lt;/div&gt;")</f>
        <v>&lt;div id="topics"&gt;&lt;button class="topic" onclick="showResult('67')"&gt;你們會以對方為優先&lt;/button&gt;&lt;/div&gt;</v>
      </c>
    </row>
    <row r="68" spans="1:1" ht="13" x14ac:dyDescent="0.15">
      <c r="A68" s="12" t="str">
        <f ca="1">IFERROR(__xludf.DUMMYFUNCTION("""COMPUTED_VALUE"""),"&lt;div id=""topics""&gt;&lt;button class=""topic"" onclick=""showResult('68')""&gt;你們無所謂&lt;/button&gt;")</f>
        <v>&lt;div id="topics"&gt;&lt;button class="topic" onclick="showResult('68')"&gt;你們無所謂&lt;/button&gt;</v>
      </c>
    </row>
    <row r="69" spans="1:1" ht="13" x14ac:dyDescent="0.15">
      <c r="A69" s="12" t="str">
        <f ca="1">IFERROR(__xludf.DUMMYFUNCTION("""COMPUTED_VALUE"""),"&lt;button class=""topic"" onclick=""showResult('69')""&gt;他無所謂&lt;/button&gt;")</f>
        <v>&lt;button class="topic" onclick="showResult('69')"&gt;他無所謂&lt;/button&gt;</v>
      </c>
    </row>
    <row r="70" spans="1:1" ht="13" x14ac:dyDescent="0.15">
      <c r="A70" s="12" t="str">
        <f ca="1">IFERROR(__xludf.DUMMYFUNCTION("""COMPUTED_VALUE"""),"&lt;button class=""topic"" onclick=""showResult('70')""&gt;你無所謂&lt;/button&gt;&lt;/div&gt;")</f>
        <v>&lt;button class="topic" onclick="showResult('70')"&gt;你無所謂&lt;/button&gt;&lt;/div&gt;</v>
      </c>
    </row>
    <row r="71" spans="1:1" ht="13" x14ac:dyDescent="0.15">
      <c r="A71" s="12" t="str">
        <f ca="1">IFERROR(__xludf.DUMMYFUNCTION("""COMPUTED_VALUE"""),"&lt;div id=""topics""&gt;&lt;button class=""topic"" onclick=""showResult('71')""&gt;分手你們家人&lt;/button&gt;")</f>
        <v>&lt;div id="topics"&gt;&lt;button class="topic" onclick="showResult('71')"&gt;分手你們家人&lt;/button&gt;</v>
      </c>
    </row>
    <row r="72" spans="1:1" ht="13" x14ac:dyDescent="0.15">
      <c r="A72" s="12" t="str">
        <f ca="1">IFERROR(__xludf.DUMMYFUNCTION("""COMPUTED_VALUE"""),"&lt;button class=""topic"" onclick=""showResult('72')""&gt;交往他家人&lt;/button&gt;")</f>
        <v>&lt;button class="topic" onclick="showResult('72')"&gt;交往他家人&lt;/button&gt;</v>
      </c>
    </row>
    <row r="73" spans="1:1" ht="13" x14ac:dyDescent="0.15">
      <c r="A73" s="12" t="str">
        <f ca="1">IFERROR(__xludf.DUMMYFUNCTION("""COMPUTED_VALUE"""),"&lt;button class=""topic"" onclick=""showResult('73')""&gt;小三他家人&lt;/button&gt;&lt;/div&gt;")</f>
        <v>&lt;button class="topic" onclick="showResult('73')"&gt;小三他家人&lt;/button&gt;&lt;/div&gt;</v>
      </c>
    </row>
    <row r="74" spans="1:1" ht="13" x14ac:dyDescent="0.15">
      <c r="A74" s="12" t="str">
        <f ca="1">IFERROR(__xludf.DUMMYFUNCTION("""COMPUTED_VALUE"""),"&lt;div id=""topics""&gt;&lt;button class=""topic"" onclick=""showResult('74')""&gt;你家人&lt;/button&gt;")</f>
        <v>&lt;div id="topics"&gt;&lt;button class="topic" onclick="showResult('74')"&gt;你家人&lt;/button&gt;</v>
      </c>
    </row>
    <row r="75" spans="1:1" ht="13" x14ac:dyDescent="0.15">
      <c r="A75" s="12" t="str">
        <f ca="1">IFERROR(__xludf.DUMMYFUNCTION("""COMPUTED_VALUE"""),"&lt;button class=""topic"" onclick=""showResult('75')""&gt;你們工作&lt;/button&gt;&lt;/div&gt;")</f>
        <v>&lt;button class="topic" onclick="showResult('75')"&gt;你們工作&lt;/button&gt;&lt;/div&gt;</v>
      </c>
    </row>
    <row r="76" spans="1:1" ht="13" x14ac:dyDescent="0.15">
      <c r="A76" s="12" t="str">
        <f ca="1">IFERROR(__xludf.DUMMYFUNCTION("""COMPUTED_VALUE"""),"&lt;div id=""topics""&gt;&lt;button class=""topic"" onclick=""showResult('76')""&gt;你工作&lt;/button&gt;")</f>
        <v>&lt;div id="topics"&gt;&lt;button class="topic" onclick="showResult('76')"&gt;你工作&lt;/button&gt;</v>
      </c>
    </row>
    <row r="77" spans="1:1" ht="13" x14ac:dyDescent="0.15">
      <c r="A77" s="12" t="str">
        <f ca="1">IFERROR(__xludf.DUMMYFUNCTION("""COMPUTED_VALUE"""),"&lt;button class=""topic"" onclick=""showResult('77')""&gt;他工作&lt;/button&gt;")</f>
        <v>&lt;button class="topic" onclick="showResult('77')"&gt;他工作&lt;/button&gt;</v>
      </c>
    </row>
    <row r="78" spans="1:1" ht="13" x14ac:dyDescent="0.15">
      <c r="A78" s="12" t="str">
        <f ca="1">IFERROR(__xludf.DUMMYFUNCTION("""COMPUTED_VALUE"""),"&lt;button class=""topic"" onclick=""showResult('78')""&gt;你們朋友&lt;/button&gt;&lt;/div&gt;")</f>
        <v>&lt;button class="topic" onclick="showResult('78')"&gt;你們朋友&lt;/button&gt;&lt;/div&gt;</v>
      </c>
    </row>
    <row r="79" spans="1:1" ht="13" x14ac:dyDescent="0.15">
      <c r="A79" s="12" t="str">
        <f ca="1">IFERROR(__xludf.DUMMYFUNCTION("""COMPUTED_VALUE"""),"&lt;div id=""topics""&gt;&lt;button class=""topic"" onclick=""showResult('79')""&gt;他愛自己&lt;/button&gt;")</f>
        <v>&lt;div id="topics"&gt;&lt;button class="topic" onclick="showResult('79')"&gt;他愛自己&lt;/button&gt;</v>
      </c>
    </row>
    <row r="80" spans="1:1" ht="13" x14ac:dyDescent="0.15">
      <c r="A80" s="12" t="str">
        <f ca="1">IFERROR(__xludf.DUMMYFUNCTION("""COMPUTED_VALUE"""),"&lt;button class=""topic"" onclick=""showResult('80')""&gt;他愛自己又重朋友&lt;/button&gt;&lt;/div&gt;")</f>
        <v>&lt;button class="topic" onclick="showResult('80')"&gt;他愛自己又重朋友&lt;/button&gt;&lt;/div&gt;</v>
      </c>
    </row>
    <row r="81" spans="1:1" ht="13" x14ac:dyDescent="0.15">
      <c r="A81" s="12" t="str">
        <f ca="1">IFERROR(__xludf.DUMMYFUNCTION("""COMPUTED_VALUE"""),"&lt;div id=""topics""&gt;&lt;button class=""topic"" onclick=""showResult('81')""&gt;你愛自己&lt;/button&gt;")</f>
        <v>&lt;div id="topics"&gt;&lt;button class="topic" onclick="showResult('81')"&gt;你愛自己&lt;/button&gt;</v>
      </c>
    </row>
    <row r="82" spans="1:1" ht="13" x14ac:dyDescent="0.15">
      <c r="A82" s="12" t="str">
        <f ca="1">IFERROR(__xludf.DUMMYFUNCTION("""COMPUTED_VALUE"""),"&lt;button class=""topic"" onclick=""showResult('82')""&gt;你們愛自己&lt;/button&gt;")</f>
        <v>&lt;button class="topic" onclick="showResult('82')"&gt;你們愛自己&lt;/button&gt;</v>
      </c>
    </row>
    <row r="83" spans="1:1" ht="13" x14ac:dyDescent="0.15">
      <c r="A83" s="12" t="str">
        <f ca="1">IFERROR(__xludf.DUMMYFUNCTION("""COMPUTED_VALUE"""),"&lt;button class=""topic"" onclick=""showResult('83')""&gt;各有重視&lt;/button&gt;&lt;/div&gt;")</f>
        <v>&lt;button class="topic" onclick="showResult('83')"&gt;各有重視&lt;/button&gt;&lt;/div&gt;</v>
      </c>
    </row>
    <row r="84" spans="1:1" ht="13" x14ac:dyDescent="0.15">
      <c r="A84" s="12" t="str">
        <f ca="1">IFERROR(__xludf.DUMMYFUNCTION("""COMPUTED_VALUE"""),"&lt;div id=""topics""&gt;&lt;label for=""nameInput""&gt;合盤&lt;/label&gt;&lt;/div&gt;")</f>
        <v>&lt;div id="topics"&gt;&lt;label for="nameInput"&gt;合盤&lt;/label&gt;&lt;/div&gt;</v>
      </c>
    </row>
    <row r="85" spans="1:1" ht="13" x14ac:dyDescent="0.15">
      <c r="A85" s="12" t="str">
        <f ca="1">IFERROR(__xludf.DUMMYFUNCTION("""COMPUTED_VALUE"""),"&lt;div id=""topics""&gt;&lt;button class=""topic"" onclick=""showResult('85')""&gt;你單一&lt;/button&gt;")</f>
        <v>&lt;div id="topics"&gt;&lt;button class="topic" onclick="showResult('85')"&gt;你單一&lt;/button&gt;</v>
      </c>
    </row>
    <row r="86" spans="1:1" ht="13" x14ac:dyDescent="0.15">
      <c r="A86" s="12" t="str">
        <f ca="1">IFERROR(__xludf.DUMMYFUNCTION("""COMPUTED_VALUE"""),"&lt;button class=""topic"" onclick=""showResult('86')""&gt;非君不嫁&lt;/button&gt;")</f>
        <v>&lt;button class="topic" onclick="showResult('86')"&gt;非君不嫁&lt;/button&gt;</v>
      </c>
    </row>
    <row r="87" spans="1:1" ht="13" x14ac:dyDescent="0.15">
      <c r="A87" s="12" t="str">
        <f ca="1">IFERROR(__xludf.DUMMYFUNCTION("""COMPUTED_VALUE"""),"&lt;button class=""topic"" onclick=""showResult('87')""&gt;分手認定他&lt;/button&gt;&lt;/div&gt;")</f>
        <v>&lt;button class="topic" onclick="showResult('87')"&gt;分手認定他&lt;/button&gt;&lt;/div&gt;</v>
      </c>
    </row>
    <row r="88" spans="1:1" ht="13" x14ac:dyDescent="0.15">
      <c r="A88" s="12" t="str">
        <f ca="1">IFERROR(__xludf.DUMMYFUNCTION("""COMPUTED_VALUE"""),"&lt;div id=""topics""&gt;&lt;button class=""topic"" onclick=""showResult('88')""&gt;交往正緣&lt;/button&gt;")</f>
        <v>&lt;div id="topics"&gt;&lt;button class="topic" onclick="showResult('88')"&gt;交往正緣&lt;/button&gt;</v>
      </c>
    </row>
    <row r="89" spans="1:1" ht="13" x14ac:dyDescent="0.15">
      <c r="A89" s="12" t="str">
        <f ca="1">IFERROR(__xludf.DUMMYFUNCTION("""COMPUTED_VALUE"""),"&lt;button class=""topic"" onclick=""showResult('89')""&gt;他懂得欣賞你的特質&lt;/button&gt;&lt;/div&gt;")</f>
        <v>&lt;button class="topic" onclick="showResult('89')"&gt;他懂得欣賞你的特質&lt;/button&gt;&lt;/div&gt;</v>
      </c>
    </row>
    <row r="90" spans="1:1" ht="13" x14ac:dyDescent="0.15">
      <c r="A90" s="12" t="str">
        <f ca="1">IFERROR(__xludf.DUMMYFUNCTION("""COMPUTED_VALUE"""),"&lt;div id=""topics""&gt;&lt;button class=""topic"" onclick=""showResult('90')""&gt;你對價值觀&lt;/button&gt;")</f>
        <v>&lt;div id="topics"&gt;&lt;button class="topic" onclick="showResult('90')"&gt;你對價值觀&lt;/button&gt;</v>
      </c>
    </row>
    <row r="91" spans="1:1" ht="13" x14ac:dyDescent="0.15">
      <c r="A91" s="12" t="str">
        <f ca="1">IFERROR(__xludf.DUMMYFUNCTION("""COMPUTED_VALUE"""),"&lt;button class=""topic"" onclick=""showResult('91')""&gt;介意他的缺點&lt;/button&gt;&lt;/div&gt;")</f>
        <v>&lt;button class="topic" onclick="showResult('91')"&gt;介意他的缺點&lt;/button&gt;&lt;/div&gt;</v>
      </c>
    </row>
    <row r="92" spans="1:1" ht="13" x14ac:dyDescent="0.15">
      <c r="A92" s="12" t="str">
        <f ca="1">IFERROR(__xludf.DUMMYFUNCTION("""COMPUTED_VALUE"""),"&lt;div id=""topics""&gt;&lt;button class=""topic"" onclick=""showResult('92')""&gt;他對價值觀&lt;/button&gt;")</f>
        <v>&lt;div id="topics"&gt;&lt;button class="topic" onclick="showResult('92')"&gt;他對價值觀&lt;/button&gt;</v>
      </c>
    </row>
    <row r="93" spans="1:1" ht="13" x14ac:dyDescent="0.15">
      <c r="A93" s="12" t="str">
        <f ca="1">IFERROR(__xludf.DUMMYFUNCTION("""COMPUTED_VALUE"""),"&lt;button class=""topic"" onclick=""showResult('93')""&gt;介意你的缺點&lt;/button&gt;&lt;/div&gt;")</f>
        <v>&lt;button class="topic" onclick="showResult('93')"&gt;介意你的缺點&lt;/button&gt;&lt;/div&gt;</v>
      </c>
    </row>
    <row r="94" spans="1:1" ht="13" x14ac:dyDescent="0.15">
      <c r="A94" s="12" t="str">
        <f ca="1">IFERROR(__xludf.DUMMYFUNCTION("""COMPUTED_VALUE"""),"&lt;div id=""topics""&gt;&lt;button class=""topic"" onclick=""showResult('94')""&gt;你們價值觀&lt;/button&gt;")</f>
        <v>&lt;div id="topics"&gt;&lt;button class="topic" onclick="showResult('94')"&gt;你們價值觀&lt;/button&gt;</v>
      </c>
    </row>
    <row r="95" spans="1:1" ht="13" x14ac:dyDescent="0.15">
      <c r="A95" s="12" t="str">
        <f ca="1">IFERROR(__xludf.DUMMYFUNCTION("""COMPUTED_VALUE"""),"&lt;button class=""topic"" onclick=""showResult('95')""&gt;你們單一&lt;/button&gt;")</f>
        <v>&lt;button class="topic" onclick="showResult('95')"&gt;你們單一&lt;/button&gt;</v>
      </c>
    </row>
    <row r="96" spans="1:1" ht="13" x14ac:dyDescent="0.15">
      <c r="A96" s="12" t="str">
        <f ca="1">IFERROR(__xludf.DUMMYFUNCTION("""COMPUTED_VALUE"""),"&lt;button class=""topic"" onclick=""showResult('96')""&gt;他單一&lt;/button&gt;&lt;/div&gt;")</f>
        <v>&lt;button class="topic" onclick="showResult('96')"&gt;他單一&lt;/button&gt;&lt;/div&gt;</v>
      </c>
    </row>
    <row r="97" spans="1:1" ht="13" x14ac:dyDescent="0.15">
      <c r="A97" s="12" t="str">
        <f ca="1">IFERROR(__xludf.DUMMYFUNCTION("""COMPUTED_VALUE"""),"&lt;div id=""topics""&gt;&lt;button class=""topic"" onclick=""showResult('97')""&gt;他也不一定只要你&lt;/button&gt;")</f>
        <v>&lt;div id="topics"&gt;&lt;button class="topic" onclick="showResult('97')"&gt;他也不一定只要你&lt;/button&gt;</v>
      </c>
    </row>
    <row r="98" spans="1:1" ht="13" x14ac:dyDescent="0.15">
      <c r="A98" s="12" t="str">
        <f ca="1">IFERROR(__xludf.DUMMYFUNCTION("""COMPUTED_VALUE"""),"&lt;button class=""topic"" onclick=""showResult('98')""&gt;只有責任跟習慣&lt;/button&gt;")</f>
        <v>&lt;button class="topic" onclick="showResult('98')"&gt;只有責任跟習慣&lt;/button&gt;</v>
      </c>
    </row>
    <row r="99" spans="1:1" ht="13" x14ac:dyDescent="0.15">
      <c r="A99" s="12" t="str">
        <f ca="1">IFERROR(__xludf.DUMMYFUNCTION("""COMPUTED_VALUE"""),"&lt;button class=""topic"" onclick=""showResult('99')""&gt;逢場作興&lt;/button&gt;&lt;/div&gt;")</f>
        <v>&lt;button class="topic" onclick="showResult('99')"&gt;逢場作興&lt;/button&gt;&lt;/div&gt;</v>
      </c>
    </row>
    <row r="100" spans="1:1" ht="13" x14ac:dyDescent="0.15">
      <c r="A100" s="12" t="str">
        <f ca="1">IFERROR(__xludf.DUMMYFUNCTION("""COMPUTED_VALUE"""),"&lt;div id=""topics""&gt;&lt;button class=""topic"" onclick=""showResult('100')""&gt;曖昧不夠緣份&lt;/button&gt;")</f>
        <v>&lt;div id="topics"&gt;&lt;button class="topic" onclick="showResult('100')"&gt;曖昧不夠緣份&lt;/button&gt;</v>
      </c>
    </row>
    <row r="101" spans="1:1" ht="13" x14ac:dyDescent="0.15">
      <c r="A101" s="12" t="str">
        <f ca="1">IFERROR(__xludf.DUMMYFUNCTION("""COMPUTED_VALUE"""),"&lt;button class=""topic"" onclick=""showResult('101')""&gt;不會放棄新情人&lt;/button&gt;")</f>
        <v>&lt;button class="topic" onclick="showResult('101')"&gt;不會放棄新情人&lt;/button&gt;</v>
      </c>
    </row>
    <row r="102" spans="1:1" ht="13" x14ac:dyDescent="0.15">
      <c r="A102" s="12" t="str">
        <f ca="1">IFERROR(__xludf.DUMMYFUNCTION("""COMPUTED_VALUE"""),"&lt;button class=""topic"" onclick=""showResult('102')""&gt;曖昧正緣年&lt;/button&gt;&lt;/div&gt;")</f>
        <v>&lt;button class="topic" onclick="showResult('102')"&gt;曖昧正緣年&lt;/button&gt;&lt;/div&gt;</v>
      </c>
    </row>
    <row r="103" spans="1:1" ht="13" x14ac:dyDescent="0.15">
      <c r="A103" s="12" t="str">
        <f ca="1">IFERROR(__xludf.DUMMYFUNCTION("""COMPUTED_VALUE"""),"&lt;div id=""topics""&gt;&lt;label for=""nameInput""&gt;十神&lt;/label&gt;&lt;/div&gt;")</f>
        <v>&lt;div id="topics"&gt;&lt;label for="nameInput"&gt;十神&lt;/label&gt;&lt;/div&gt;</v>
      </c>
    </row>
    <row r="104" spans="1:1" ht="13" x14ac:dyDescent="0.15">
      <c r="A104" s="12" t="str">
        <f ca="1">IFERROR(__xludf.DUMMYFUNCTION("""COMPUTED_VALUE"""),"&lt;div id=""topics""&gt;&lt;button class=""topic"" onclick=""showResult('104')""&gt;正官-他欣賞&lt;/button&gt;")</f>
        <v>&lt;div id="topics"&gt;&lt;button class="topic" onclick="showResult('104')"&gt;正官-他欣賞&lt;/button&gt;</v>
      </c>
    </row>
    <row r="105" spans="1:1" ht="13" x14ac:dyDescent="0.15">
      <c r="A105" s="12" t="str">
        <f ca="1">IFERROR(__xludf.DUMMYFUNCTION("""COMPUTED_VALUE"""),"&lt;button class=""topic"" onclick=""showResult('105')""&gt;正官-他希望&lt;/button&gt;")</f>
        <v>&lt;button class="topic" onclick="showResult('105')"&gt;正官-他希望&lt;/button&gt;</v>
      </c>
    </row>
    <row r="106" spans="1:1" ht="13" x14ac:dyDescent="0.15">
      <c r="A106" s="12" t="str">
        <f ca="1">IFERROR(__xludf.DUMMYFUNCTION("""COMPUTED_VALUE"""),"&lt;button class=""topic"" onclick=""showResult('106')""&gt;正官-但是你&lt;/button&gt;&lt;/div&gt;")</f>
        <v>&lt;button class="topic" onclick="showResult('106')"&gt;正官-但是你&lt;/button&gt;&lt;/div&gt;</v>
      </c>
    </row>
    <row r="107" spans="1:1" ht="13" x14ac:dyDescent="0.15">
      <c r="A107" s="12" t="str">
        <f ca="1">IFERROR(__xludf.DUMMYFUNCTION("""COMPUTED_VALUE"""),"&lt;div id=""topics""&gt;&lt;button class=""topic"" onclick=""showResult('107')""&gt;正官-你欣賞&lt;/button&gt;")</f>
        <v>&lt;div id="topics"&gt;&lt;button class="topic" onclick="showResult('107')"&gt;正官-你欣賞&lt;/button&gt;</v>
      </c>
    </row>
    <row r="108" spans="1:1" ht="13" x14ac:dyDescent="0.15">
      <c r="A108" s="12" t="str">
        <f ca="1">IFERROR(__xludf.DUMMYFUNCTION("""COMPUTED_VALUE"""),"&lt;button class=""topic"" onclick=""showResult('108')""&gt;正官-你希望&lt;/button&gt;")</f>
        <v>&lt;button class="topic" onclick="showResult('108')"&gt;正官-你希望&lt;/button&gt;</v>
      </c>
    </row>
    <row r="109" spans="1:1" ht="13" x14ac:dyDescent="0.15">
      <c r="A109" s="12" t="str">
        <f ca="1">IFERROR(__xludf.DUMMYFUNCTION("""COMPUTED_VALUE"""),"&lt;button class=""topic"" onclick=""showResult('109')""&gt;正官-但是他&lt;/button&gt;&lt;/div&gt;")</f>
        <v>&lt;button class="topic" onclick="showResult('109')"&gt;正官-但是他&lt;/button&gt;&lt;/div&gt;</v>
      </c>
    </row>
    <row r="110" spans="1:1" ht="13" x14ac:dyDescent="0.15">
      <c r="A110" s="12" t="str">
        <f ca="1">IFERROR(__xludf.DUMMYFUNCTION("""COMPUTED_VALUE"""),"&lt;div id=""topics""&gt;&lt;button class=""topic"" onclick=""showResult('110')""&gt;七殺-他欣賞&lt;/button&gt;")</f>
        <v>&lt;div id="topics"&gt;&lt;button class="topic" onclick="showResult('110')"&gt;七殺-他欣賞&lt;/button&gt;</v>
      </c>
    </row>
    <row r="111" spans="1:1" ht="13" x14ac:dyDescent="0.15">
      <c r="A111" s="12" t="str">
        <f ca="1">IFERROR(__xludf.DUMMYFUNCTION("""COMPUTED_VALUE"""),"&lt;button class=""topic"" onclick=""showResult('111')""&gt;七殺-他希望&lt;/button&gt;")</f>
        <v>&lt;button class="topic" onclick="showResult('111')"&gt;七殺-他希望&lt;/button&gt;</v>
      </c>
    </row>
    <row r="112" spans="1:1" ht="13" x14ac:dyDescent="0.15">
      <c r="A112" s="12" t="str">
        <f ca="1">IFERROR(__xludf.DUMMYFUNCTION("""COMPUTED_VALUE"""),"&lt;button class=""topic"" onclick=""showResult('112')""&gt;七殺-但是你&lt;/button&gt;&lt;/div&gt;")</f>
        <v>&lt;button class="topic" onclick="showResult('112')"&gt;七殺-但是你&lt;/button&gt;&lt;/div&gt;</v>
      </c>
    </row>
    <row r="113" spans="1:1" ht="13" x14ac:dyDescent="0.15">
      <c r="A113" s="12" t="str">
        <f ca="1">IFERROR(__xludf.DUMMYFUNCTION("""COMPUTED_VALUE"""),"&lt;div id=""topics""&gt;&lt;button class=""topic"" onclick=""showResult('113')""&gt;七殺-你欣賞&lt;/button&gt;")</f>
        <v>&lt;div id="topics"&gt;&lt;button class="topic" onclick="showResult('113')"&gt;七殺-你欣賞&lt;/button&gt;</v>
      </c>
    </row>
    <row r="114" spans="1:1" ht="13" x14ac:dyDescent="0.15">
      <c r="A114" s="12" t="str">
        <f ca="1">IFERROR(__xludf.DUMMYFUNCTION("""COMPUTED_VALUE"""),"&lt;button class=""topic"" onclick=""showResult('114')""&gt;七殺-你希望&lt;/button&gt;")</f>
        <v>&lt;button class="topic" onclick="showResult('114')"&gt;七殺-你希望&lt;/button&gt;</v>
      </c>
    </row>
    <row r="115" spans="1:1" ht="13" x14ac:dyDescent="0.15">
      <c r="A115" s="12" t="str">
        <f ca="1">IFERROR(__xludf.DUMMYFUNCTION("""COMPUTED_VALUE"""),"&lt;button class=""topic"" onclick=""showResult('115')""&gt;七殺-但是他&lt;/button&gt;&lt;/div&gt;")</f>
        <v>&lt;button class="topic" onclick="showResult('115')"&gt;七殺-但是他&lt;/button&gt;&lt;/div&gt;</v>
      </c>
    </row>
    <row r="116" spans="1:1" ht="13" x14ac:dyDescent="0.15">
      <c r="A116" s="12" t="str">
        <f ca="1">IFERROR(__xludf.DUMMYFUNCTION("""COMPUTED_VALUE"""),"&lt;div id=""topics""&gt;&lt;button class=""topic"" onclick=""showResult('116')""&gt;正印-他欣賞&lt;/button&gt;")</f>
        <v>&lt;div id="topics"&gt;&lt;button class="topic" onclick="showResult('116')"&gt;正印-他欣賞&lt;/button&gt;</v>
      </c>
    </row>
    <row r="117" spans="1:1" ht="13" x14ac:dyDescent="0.15">
      <c r="A117" s="12" t="str">
        <f ca="1">IFERROR(__xludf.DUMMYFUNCTION("""COMPUTED_VALUE"""),"&lt;button class=""topic"" onclick=""showResult('117')""&gt;正印-他希望&lt;/button&gt;")</f>
        <v>&lt;button class="topic" onclick="showResult('117')"&gt;正印-他希望&lt;/button&gt;</v>
      </c>
    </row>
    <row r="118" spans="1:1" ht="13" x14ac:dyDescent="0.15">
      <c r="A118" s="12" t="str">
        <f ca="1">IFERROR(__xludf.DUMMYFUNCTION("""COMPUTED_VALUE"""),"&lt;button class=""topic"" onclick=""showResult('118')""&gt;正印-但是你&lt;/button&gt;&lt;/div&gt;")</f>
        <v>&lt;button class="topic" onclick="showResult('118')"&gt;正印-但是你&lt;/button&gt;&lt;/div&gt;</v>
      </c>
    </row>
    <row r="119" spans="1:1" ht="13" x14ac:dyDescent="0.15">
      <c r="A119" s="12" t="str">
        <f ca="1">IFERROR(__xludf.DUMMYFUNCTION("""COMPUTED_VALUE"""),"&lt;div id=""topics""&gt;&lt;button class=""topic"" onclick=""showResult('119')""&gt;正印-你欣賞&lt;/button&gt;")</f>
        <v>&lt;div id="topics"&gt;&lt;button class="topic" onclick="showResult('119')"&gt;正印-你欣賞&lt;/button&gt;</v>
      </c>
    </row>
    <row r="120" spans="1:1" ht="13" x14ac:dyDescent="0.15">
      <c r="A120" s="12" t="str">
        <f ca="1">IFERROR(__xludf.DUMMYFUNCTION("""COMPUTED_VALUE"""),"&lt;button class=""topic"" onclick=""showResult('120')""&gt;正印-你希望&lt;/button&gt;")</f>
        <v>&lt;button class="topic" onclick="showResult('120')"&gt;正印-你希望&lt;/button&gt;</v>
      </c>
    </row>
    <row r="121" spans="1:1" ht="13" x14ac:dyDescent="0.15">
      <c r="A121" s="12" t="str">
        <f ca="1">IFERROR(__xludf.DUMMYFUNCTION("""COMPUTED_VALUE"""),"&lt;button class=""topic"" onclick=""showResult('121')""&gt;正印-但是他&lt;/button&gt;&lt;/div&gt;")</f>
        <v>&lt;button class="topic" onclick="showResult('121')"&gt;正印-但是他&lt;/button&gt;&lt;/div&gt;</v>
      </c>
    </row>
    <row r="122" spans="1:1" ht="13" x14ac:dyDescent="0.15">
      <c r="A122" s="12" t="str">
        <f ca="1">IFERROR(__xludf.DUMMYFUNCTION("""COMPUTED_VALUE"""),"&lt;div id=""topics""&gt;&lt;button class=""topic"" onclick=""showResult('122')""&gt;P -他欣賞&lt;/button&gt;")</f>
        <v>&lt;div id="topics"&gt;&lt;button class="topic" onclick="showResult('122')"&gt;P -他欣賞&lt;/button&gt;</v>
      </c>
    </row>
    <row r="123" spans="1:1" ht="13" x14ac:dyDescent="0.15">
      <c r="A123" s="12" t="str">
        <f ca="1">IFERROR(__xludf.DUMMYFUNCTION("""COMPUTED_VALUE"""),"&lt;button class=""topic"" onclick=""showResult('123')""&gt;P -他希望&lt;/button&gt;")</f>
        <v>&lt;button class="topic" onclick="showResult('123')"&gt;P -他希望&lt;/button&gt;</v>
      </c>
    </row>
    <row r="124" spans="1:1" ht="13" x14ac:dyDescent="0.15">
      <c r="A124" s="12" t="str">
        <f ca="1">IFERROR(__xludf.DUMMYFUNCTION("""COMPUTED_VALUE"""),"&lt;button class=""topic"" onclick=""showResult('124')""&gt;P -但是你&lt;/button&gt;&lt;/div&gt;")</f>
        <v>&lt;button class="topic" onclick="showResult('124')"&gt;P -但是你&lt;/button&gt;&lt;/div&gt;</v>
      </c>
    </row>
    <row r="125" spans="1:1" ht="13" x14ac:dyDescent="0.15">
      <c r="A125" s="12" t="str">
        <f ca="1">IFERROR(__xludf.DUMMYFUNCTION("""COMPUTED_VALUE"""),"&lt;div id=""topics""&gt;&lt;button class=""topic"" onclick=""showResult('125')""&gt;P -你欣賞&lt;/button&gt;")</f>
        <v>&lt;div id="topics"&gt;&lt;button class="topic" onclick="showResult('125')"&gt;P -你欣賞&lt;/button&gt;</v>
      </c>
    </row>
    <row r="126" spans="1:1" ht="13" x14ac:dyDescent="0.15">
      <c r="A126" s="12" t="str">
        <f ca="1">IFERROR(__xludf.DUMMYFUNCTION("""COMPUTED_VALUE"""),"&lt;button class=""topic"" onclick=""showResult('126')""&gt;P -你希望&lt;/button&gt;")</f>
        <v>&lt;button class="topic" onclick="showResult('126')"&gt;P -你希望&lt;/button&gt;</v>
      </c>
    </row>
    <row r="127" spans="1:1" ht="13" x14ac:dyDescent="0.15">
      <c r="A127" s="12" t="str">
        <f ca="1">IFERROR(__xludf.DUMMYFUNCTION("""COMPUTED_VALUE"""),"&lt;button class=""topic"" onclick=""showResult('127')""&gt;P -但是他&lt;/button&gt;&lt;/div&gt;")</f>
        <v>&lt;button class="topic" onclick="showResult('127')"&gt;P -但是他&lt;/button&gt;&lt;/div&gt;</v>
      </c>
    </row>
    <row r="128" spans="1:1" ht="13" x14ac:dyDescent="0.15">
      <c r="A128" s="12" t="str">
        <f ca="1">IFERROR(__xludf.DUMMYFUNCTION("""COMPUTED_VALUE"""),"&lt;div id=""topics""&gt;&lt;button class=""topic"" onclick=""showResult('128')""&gt;比肩 -他欣賞&lt;/button&gt;")</f>
        <v>&lt;div id="topics"&gt;&lt;button class="topic" onclick="showResult('128')"&gt;比肩 -他欣賞&lt;/button&gt;</v>
      </c>
    </row>
    <row r="129" spans="1:1" ht="13" x14ac:dyDescent="0.15">
      <c r="A129" s="12" t="str">
        <f ca="1">IFERROR(__xludf.DUMMYFUNCTION("""COMPUTED_VALUE"""),"&lt;button class=""topic"" onclick=""showResult('129')""&gt;比肩 -他希望&lt;/button&gt;")</f>
        <v>&lt;button class="topic" onclick="showResult('129')"&gt;比肩 -他希望&lt;/button&gt;</v>
      </c>
    </row>
    <row r="130" spans="1:1" ht="13" x14ac:dyDescent="0.15">
      <c r="A130" s="12" t="str">
        <f ca="1">IFERROR(__xludf.DUMMYFUNCTION("""COMPUTED_VALUE"""),"&lt;button class=""topic"" onclick=""showResult('130')""&gt;比肩 -但是你&lt;/button&gt;&lt;/div&gt;")</f>
        <v>&lt;button class="topic" onclick="showResult('130')"&gt;比肩 -但是你&lt;/button&gt;&lt;/div&gt;</v>
      </c>
    </row>
    <row r="131" spans="1:1" ht="13" x14ac:dyDescent="0.15">
      <c r="A131" s="12" t="str">
        <f ca="1">IFERROR(__xludf.DUMMYFUNCTION("""COMPUTED_VALUE"""),"&lt;div id=""topics""&gt;&lt;button class=""topic"" onclick=""showResult('131')""&gt;比肩 -你欣賞&lt;/button&gt;")</f>
        <v>&lt;div id="topics"&gt;&lt;button class="topic" onclick="showResult('131')"&gt;比肩 -你欣賞&lt;/button&gt;</v>
      </c>
    </row>
    <row r="132" spans="1:1" ht="13" x14ac:dyDescent="0.15">
      <c r="A132" s="12" t="str">
        <f ca="1">IFERROR(__xludf.DUMMYFUNCTION("""COMPUTED_VALUE"""),"&lt;button class=""topic"" onclick=""showResult('132')""&gt;比肩 -你希望&lt;/button&gt;")</f>
        <v>&lt;button class="topic" onclick="showResult('132')"&gt;比肩 -你希望&lt;/button&gt;</v>
      </c>
    </row>
    <row r="133" spans="1:1" ht="13" x14ac:dyDescent="0.15">
      <c r="A133" s="12" t="str">
        <f ca="1">IFERROR(__xludf.DUMMYFUNCTION("""COMPUTED_VALUE"""),"&lt;button class=""topic"" onclick=""showResult('133')""&gt;比肩 -但是他&lt;/button&gt;&lt;/div&gt;")</f>
        <v>&lt;button class="topic" onclick="showResult('133')"&gt;比肩 -但是他&lt;/button&gt;&lt;/div&gt;</v>
      </c>
    </row>
    <row r="134" spans="1:1" ht="13" x14ac:dyDescent="0.15">
      <c r="A134" s="12" t="str">
        <f ca="1">IFERROR(__xludf.DUMMYFUNCTION("""COMPUTED_VALUE"""),"&lt;div id=""topics""&gt;&lt;button class=""topic"" onclick=""showResult('134')""&gt;劫財 -他欣賞&lt;/button&gt;")</f>
        <v>&lt;div id="topics"&gt;&lt;button class="topic" onclick="showResult('134')"&gt;劫財 -他欣賞&lt;/button&gt;</v>
      </c>
    </row>
    <row r="135" spans="1:1" ht="13" x14ac:dyDescent="0.15">
      <c r="A135" s="12" t="str">
        <f ca="1">IFERROR(__xludf.DUMMYFUNCTION("""COMPUTED_VALUE"""),"&lt;button class=""topic"" onclick=""showResult('135')""&gt;劫財 -他希望&lt;/button&gt;")</f>
        <v>&lt;button class="topic" onclick="showResult('135')"&gt;劫財 -他希望&lt;/button&gt;</v>
      </c>
    </row>
    <row r="136" spans="1:1" ht="13" x14ac:dyDescent="0.15">
      <c r="A136" s="12" t="str">
        <f ca="1">IFERROR(__xludf.DUMMYFUNCTION("""COMPUTED_VALUE"""),"&lt;button class=""topic"" onclick=""showResult('136')""&gt;劫財 -但是你&lt;/button&gt;&lt;/div&gt;")</f>
        <v>&lt;button class="topic" onclick="showResult('136')"&gt;劫財 -但是你&lt;/button&gt;&lt;/div&gt;</v>
      </c>
    </row>
    <row r="137" spans="1:1" ht="13" x14ac:dyDescent="0.15">
      <c r="A137" s="12" t="str">
        <f ca="1">IFERROR(__xludf.DUMMYFUNCTION("""COMPUTED_VALUE"""),"&lt;div id=""topics""&gt;&lt;button class=""topic"" onclick=""showResult('137')""&gt;劫財 -你欣賞&lt;/button&gt;")</f>
        <v>&lt;div id="topics"&gt;&lt;button class="topic" onclick="showResult('137')"&gt;劫財 -你欣賞&lt;/button&gt;</v>
      </c>
    </row>
    <row r="138" spans="1:1" ht="13" x14ac:dyDescent="0.15">
      <c r="A138" s="12" t="str">
        <f ca="1">IFERROR(__xludf.DUMMYFUNCTION("""COMPUTED_VALUE"""),"&lt;button class=""topic"" onclick=""showResult('138')""&gt;劫財 -你希望&lt;/button&gt;")</f>
        <v>&lt;button class="topic" onclick="showResult('138')"&gt;劫財 -你希望&lt;/button&gt;</v>
      </c>
    </row>
    <row r="139" spans="1:1" ht="13" x14ac:dyDescent="0.15">
      <c r="A139" s="12" t="str">
        <f ca="1">IFERROR(__xludf.DUMMYFUNCTION("""COMPUTED_VALUE"""),"&lt;button class=""topic"" onclick=""showResult('139')""&gt;劫財 -但是他&lt;/button&gt;&lt;/div&gt;")</f>
        <v>&lt;button class="topic" onclick="showResult('139')"&gt;劫財 -但是他&lt;/button&gt;&lt;/div&gt;</v>
      </c>
    </row>
    <row r="140" spans="1:1" ht="13" x14ac:dyDescent="0.15">
      <c r="A140" s="12" t="str">
        <f ca="1">IFERROR(__xludf.DUMMYFUNCTION("""COMPUTED_VALUE"""),"&lt;div id=""topics""&gt;&lt;button class=""topic"" onclick=""showResult('140')""&gt;食神 -他欣賞&lt;/button&gt;")</f>
        <v>&lt;div id="topics"&gt;&lt;button class="topic" onclick="showResult('140')"&gt;食神 -他欣賞&lt;/button&gt;</v>
      </c>
    </row>
    <row r="141" spans="1:1" ht="13" x14ac:dyDescent="0.15">
      <c r="A141" s="12" t="str">
        <f ca="1">IFERROR(__xludf.DUMMYFUNCTION("""COMPUTED_VALUE"""),"&lt;button class=""topic"" onclick=""showResult('141')""&gt;食神 -他希望&lt;/button&gt;")</f>
        <v>&lt;button class="topic" onclick="showResult('141')"&gt;食神 -他希望&lt;/button&gt;</v>
      </c>
    </row>
    <row r="142" spans="1:1" ht="13" x14ac:dyDescent="0.15">
      <c r="A142" s="12" t="str">
        <f ca="1">IFERROR(__xludf.DUMMYFUNCTION("""COMPUTED_VALUE"""),"&lt;button class=""topic"" onclick=""showResult('142')""&gt;食神 -但是你&lt;/button&gt;&lt;/div&gt;")</f>
        <v>&lt;button class="topic" onclick="showResult('142')"&gt;食神 -但是你&lt;/button&gt;&lt;/div&gt;</v>
      </c>
    </row>
    <row r="143" spans="1:1" ht="13" x14ac:dyDescent="0.15">
      <c r="A143" s="12" t="str">
        <f ca="1">IFERROR(__xludf.DUMMYFUNCTION("""COMPUTED_VALUE"""),"&lt;div id=""topics""&gt;&lt;button class=""topic"" onclick=""showResult('143')""&gt;食神 -你欣賞&lt;/button&gt;")</f>
        <v>&lt;div id="topics"&gt;&lt;button class="topic" onclick="showResult('143')"&gt;食神 -你欣賞&lt;/button&gt;</v>
      </c>
    </row>
    <row r="144" spans="1:1" ht="13" x14ac:dyDescent="0.15">
      <c r="A144" s="12" t="str">
        <f ca="1">IFERROR(__xludf.DUMMYFUNCTION("""COMPUTED_VALUE"""),"&lt;button class=""topic"" onclick=""showResult('144')""&gt;食神 -你希望&lt;/button&gt;")</f>
        <v>&lt;button class="topic" onclick="showResult('144')"&gt;食神 -你希望&lt;/button&gt;</v>
      </c>
    </row>
    <row r="145" spans="1:1" ht="13" x14ac:dyDescent="0.15">
      <c r="A145" s="12" t="str">
        <f ca="1">IFERROR(__xludf.DUMMYFUNCTION("""COMPUTED_VALUE"""),"&lt;button class=""topic"" onclick=""showResult('145')""&gt;食神 -但是他&lt;/button&gt;&lt;/div&gt;")</f>
        <v>&lt;button class="topic" onclick="showResult('145')"&gt;食神 -但是他&lt;/button&gt;&lt;/div&gt;</v>
      </c>
    </row>
    <row r="146" spans="1:1" ht="13" x14ac:dyDescent="0.15">
      <c r="A146" s="12" t="str">
        <f ca="1">IFERROR(__xludf.DUMMYFUNCTION("""COMPUTED_VALUE"""),"&lt;div id=""topics""&gt;&lt;button class=""topic"" onclick=""showResult('146')""&gt;傷官 -他欣賞&lt;/button&gt;")</f>
        <v>&lt;div id="topics"&gt;&lt;button class="topic" onclick="showResult('146')"&gt;傷官 -他欣賞&lt;/button&gt;</v>
      </c>
    </row>
    <row r="147" spans="1:1" ht="13" x14ac:dyDescent="0.15">
      <c r="A147" s="12" t="str">
        <f ca="1">IFERROR(__xludf.DUMMYFUNCTION("""COMPUTED_VALUE"""),"&lt;button class=""topic"" onclick=""showResult('147')""&gt;傷官 -他希望&lt;/button&gt;")</f>
        <v>&lt;button class="topic" onclick="showResult('147')"&gt;傷官 -他希望&lt;/button&gt;</v>
      </c>
    </row>
    <row r="148" spans="1:1" ht="13" x14ac:dyDescent="0.15">
      <c r="A148" s="12" t="str">
        <f ca="1">IFERROR(__xludf.DUMMYFUNCTION("""COMPUTED_VALUE"""),"&lt;button class=""topic"" onclick=""showResult('148')""&gt;傷官 -但是你&lt;/button&gt;&lt;/div&gt;")</f>
        <v>&lt;button class="topic" onclick="showResult('148')"&gt;傷官 -但是你&lt;/button&gt;&lt;/div&gt;</v>
      </c>
    </row>
    <row r="149" spans="1:1" ht="13" x14ac:dyDescent="0.15">
      <c r="A149" s="12" t="str">
        <f ca="1">IFERROR(__xludf.DUMMYFUNCTION("""COMPUTED_VALUE"""),"&lt;div id=""topics""&gt;&lt;button class=""topic"" onclick=""showResult('149')""&gt;傷官 -你欣賞&lt;/button&gt;")</f>
        <v>&lt;div id="topics"&gt;&lt;button class="topic" onclick="showResult('149')"&gt;傷官 -你欣賞&lt;/button&gt;</v>
      </c>
    </row>
    <row r="150" spans="1:1" ht="13" x14ac:dyDescent="0.15">
      <c r="A150" s="12" t="str">
        <f ca="1">IFERROR(__xludf.DUMMYFUNCTION("""COMPUTED_VALUE"""),"&lt;button class=""topic"" onclick=""showResult('150')""&gt;傷官 -你希望&lt;/button&gt;")</f>
        <v>&lt;button class="topic" onclick="showResult('150')"&gt;傷官 -你希望&lt;/button&gt;</v>
      </c>
    </row>
    <row r="151" spans="1:1" ht="13" x14ac:dyDescent="0.15">
      <c r="A151" s="12" t="str">
        <f ca="1">IFERROR(__xludf.DUMMYFUNCTION("""COMPUTED_VALUE"""),"&lt;button class=""topic"" onclick=""showResult('151')""&gt;傷官 -但是他&lt;/button&gt;&lt;/div&gt;")</f>
        <v>&lt;button class="topic" onclick="showResult('151')"&gt;傷官 -但是他&lt;/button&gt;&lt;/div&gt;</v>
      </c>
    </row>
    <row r="152" spans="1:1" ht="13" x14ac:dyDescent="0.15">
      <c r="A152" s="12" t="str">
        <f ca="1">IFERROR(__xludf.DUMMYFUNCTION("""COMPUTED_VALUE"""),"&lt;div id=""topics""&gt;&lt;button class=""topic"" onclick=""showResult('152')""&gt;正財 -他欣賞&lt;/button&gt;")</f>
        <v>&lt;div id="topics"&gt;&lt;button class="topic" onclick="showResult('152')"&gt;正財 -他欣賞&lt;/button&gt;</v>
      </c>
    </row>
    <row r="153" spans="1:1" ht="13" x14ac:dyDescent="0.15">
      <c r="A153" s="12" t="str">
        <f ca="1">IFERROR(__xludf.DUMMYFUNCTION("""COMPUTED_VALUE"""),"&lt;button class=""topic"" onclick=""showResult('153')""&gt;正財 -他希望&lt;/button&gt;")</f>
        <v>&lt;button class="topic" onclick="showResult('153')"&gt;正財 -他希望&lt;/button&gt;</v>
      </c>
    </row>
    <row r="154" spans="1:1" ht="13" x14ac:dyDescent="0.15">
      <c r="A154" s="12" t="str">
        <f ca="1">IFERROR(__xludf.DUMMYFUNCTION("""COMPUTED_VALUE"""),"&lt;button class=""topic"" onclick=""showResult('154')""&gt;正財 -但是你&lt;/button&gt;&lt;/div&gt;")</f>
        <v>&lt;button class="topic" onclick="showResult('154')"&gt;正財 -但是你&lt;/button&gt;&lt;/div&gt;</v>
      </c>
    </row>
    <row r="155" spans="1:1" ht="13" x14ac:dyDescent="0.15">
      <c r="A155" s="12" t="str">
        <f ca="1">IFERROR(__xludf.DUMMYFUNCTION("""COMPUTED_VALUE"""),"&lt;div id=""topics""&gt;&lt;button class=""topic"" onclick=""showResult('155')""&gt;正財 -你欣賞&lt;/button&gt;")</f>
        <v>&lt;div id="topics"&gt;&lt;button class="topic" onclick="showResult('155')"&gt;正財 -你欣賞&lt;/button&gt;</v>
      </c>
    </row>
    <row r="156" spans="1:1" ht="13" x14ac:dyDescent="0.15">
      <c r="A156" s="12" t="str">
        <f ca="1">IFERROR(__xludf.DUMMYFUNCTION("""COMPUTED_VALUE"""),"&lt;button class=""topic"" onclick=""showResult('156')""&gt;正財 -你希望&lt;/button&gt;")</f>
        <v>&lt;button class="topic" onclick="showResult('156')"&gt;正財 -你希望&lt;/button&gt;</v>
      </c>
    </row>
    <row r="157" spans="1:1" ht="13" x14ac:dyDescent="0.15">
      <c r="A157" s="12" t="str">
        <f ca="1">IFERROR(__xludf.DUMMYFUNCTION("""COMPUTED_VALUE"""),"&lt;button class=""topic"" onclick=""showResult('157')""&gt;正財 -但是他&lt;/button&gt;&lt;/div&gt;")</f>
        <v>&lt;button class="topic" onclick="showResult('157')"&gt;正財 -但是他&lt;/button&gt;&lt;/div&gt;</v>
      </c>
    </row>
    <row r="158" spans="1:1" ht="13" x14ac:dyDescent="0.15">
      <c r="A158" s="12" t="str">
        <f ca="1">IFERROR(__xludf.DUMMYFUNCTION("""COMPUTED_VALUE"""),"&lt;div id=""topics""&gt;&lt;button class=""topic"" onclick=""showResult('158')""&gt;偏財 -他欣賞&lt;/button&gt;")</f>
        <v>&lt;div id="topics"&gt;&lt;button class="topic" onclick="showResult('158')"&gt;偏財 -他欣賞&lt;/button&gt;</v>
      </c>
    </row>
    <row r="159" spans="1:1" ht="13" x14ac:dyDescent="0.15">
      <c r="A159" s="12" t="str">
        <f ca="1">IFERROR(__xludf.DUMMYFUNCTION("""COMPUTED_VALUE"""),"&lt;button class=""topic"" onclick=""showResult('159')""&gt;偏財 -他希望&lt;/button&gt;")</f>
        <v>&lt;button class="topic" onclick="showResult('159')"&gt;偏財 -他希望&lt;/button&gt;</v>
      </c>
    </row>
    <row r="160" spans="1:1" ht="13" x14ac:dyDescent="0.15">
      <c r="A160" s="12" t="str">
        <f ca="1">IFERROR(__xludf.DUMMYFUNCTION("""COMPUTED_VALUE"""),"&lt;button class=""topic"" onclick=""showResult('160')""&gt;偏財 -但是你&lt;/button&gt;&lt;/div&gt;")</f>
        <v>&lt;button class="topic" onclick="showResult('160')"&gt;偏財 -但是你&lt;/button&gt;&lt;/div&gt;</v>
      </c>
    </row>
    <row r="161" spans="1:1" ht="13" x14ac:dyDescent="0.15">
      <c r="A161" s="12" t="str">
        <f ca="1">IFERROR(__xludf.DUMMYFUNCTION("""COMPUTED_VALUE"""),"&lt;div id=""topics""&gt;&lt;button class=""topic"" onclick=""showResult('161')""&gt;偏財 -你欣賞&lt;/button&gt;")</f>
        <v>&lt;div id="topics"&gt;&lt;button class="topic" onclick="showResult('161')"&gt;偏財 -你欣賞&lt;/button&gt;</v>
      </c>
    </row>
    <row r="162" spans="1:1" ht="13" x14ac:dyDescent="0.15">
      <c r="A162" s="12" t="str">
        <f ca="1">IFERROR(__xludf.DUMMYFUNCTION("""COMPUTED_VALUE"""),"&lt;button class=""topic"" onclick=""showResult('162')""&gt;偏財 -你希望&lt;/button&gt;")</f>
        <v>&lt;button class="topic" onclick="showResult('162')"&gt;偏財 -你希望&lt;/button&gt;</v>
      </c>
    </row>
    <row r="163" spans="1:1" ht="13" x14ac:dyDescent="0.15">
      <c r="A163" s="12" t="str">
        <f ca="1">IFERROR(__xludf.DUMMYFUNCTION("""COMPUTED_VALUE"""),"&lt;button class=""topic"" onclick=""showResult('163')""&gt;偏財 -但是他&lt;/button&gt;&lt;/div&gt;")</f>
        <v>&lt;button class="topic" onclick="showResult('163')"&gt;偏財 -但是他&lt;/button&gt;&lt;/div&gt;</v>
      </c>
    </row>
    <row r="164" spans="1:1" ht="13" x14ac:dyDescent="0.15">
      <c r="A164" s="12" t="str">
        <f ca="1">IFERROR(__xludf.DUMMYFUNCTION("""COMPUTED_VALUE"""),"&lt;div id=""topics""&gt;&lt;label for=""nameInput""&gt;天干&lt;/label&gt;&lt;/div&gt;")</f>
        <v>&lt;div id="topics"&gt;&lt;label for="nameInput"&gt;天干&lt;/label&gt;&lt;/div&gt;</v>
      </c>
    </row>
    <row r="165" spans="1:1" ht="13" x14ac:dyDescent="0.15">
      <c r="A165" s="12" t="str">
        <f ca="1">IFERROR(__xludf.DUMMYFUNCTION("""COMPUTED_VALUE"""),"&lt;div id=""topics""&gt;&lt;button class=""topic"" onclick=""showResult('165')""&gt;甲 -他欣賞&lt;/button&gt;")</f>
        <v>&lt;div id="topics"&gt;&lt;button class="topic" onclick="showResult('165')"&gt;甲 -他欣賞&lt;/button&gt;</v>
      </c>
    </row>
    <row r="166" spans="1:1" ht="13" x14ac:dyDescent="0.15">
      <c r="A166" s="12" t="str">
        <f ca="1">IFERROR(__xludf.DUMMYFUNCTION("""COMPUTED_VALUE"""),"&lt;button class=""topic"" onclick=""showResult('166')""&gt;甲 -他希望&lt;/button&gt;")</f>
        <v>&lt;button class="topic" onclick="showResult('166')"&gt;甲 -他希望&lt;/button&gt;</v>
      </c>
    </row>
    <row r="167" spans="1:1" ht="13" x14ac:dyDescent="0.15">
      <c r="A167" s="12" t="str">
        <f ca="1">IFERROR(__xludf.DUMMYFUNCTION("""COMPUTED_VALUE"""),"&lt;button class=""topic"" onclick=""showResult('167')""&gt;甲 -但是你&lt;/button&gt;&lt;/div&gt;")</f>
        <v>&lt;button class="topic" onclick="showResult('167')"&gt;甲 -但是你&lt;/button&gt;&lt;/div&gt;</v>
      </c>
    </row>
    <row r="168" spans="1:1" ht="13" x14ac:dyDescent="0.15">
      <c r="A168" s="12" t="str">
        <f ca="1">IFERROR(__xludf.DUMMYFUNCTION("""COMPUTED_VALUE"""),"&lt;div id=""topics""&gt;&lt;button class=""topic"" onclick=""showResult('168')""&gt;甲 -你欣賞&lt;/button&gt;")</f>
        <v>&lt;div id="topics"&gt;&lt;button class="topic" onclick="showResult('168')"&gt;甲 -你欣賞&lt;/button&gt;</v>
      </c>
    </row>
    <row r="169" spans="1:1" ht="13" x14ac:dyDescent="0.15">
      <c r="A169" s="12" t="str">
        <f ca="1">IFERROR(__xludf.DUMMYFUNCTION("""COMPUTED_VALUE"""),"&lt;button class=""topic"" onclick=""showResult('169')""&gt;甲 -你希望&lt;/button&gt;")</f>
        <v>&lt;button class="topic" onclick="showResult('169')"&gt;甲 -你希望&lt;/button&gt;</v>
      </c>
    </row>
    <row r="170" spans="1:1" ht="13" x14ac:dyDescent="0.15">
      <c r="A170" s="12" t="str">
        <f ca="1">IFERROR(__xludf.DUMMYFUNCTION("""COMPUTED_VALUE"""),"&lt;button class=""topic"" onclick=""showResult('170')""&gt;甲 -但是他&lt;/button&gt;&lt;/div&gt;")</f>
        <v>&lt;button class="topic" onclick="showResult('170')"&gt;甲 -但是他&lt;/button&gt;&lt;/div&gt;</v>
      </c>
    </row>
    <row r="171" spans="1:1" ht="13" x14ac:dyDescent="0.15">
      <c r="A171" s="12" t="str">
        <f ca="1">IFERROR(__xludf.DUMMYFUNCTION("""COMPUTED_VALUE"""),"&lt;div id=""topics""&gt;&lt;button class=""topic"" onclick=""showResult('171')""&gt;乙 -他欣賞&lt;/button&gt;")</f>
        <v>&lt;div id="topics"&gt;&lt;button class="topic" onclick="showResult('171')"&gt;乙 -他欣賞&lt;/button&gt;</v>
      </c>
    </row>
    <row r="172" spans="1:1" ht="13" x14ac:dyDescent="0.15">
      <c r="A172" s="12" t="str">
        <f ca="1">IFERROR(__xludf.DUMMYFUNCTION("""COMPUTED_VALUE"""),"&lt;button class=""topic"" onclick=""showResult('172')""&gt;乙 -他希望&lt;/button&gt;")</f>
        <v>&lt;button class="topic" onclick="showResult('172')"&gt;乙 -他希望&lt;/button&gt;</v>
      </c>
    </row>
    <row r="173" spans="1:1" ht="13" x14ac:dyDescent="0.15">
      <c r="A173" s="12" t="str">
        <f ca="1">IFERROR(__xludf.DUMMYFUNCTION("""COMPUTED_VALUE"""),"&lt;button class=""topic"" onclick=""showResult('173')""&gt;乙 -但是你&lt;/button&gt;&lt;/div&gt;")</f>
        <v>&lt;button class="topic" onclick="showResult('173')"&gt;乙 -但是你&lt;/button&gt;&lt;/div&gt;</v>
      </c>
    </row>
    <row r="174" spans="1:1" ht="13" x14ac:dyDescent="0.15">
      <c r="A174" s="12" t="str">
        <f ca="1">IFERROR(__xludf.DUMMYFUNCTION("""COMPUTED_VALUE"""),"&lt;div id=""topics""&gt;&lt;button class=""topic"" onclick=""showResult('174')""&gt;乙 -你欣賞&lt;/button&gt;")</f>
        <v>&lt;div id="topics"&gt;&lt;button class="topic" onclick="showResult('174')"&gt;乙 -你欣賞&lt;/button&gt;</v>
      </c>
    </row>
    <row r="175" spans="1:1" ht="13" x14ac:dyDescent="0.15">
      <c r="A175" s="12" t="str">
        <f ca="1">IFERROR(__xludf.DUMMYFUNCTION("""COMPUTED_VALUE"""),"&lt;button class=""topic"" onclick=""showResult('175')""&gt;乙 -你希望&lt;/button&gt;")</f>
        <v>&lt;button class="topic" onclick="showResult('175')"&gt;乙 -你希望&lt;/button&gt;</v>
      </c>
    </row>
    <row r="176" spans="1:1" ht="13" x14ac:dyDescent="0.15">
      <c r="A176" s="12" t="str">
        <f ca="1">IFERROR(__xludf.DUMMYFUNCTION("""COMPUTED_VALUE"""),"&lt;button class=""topic"" onclick=""showResult('176')""&gt;乙 -但是他&lt;/button&gt;&lt;/div&gt;")</f>
        <v>&lt;button class="topic" onclick="showResult('176')"&gt;乙 -但是他&lt;/button&gt;&lt;/div&gt;</v>
      </c>
    </row>
    <row r="177" spans="1:1" ht="13" x14ac:dyDescent="0.15">
      <c r="A177" s="12" t="str">
        <f ca="1">IFERROR(__xludf.DUMMYFUNCTION("""COMPUTED_VALUE"""),"&lt;div id=""topics""&gt;&lt;button class=""topic"" onclick=""showResult('177')""&gt;丙 -他欣賞&lt;/button&gt;")</f>
        <v>&lt;div id="topics"&gt;&lt;button class="topic" onclick="showResult('177')"&gt;丙 -他欣賞&lt;/button&gt;</v>
      </c>
    </row>
    <row r="178" spans="1:1" ht="13" x14ac:dyDescent="0.15">
      <c r="A178" s="12" t="str">
        <f ca="1">IFERROR(__xludf.DUMMYFUNCTION("""COMPUTED_VALUE"""),"&lt;button class=""topic"" onclick=""showResult('178')""&gt;丙 -他希望&lt;/button&gt;")</f>
        <v>&lt;button class="topic" onclick="showResult('178')"&gt;丙 -他希望&lt;/button&gt;</v>
      </c>
    </row>
    <row r="179" spans="1:1" ht="13" x14ac:dyDescent="0.15">
      <c r="A179" s="12" t="str">
        <f ca="1">IFERROR(__xludf.DUMMYFUNCTION("""COMPUTED_VALUE"""),"&lt;button class=""topic"" onclick=""showResult('179')""&gt;丙 -但是你&lt;/button&gt;&lt;/div&gt;")</f>
        <v>&lt;button class="topic" onclick="showResult('179')"&gt;丙 -但是你&lt;/button&gt;&lt;/div&gt;</v>
      </c>
    </row>
    <row r="180" spans="1:1" ht="13" x14ac:dyDescent="0.15">
      <c r="A180" s="12" t="str">
        <f ca="1">IFERROR(__xludf.DUMMYFUNCTION("""COMPUTED_VALUE"""),"&lt;div id=""topics""&gt;&lt;button class=""topic"" onclick=""showResult('180')""&gt;丙 -你欣賞&lt;/button&gt;")</f>
        <v>&lt;div id="topics"&gt;&lt;button class="topic" onclick="showResult('180')"&gt;丙 -你欣賞&lt;/button&gt;</v>
      </c>
    </row>
    <row r="181" spans="1:1" ht="13" x14ac:dyDescent="0.15">
      <c r="A181" s="12" t="str">
        <f ca="1">IFERROR(__xludf.DUMMYFUNCTION("""COMPUTED_VALUE"""),"&lt;button class=""topic"" onclick=""showResult('181')""&gt;丙 -你希望&lt;/button&gt;")</f>
        <v>&lt;button class="topic" onclick="showResult('181')"&gt;丙 -你希望&lt;/button&gt;</v>
      </c>
    </row>
    <row r="182" spans="1:1" ht="13" x14ac:dyDescent="0.15">
      <c r="A182" s="12" t="str">
        <f ca="1">IFERROR(__xludf.DUMMYFUNCTION("""COMPUTED_VALUE"""),"&lt;button class=""topic"" onclick=""showResult('182')""&gt;丙 -但是他&lt;/button&gt;&lt;/div&gt;")</f>
        <v>&lt;button class="topic" onclick="showResult('182')"&gt;丙 -但是他&lt;/button&gt;&lt;/div&gt;</v>
      </c>
    </row>
    <row r="183" spans="1:1" ht="13" x14ac:dyDescent="0.15">
      <c r="A183" s="12" t="str">
        <f ca="1">IFERROR(__xludf.DUMMYFUNCTION("""COMPUTED_VALUE"""),"&lt;div id=""topics""&gt;&lt;button class=""topic"" onclick=""showResult('183')""&gt;丁 -他欣賞&lt;/button&gt;")</f>
        <v>&lt;div id="topics"&gt;&lt;button class="topic" onclick="showResult('183')"&gt;丁 -他欣賞&lt;/button&gt;</v>
      </c>
    </row>
    <row r="184" spans="1:1" ht="13" x14ac:dyDescent="0.15">
      <c r="A184" s="12" t="str">
        <f ca="1">IFERROR(__xludf.DUMMYFUNCTION("""COMPUTED_VALUE"""),"&lt;button class=""topic"" onclick=""showResult('184')""&gt;丁 -他希望&lt;/button&gt;")</f>
        <v>&lt;button class="topic" onclick="showResult('184')"&gt;丁 -他希望&lt;/button&gt;</v>
      </c>
    </row>
    <row r="185" spans="1:1" ht="13" x14ac:dyDescent="0.15">
      <c r="A185" s="12" t="str">
        <f ca="1">IFERROR(__xludf.DUMMYFUNCTION("""COMPUTED_VALUE"""),"&lt;button class=""topic"" onclick=""showResult('185')""&gt;丁 -但是你&lt;/button&gt;&lt;/div&gt;")</f>
        <v>&lt;button class="topic" onclick="showResult('185')"&gt;丁 -但是你&lt;/button&gt;&lt;/div&gt;</v>
      </c>
    </row>
    <row r="186" spans="1:1" ht="13" x14ac:dyDescent="0.15">
      <c r="A186" s="12" t="str">
        <f ca="1">IFERROR(__xludf.DUMMYFUNCTION("""COMPUTED_VALUE"""),"&lt;div id=""topics""&gt;&lt;button class=""topic"" onclick=""showResult('186')""&gt;丁 -你欣賞&lt;/button&gt;")</f>
        <v>&lt;div id="topics"&gt;&lt;button class="topic" onclick="showResult('186')"&gt;丁 -你欣賞&lt;/button&gt;</v>
      </c>
    </row>
    <row r="187" spans="1:1" ht="13" x14ac:dyDescent="0.15">
      <c r="A187" s="12" t="str">
        <f ca="1">IFERROR(__xludf.DUMMYFUNCTION("""COMPUTED_VALUE"""),"&lt;button class=""topic"" onclick=""showResult('187')""&gt;丁 -你希望&lt;/button&gt;")</f>
        <v>&lt;button class="topic" onclick="showResult('187')"&gt;丁 -你希望&lt;/button&gt;</v>
      </c>
    </row>
    <row r="188" spans="1:1" ht="13" x14ac:dyDescent="0.15">
      <c r="A188" s="12" t="str">
        <f ca="1">IFERROR(__xludf.DUMMYFUNCTION("""COMPUTED_VALUE"""),"&lt;button class=""topic"" onclick=""showResult('188')""&gt;丁 -但是他&lt;/button&gt;&lt;/div&gt;")</f>
        <v>&lt;button class="topic" onclick="showResult('188')"&gt;丁 -但是他&lt;/button&gt;&lt;/div&gt;</v>
      </c>
    </row>
    <row r="189" spans="1:1" ht="13" x14ac:dyDescent="0.15">
      <c r="A189" s="12" t="str">
        <f ca="1">IFERROR(__xludf.DUMMYFUNCTION("""COMPUTED_VALUE"""),"&lt;div id=""topics""&gt;&lt;button class=""topic"" onclick=""showResult('189')""&gt;戊 -他欣賞&lt;/button&gt;")</f>
        <v>&lt;div id="topics"&gt;&lt;button class="topic" onclick="showResult('189')"&gt;戊 -他欣賞&lt;/button&gt;</v>
      </c>
    </row>
    <row r="190" spans="1:1" ht="13" x14ac:dyDescent="0.15">
      <c r="A190" s="12" t="str">
        <f ca="1">IFERROR(__xludf.DUMMYFUNCTION("""COMPUTED_VALUE"""),"&lt;button class=""topic"" onclick=""showResult('190')""&gt;戊 -他希望&lt;/button&gt;")</f>
        <v>&lt;button class="topic" onclick="showResult('190')"&gt;戊 -他希望&lt;/button&gt;</v>
      </c>
    </row>
    <row r="191" spans="1:1" ht="13" x14ac:dyDescent="0.15">
      <c r="A191" s="12" t="str">
        <f ca="1">IFERROR(__xludf.DUMMYFUNCTION("""COMPUTED_VALUE"""),"&lt;button class=""topic"" onclick=""showResult('191')""&gt;戊 -但是你&lt;/button&gt;&lt;/div&gt;")</f>
        <v>&lt;button class="topic" onclick="showResult('191')"&gt;戊 -但是你&lt;/button&gt;&lt;/div&gt;</v>
      </c>
    </row>
    <row r="192" spans="1:1" ht="13" x14ac:dyDescent="0.15">
      <c r="A192" s="12" t="str">
        <f ca="1">IFERROR(__xludf.DUMMYFUNCTION("""COMPUTED_VALUE"""),"&lt;div id=""topics""&gt;&lt;button class=""topic"" onclick=""showResult('192')""&gt;戊 -你欣賞&lt;/button&gt;")</f>
        <v>&lt;div id="topics"&gt;&lt;button class="topic" onclick="showResult('192')"&gt;戊 -你欣賞&lt;/button&gt;</v>
      </c>
    </row>
    <row r="193" spans="1:1" ht="13" x14ac:dyDescent="0.15">
      <c r="A193" s="12" t="str">
        <f ca="1">IFERROR(__xludf.DUMMYFUNCTION("""COMPUTED_VALUE"""),"&lt;button class=""topic"" onclick=""showResult('193')""&gt;戊 -你希望&lt;/button&gt;")</f>
        <v>&lt;button class="topic" onclick="showResult('193')"&gt;戊 -你希望&lt;/button&gt;</v>
      </c>
    </row>
    <row r="194" spans="1:1" ht="13" x14ac:dyDescent="0.15">
      <c r="A194" s="12" t="str">
        <f ca="1">IFERROR(__xludf.DUMMYFUNCTION("""COMPUTED_VALUE"""),"&lt;button class=""topic"" onclick=""showResult('194')""&gt;戊 -但是他&lt;/button&gt;&lt;/div&gt;")</f>
        <v>&lt;button class="topic" onclick="showResult('194')"&gt;戊 -但是他&lt;/button&gt;&lt;/div&gt;</v>
      </c>
    </row>
    <row r="195" spans="1:1" ht="13" x14ac:dyDescent="0.15">
      <c r="A195" s="12" t="str">
        <f ca="1">IFERROR(__xludf.DUMMYFUNCTION("""COMPUTED_VALUE"""),"&lt;div id=""topics""&gt;&lt;button class=""topic"" onclick=""showResult('195')""&gt;己 -他欣賞&lt;/button&gt;")</f>
        <v>&lt;div id="topics"&gt;&lt;button class="topic" onclick="showResult('195')"&gt;己 -他欣賞&lt;/button&gt;</v>
      </c>
    </row>
    <row r="196" spans="1:1" ht="13" x14ac:dyDescent="0.15">
      <c r="A196" s="12" t="str">
        <f ca="1">IFERROR(__xludf.DUMMYFUNCTION("""COMPUTED_VALUE"""),"&lt;button class=""topic"" onclick=""showResult('196')""&gt;己 -他希望&lt;/button&gt;")</f>
        <v>&lt;button class="topic" onclick="showResult('196')"&gt;己 -他希望&lt;/button&gt;</v>
      </c>
    </row>
    <row r="197" spans="1:1" ht="13" x14ac:dyDescent="0.15">
      <c r="A197" s="12" t="str">
        <f ca="1">IFERROR(__xludf.DUMMYFUNCTION("""COMPUTED_VALUE"""),"&lt;button class=""topic"" onclick=""showResult('197')""&gt;己 -但是你&lt;/button&gt;&lt;/div&gt;")</f>
        <v>&lt;button class="topic" onclick="showResult('197')"&gt;己 -但是你&lt;/button&gt;&lt;/div&gt;</v>
      </c>
    </row>
    <row r="198" spans="1:1" ht="13" x14ac:dyDescent="0.15">
      <c r="A198" s="12" t="str">
        <f ca="1">IFERROR(__xludf.DUMMYFUNCTION("""COMPUTED_VALUE"""),"&lt;div id=""topics""&gt;&lt;button class=""topic"" onclick=""showResult('198')""&gt;己 -你欣賞&lt;/button&gt;")</f>
        <v>&lt;div id="topics"&gt;&lt;button class="topic" onclick="showResult('198')"&gt;己 -你欣賞&lt;/button&gt;</v>
      </c>
    </row>
    <row r="199" spans="1:1" ht="13" x14ac:dyDescent="0.15">
      <c r="A199" s="12" t="str">
        <f ca="1">IFERROR(__xludf.DUMMYFUNCTION("""COMPUTED_VALUE"""),"&lt;button class=""topic"" onclick=""showResult('199')""&gt;己 -你希望&lt;/button&gt;")</f>
        <v>&lt;button class="topic" onclick="showResult('199')"&gt;己 -你希望&lt;/button&gt;</v>
      </c>
    </row>
    <row r="200" spans="1:1" ht="13" x14ac:dyDescent="0.15">
      <c r="A200" s="12" t="str">
        <f ca="1">IFERROR(__xludf.DUMMYFUNCTION("""COMPUTED_VALUE"""),"&lt;button class=""topic"" onclick=""showResult('200')""&gt;己 -但是他&lt;/button&gt;&lt;/div&gt;")</f>
        <v>&lt;button class="topic" onclick="showResult('200')"&gt;己 -但是他&lt;/button&gt;&lt;/div&gt;</v>
      </c>
    </row>
    <row r="201" spans="1:1" ht="13" x14ac:dyDescent="0.15">
      <c r="A201" s="12" t="str">
        <f ca="1">IFERROR(__xludf.DUMMYFUNCTION("""COMPUTED_VALUE"""),"&lt;div id=""topics""&gt;&lt;button class=""topic"" onclick=""showResult('201')""&gt;庚 -他欣賞&lt;/button&gt;")</f>
        <v>&lt;div id="topics"&gt;&lt;button class="topic" onclick="showResult('201')"&gt;庚 -他欣賞&lt;/button&gt;</v>
      </c>
    </row>
    <row r="202" spans="1:1" ht="13" x14ac:dyDescent="0.15">
      <c r="A202" s="12" t="str">
        <f ca="1">IFERROR(__xludf.DUMMYFUNCTION("""COMPUTED_VALUE"""),"&lt;button class=""topic"" onclick=""showResult('202')""&gt;庚 -他希望&lt;/button&gt;")</f>
        <v>&lt;button class="topic" onclick="showResult('202')"&gt;庚 -他希望&lt;/button&gt;</v>
      </c>
    </row>
    <row r="203" spans="1:1" ht="13" x14ac:dyDescent="0.15">
      <c r="A203" s="12" t="str">
        <f ca="1">IFERROR(__xludf.DUMMYFUNCTION("""COMPUTED_VALUE"""),"&lt;button class=""topic"" onclick=""showResult('203')""&gt;庚 -但是你&lt;/button&gt;&lt;/div&gt;")</f>
        <v>&lt;button class="topic" onclick="showResult('203')"&gt;庚 -但是你&lt;/button&gt;&lt;/div&gt;</v>
      </c>
    </row>
    <row r="204" spans="1:1" ht="13" x14ac:dyDescent="0.15">
      <c r="A204" s="12" t="str">
        <f ca="1">IFERROR(__xludf.DUMMYFUNCTION("""COMPUTED_VALUE"""),"&lt;div id=""topics""&gt;&lt;button class=""topic"" onclick=""showResult('204')""&gt;庚 -你欣賞&lt;/button&gt;")</f>
        <v>&lt;div id="topics"&gt;&lt;button class="topic" onclick="showResult('204')"&gt;庚 -你欣賞&lt;/button&gt;</v>
      </c>
    </row>
    <row r="205" spans="1:1" ht="13" x14ac:dyDescent="0.15">
      <c r="A205" s="12" t="str">
        <f ca="1">IFERROR(__xludf.DUMMYFUNCTION("""COMPUTED_VALUE"""),"&lt;button class=""topic"" onclick=""showResult('205')""&gt;庚 -你希望&lt;/button&gt;")</f>
        <v>&lt;button class="topic" onclick="showResult('205')"&gt;庚 -你希望&lt;/button&gt;</v>
      </c>
    </row>
    <row r="206" spans="1:1" ht="13" x14ac:dyDescent="0.15">
      <c r="A206" s="12" t="str">
        <f ca="1">IFERROR(__xludf.DUMMYFUNCTION("""COMPUTED_VALUE"""),"&lt;button class=""topic"" onclick=""showResult('206')""&gt;庚 -但是他&lt;/button&gt;&lt;/div&gt;")</f>
        <v>&lt;button class="topic" onclick="showResult('206')"&gt;庚 -但是他&lt;/button&gt;&lt;/div&gt;</v>
      </c>
    </row>
    <row r="207" spans="1:1" ht="13" x14ac:dyDescent="0.15">
      <c r="A207" s="12" t="str">
        <f ca="1">IFERROR(__xludf.DUMMYFUNCTION("""COMPUTED_VALUE"""),"&lt;div id=""topics""&gt;&lt;button class=""topic"" onclick=""showResult('207')""&gt;辛 -他欣賞&lt;/button&gt;")</f>
        <v>&lt;div id="topics"&gt;&lt;button class="topic" onclick="showResult('207')"&gt;辛 -他欣賞&lt;/button&gt;</v>
      </c>
    </row>
    <row r="208" spans="1:1" ht="13" x14ac:dyDescent="0.15">
      <c r="A208" s="12" t="str">
        <f ca="1">IFERROR(__xludf.DUMMYFUNCTION("""COMPUTED_VALUE"""),"&lt;button class=""topic"" onclick=""showResult('208')""&gt;辛 -他希望&lt;/button&gt;")</f>
        <v>&lt;button class="topic" onclick="showResult('208')"&gt;辛 -他希望&lt;/button&gt;</v>
      </c>
    </row>
    <row r="209" spans="1:1" ht="13" x14ac:dyDescent="0.15">
      <c r="A209" s="12" t="str">
        <f ca="1">IFERROR(__xludf.DUMMYFUNCTION("""COMPUTED_VALUE"""),"&lt;button class=""topic"" onclick=""showResult('209')""&gt;辛 -但是你&lt;/button&gt;&lt;/div&gt;")</f>
        <v>&lt;button class="topic" onclick="showResult('209')"&gt;辛 -但是你&lt;/button&gt;&lt;/div&gt;</v>
      </c>
    </row>
    <row r="210" spans="1:1" ht="13" x14ac:dyDescent="0.15">
      <c r="A210" s="12" t="str">
        <f ca="1">IFERROR(__xludf.DUMMYFUNCTION("""COMPUTED_VALUE"""),"&lt;div id=""topics""&gt;&lt;button class=""topic"" onclick=""showResult('210')""&gt;辛 -你欣賞&lt;/button&gt;")</f>
        <v>&lt;div id="topics"&gt;&lt;button class="topic" onclick="showResult('210')"&gt;辛 -你欣賞&lt;/button&gt;</v>
      </c>
    </row>
    <row r="211" spans="1:1" ht="13" x14ac:dyDescent="0.15">
      <c r="A211" s="12" t="str">
        <f ca="1">IFERROR(__xludf.DUMMYFUNCTION("""COMPUTED_VALUE"""),"&lt;button class=""topic"" onclick=""showResult('211')""&gt;辛 -你希望&lt;/button&gt;")</f>
        <v>&lt;button class="topic" onclick="showResult('211')"&gt;辛 -你希望&lt;/button&gt;</v>
      </c>
    </row>
    <row r="212" spans="1:1" ht="13" x14ac:dyDescent="0.15">
      <c r="A212" s="12" t="str">
        <f ca="1">IFERROR(__xludf.DUMMYFUNCTION("""COMPUTED_VALUE"""),"&lt;button class=""topic"" onclick=""showResult('212')""&gt;辛 -但是他&lt;/button&gt;&lt;/div&gt;")</f>
        <v>&lt;button class="topic" onclick="showResult('212')"&gt;辛 -但是他&lt;/button&gt;&lt;/div&gt;</v>
      </c>
    </row>
    <row r="213" spans="1:1" ht="13" x14ac:dyDescent="0.15">
      <c r="A213" s="12" t="str">
        <f ca="1">IFERROR(__xludf.DUMMYFUNCTION("""COMPUTED_VALUE"""),"&lt;div id=""topics""&gt;&lt;button class=""topic"" onclick=""showResult('213')""&gt;壬 -他欣賞&lt;/button&gt;")</f>
        <v>&lt;div id="topics"&gt;&lt;button class="topic" onclick="showResult('213')"&gt;壬 -他欣賞&lt;/button&gt;</v>
      </c>
    </row>
    <row r="214" spans="1:1" ht="13" x14ac:dyDescent="0.15">
      <c r="A214" s="12" t="str">
        <f ca="1">IFERROR(__xludf.DUMMYFUNCTION("""COMPUTED_VALUE"""),"&lt;button class=""topic"" onclick=""showResult('214')""&gt;壬 -他希望&lt;/button&gt;")</f>
        <v>&lt;button class="topic" onclick="showResult('214')"&gt;壬 -他希望&lt;/button&gt;</v>
      </c>
    </row>
    <row r="215" spans="1:1" ht="13" x14ac:dyDescent="0.15">
      <c r="A215" s="12" t="str">
        <f ca="1">IFERROR(__xludf.DUMMYFUNCTION("""COMPUTED_VALUE"""),"&lt;button class=""topic"" onclick=""showResult('215')""&gt;壬 -但是你&lt;/button&gt;&lt;/div&gt;")</f>
        <v>&lt;button class="topic" onclick="showResult('215')"&gt;壬 -但是你&lt;/button&gt;&lt;/div&gt;</v>
      </c>
    </row>
    <row r="216" spans="1:1" ht="13" x14ac:dyDescent="0.15">
      <c r="A216" s="12" t="str">
        <f ca="1">IFERROR(__xludf.DUMMYFUNCTION("""COMPUTED_VALUE"""),"&lt;div id=""topics""&gt;&lt;button class=""topic"" onclick=""showResult('216')""&gt;壬 -你欣賞&lt;/button&gt;")</f>
        <v>&lt;div id="topics"&gt;&lt;button class="topic" onclick="showResult('216')"&gt;壬 -你欣賞&lt;/button&gt;</v>
      </c>
    </row>
    <row r="217" spans="1:1" ht="13" x14ac:dyDescent="0.15">
      <c r="A217" s="12" t="str">
        <f ca="1">IFERROR(__xludf.DUMMYFUNCTION("""COMPUTED_VALUE"""),"&lt;button class=""topic"" onclick=""showResult('217')""&gt;壬 -你希望&lt;/button&gt;")</f>
        <v>&lt;button class="topic" onclick="showResult('217')"&gt;壬 -你希望&lt;/button&gt;</v>
      </c>
    </row>
    <row r="218" spans="1:1" ht="13" x14ac:dyDescent="0.15">
      <c r="A218" s="12" t="str">
        <f ca="1">IFERROR(__xludf.DUMMYFUNCTION("""COMPUTED_VALUE"""),"&lt;button class=""topic"" onclick=""showResult('218')""&gt;壬 -但是他&lt;/button&gt;&lt;/div&gt;")</f>
        <v>&lt;button class="topic" onclick="showResult('218')"&gt;壬 -但是他&lt;/button&gt;&lt;/div&gt;</v>
      </c>
    </row>
    <row r="219" spans="1:1" ht="13" x14ac:dyDescent="0.15">
      <c r="A219" s="12" t="str">
        <f ca="1">IFERROR(__xludf.DUMMYFUNCTION("""COMPUTED_VALUE"""),"&lt;div id=""topics""&gt;&lt;button class=""topic"" onclick=""showResult('219')""&gt;癸 -他欣賞&lt;/button&gt;")</f>
        <v>&lt;div id="topics"&gt;&lt;button class="topic" onclick="showResult('219')"&gt;癸 -他欣賞&lt;/button&gt;</v>
      </c>
    </row>
    <row r="220" spans="1:1" ht="13" x14ac:dyDescent="0.15">
      <c r="A220" s="12" t="str">
        <f ca="1">IFERROR(__xludf.DUMMYFUNCTION("""COMPUTED_VALUE"""),"&lt;button class=""topic"" onclick=""showResult('220')""&gt;癸 -他希望&lt;/button&gt;")</f>
        <v>&lt;button class="topic" onclick="showResult('220')"&gt;癸 -他希望&lt;/button&gt;</v>
      </c>
    </row>
    <row r="221" spans="1:1" ht="13" x14ac:dyDescent="0.15">
      <c r="A221" s="12" t="str">
        <f ca="1">IFERROR(__xludf.DUMMYFUNCTION("""COMPUTED_VALUE"""),"&lt;button class=""topic"" onclick=""showResult('221')""&gt;癸 -但是你&lt;/button&gt;&lt;/div&gt;")</f>
        <v>&lt;button class="topic" onclick="showResult('221')"&gt;癸 -但是你&lt;/button&gt;&lt;/div&gt;</v>
      </c>
    </row>
    <row r="222" spans="1:1" ht="13" x14ac:dyDescent="0.15">
      <c r="A222" s="12" t="str">
        <f ca="1">IFERROR(__xludf.DUMMYFUNCTION("""COMPUTED_VALUE"""),"&lt;div id=""topics""&gt;&lt;button class=""topic"" onclick=""showResult('222')""&gt;癸 -你欣賞&lt;/button&gt;")</f>
        <v>&lt;div id="topics"&gt;&lt;button class="topic" onclick="showResult('222')"&gt;癸 -你欣賞&lt;/button&gt;</v>
      </c>
    </row>
    <row r="223" spans="1:1" ht="13" x14ac:dyDescent="0.15">
      <c r="A223" s="12" t="str">
        <f ca="1">IFERROR(__xludf.DUMMYFUNCTION("""COMPUTED_VALUE"""),"&lt;button class=""topic"" onclick=""showResult('223')""&gt;癸 -你希望&lt;/button&gt;")</f>
        <v>&lt;button class="topic" onclick="showResult('223')"&gt;癸 -你希望&lt;/button&gt;</v>
      </c>
    </row>
    <row r="224" spans="1:1" ht="13" x14ac:dyDescent="0.15">
      <c r="A224" s="12" t="str">
        <f ca="1">IFERROR(__xludf.DUMMYFUNCTION("""COMPUTED_VALUE"""),"&lt;button class=""topic"" onclick=""showResult('224')""&gt;癸 -但是他&lt;/button&gt;&lt;/div&gt;")</f>
        <v>&lt;button class="topic" onclick="showResult('224')"&gt;癸 -但是他&lt;/button&gt;&lt;/div&gt;</v>
      </c>
    </row>
    <row r="225" spans="1:1" ht="13" x14ac:dyDescent="0.15">
      <c r="A225" s="12" t="str">
        <f ca="1">IFERROR(__xludf.DUMMYFUNCTION("""COMPUTED_VALUE"""),"&lt;div id=""topics""&gt;&lt;label for=""nameInput""&gt;結尾&lt;/label&gt;&lt;/div&gt;")</f>
        <v>&lt;div id="topics"&gt;&lt;label for="nameInput"&gt;結尾&lt;/label&gt;&lt;/div&gt;</v>
      </c>
    </row>
    <row r="226" spans="1:1" ht="13" x14ac:dyDescent="0.15">
      <c r="A226" s="12" t="str">
        <f ca="1">IFERROR(__xludf.DUMMYFUNCTION("""COMPUTED_VALUE"""),"&lt;div id=""topics""&gt;&lt;button class=""topic"" onclick=""showResult('226')""&gt;他喜歡你沒有&lt;/button&gt;")</f>
        <v>&lt;div id="topics"&gt;&lt;button class="topic" onclick="showResult('226')"&gt;他喜歡你沒有&lt;/button&gt;</v>
      </c>
    </row>
    <row r="227" spans="1:1" ht="13" x14ac:dyDescent="0.15">
      <c r="A227" s="12" t="str">
        <f ca="1">IFERROR(__xludf.DUMMYFUNCTION("""COMPUTED_VALUE"""),"&lt;button class=""topic"" onclick=""showResult('227')""&gt;你喜歡他沒有&lt;/button&gt;")</f>
        <v>&lt;button class="topic" onclick="showResult('227')"&gt;你喜歡他沒有&lt;/button&gt;</v>
      </c>
    </row>
    <row r="228" spans="1:1" ht="13" x14ac:dyDescent="0.15">
      <c r="A228" s="12" t="str">
        <f ca="1">IFERROR(__xludf.DUMMYFUNCTION("""COMPUTED_VALUE"""),"&lt;button class=""topic"" onclick=""showResult('228')""&gt;彼此也都沒有&lt;/button&gt;&lt;/div&gt;")</f>
        <v>&lt;button class="topic" onclick="showResult('228')"&gt;彼此也都沒有&lt;/button&gt;&lt;/div&gt;</v>
      </c>
    </row>
    <row r="229" spans="1:1" ht="13" x14ac:dyDescent="0.15">
      <c r="A229" s="12" t="str">
        <f ca="1">IFERROR(__xludf.DUMMYFUNCTION("""COMPUTED_VALUE"""),"&lt;div id=""topics""&gt;&lt;button class=""topic"" onclick=""showResult('229')""&gt;請常常表現&lt;/button&gt;")</f>
        <v>&lt;div id="topics"&gt;&lt;button class="topic" onclick="showResult('229')"&gt;請常常表現&lt;/button&gt;</v>
      </c>
    </row>
    <row r="230" spans="1:1" ht="13" x14ac:dyDescent="0.15">
      <c r="A230" s="12" t="str">
        <f ca="1">IFERROR(__xludf.DUMMYFUNCTION("""COMPUTED_VALUE"""),"&lt;button class=""topic"" onclick=""showResult('230')""&gt;你們的需求都一樣&lt;/button&gt;&lt;/div&gt;")</f>
        <v>&lt;button class="topic" onclick="showResult('230')"&gt;你們的需求都一樣&lt;/button&gt;&lt;/div&gt;</v>
      </c>
    </row>
    <row r="231" spans="1:1" ht="13" x14ac:dyDescent="0.15">
      <c r="A231" s="12" t="str">
        <f ca="1">IFERROR(__xludf.DUMMYFUNCTION("""COMPUTED_VALUE"""),"&lt;div id=""topics""&gt;&lt;button class=""topic"" onclick=""showResult('231')""&gt;成為「他喜歡的人」&lt;/button&gt;&lt;/div&gt;")</f>
        <v>&lt;div id="topics"&gt;&lt;button class="topic" onclick="showResult('231')"&gt;成為「他喜歡的人」&lt;/button&gt;&lt;/div&gt;</v>
      </c>
    </row>
    <row r="232" spans="1:1" ht="13" x14ac:dyDescent="0.15">
      <c r="A232" s="12" t="str">
        <f ca="1">IFERROR(__xludf.DUMMYFUNCTION("""COMPUTED_VALUE"""),"&lt;div id=""topics""&gt;&lt;label for=""nameInput""&gt;攻略&lt;/label&gt;&lt;/div&gt;")</f>
        <v>&lt;div id="topics"&gt;&lt;label for="nameInput"&gt;攻略&lt;/label&gt;&lt;/div&gt;</v>
      </c>
    </row>
    <row r="233" spans="1:1" ht="13" x14ac:dyDescent="0.15">
      <c r="A233" s="12" t="str">
        <f ca="1">IFERROR(__xludf.DUMMYFUNCTION("""COMPUTED_VALUE"""),"&lt;div id=""topics""&gt;&lt;button class=""topic"" onclick=""showResult('233')""&gt;正官&lt;/button&gt;")</f>
        <v>&lt;div id="topics"&gt;&lt;button class="topic" onclick="showResult('233')"&gt;正官&lt;/button&gt;</v>
      </c>
    </row>
    <row r="234" spans="1:1" ht="13" x14ac:dyDescent="0.15">
      <c r="A234" s="12" t="str">
        <f ca="1">IFERROR(__xludf.DUMMYFUNCTION("""COMPUTED_VALUE"""),"&lt;button class=""topic"" onclick=""showResult('234')""&gt;七殺&lt;/button&gt;")</f>
        <v>&lt;button class="topic" onclick="showResult('234')"&gt;七殺&lt;/button&gt;</v>
      </c>
    </row>
    <row r="235" spans="1:1" ht="13" x14ac:dyDescent="0.15">
      <c r="A235" s="12" t="str">
        <f ca="1">IFERROR(__xludf.DUMMYFUNCTION("""COMPUTED_VALUE"""),"&lt;button class=""topic"" onclick=""showResult('235')""&gt;正印&lt;/button&gt;")</f>
        <v>&lt;button class="topic" onclick="showResult('235')"&gt;正印&lt;/button&gt;</v>
      </c>
    </row>
    <row r="236" spans="1:1" ht="13" x14ac:dyDescent="0.15">
      <c r="A236" s="12" t="str">
        <f ca="1">IFERROR(__xludf.DUMMYFUNCTION("""COMPUTED_VALUE"""),"&lt;button class=""topic"" onclick=""showResult('236')""&gt;P&lt;/button&gt;&lt;/div&gt;")</f>
        <v>&lt;button class="topic" onclick="showResult('236')"&gt;P&lt;/button&gt;&lt;/div&gt;</v>
      </c>
    </row>
    <row r="237" spans="1:1" ht="13" x14ac:dyDescent="0.15">
      <c r="A237" s="12" t="str">
        <f ca="1">IFERROR(__xludf.DUMMYFUNCTION("""COMPUTED_VALUE"""),"&lt;div id=""topics""&gt;&lt;button class=""topic"" onclick=""showResult('237')""&gt;比肩&lt;/button&gt;")</f>
        <v>&lt;div id="topics"&gt;&lt;button class="topic" onclick="showResult('237')"&gt;比肩&lt;/button&gt;</v>
      </c>
    </row>
    <row r="238" spans="1:1" ht="13" x14ac:dyDescent="0.15">
      <c r="A238" s="12" t="str">
        <f ca="1">IFERROR(__xludf.DUMMYFUNCTION("""COMPUTED_VALUE"""),"&lt;button class=""topic"" onclick=""showResult('238')""&gt;劫財&lt;/button&gt;")</f>
        <v>&lt;button class="topic" onclick="showResult('238')"&gt;劫財&lt;/button&gt;</v>
      </c>
    </row>
    <row r="239" spans="1:1" ht="13" x14ac:dyDescent="0.15">
      <c r="A239" s="12" t="str">
        <f ca="1">IFERROR(__xludf.DUMMYFUNCTION("""COMPUTED_VALUE"""),"&lt;button class=""topic"" onclick=""showResult('239')""&gt;食神&lt;/button&gt;&lt;/div&gt;")</f>
        <v>&lt;button class="topic" onclick="showResult('239')"&gt;食神&lt;/button&gt;&lt;/div&gt;</v>
      </c>
    </row>
    <row r="240" spans="1:1" ht="13" x14ac:dyDescent="0.15">
      <c r="A240" s="12" t="str">
        <f ca="1">IFERROR(__xludf.DUMMYFUNCTION("""COMPUTED_VALUE"""),"&lt;div id=""topics""&gt;&lt;button class=""topic"" onclick=""showResult('240')""&gt;傷官&lt;/button&gt;")</f>
        <v>&lt;div id="topics"&gt;&lt;button class="topic" onclick="showResult('240')"&gt;傷官&lt;/button&gt;</v>
      </c>
    </row>
    <row r="241" spans="1:1" ht="13" x14ac:dyDescent="0.15">
      <c r="A241" s="12" t="str">
        <f ca="1">IFERROR(__xludf.DUMMYFUNCTION("""COMPUTED_VALUE"""),"&lt;button class=""topic"" onclick=""showResult('241')""&gt;正財&lt;/button&gt;")</f>
        <v>&lt;button class="topic" onclick="showResult('241')"&gt;正財&lt;/button&gt;</v>
      </c>
    </row>
    <row r="242" spans="1:1" ht="13" x14ac:dyDescent="0.15">
      <c r="A242" s="12" t="str">
        <f ca="1">IFERROR(__xludf.DUMMYFUNCTION("""COMPUTED_VALUE"""),"&lt;button class=""topic"" onclick=""showResult('242')""&gt;偏財&lt;/button&gt;&lt;/div&gt;")</f>
        <v>&lt;button class="topic" onclick="showResult('242')"&gt;偏財&lt;/button&gt;&lt;/div&gt;</v>
      </c>
    </row>
    <row r="243" spans="1:1" ht="13" x14ac:dyDescent="0.15">
      <c r="A243" s="12" t="str">
        <f ca="1">IFERROR(__xludf.DUMMYFUNCTION("""COMPUTED_VALUE"""),"&lt;div id=""topics""&gt;&lt;label for=""nameInput""&gt;情絲（你）&lt;/label&gt;&lt;/div&gt;")</f>
        <v>&lt;div id="topics"&gt;&lt;label for="nameInput"&gt;情絲（你）&lt;/label&gt;&lt;/div&gt;</v>
      </c>
    </row>
    <row r="244" spans="1:1" ht="13" x14ac:dyDescent="0.15">
      <c r="A244" s="12" t="str">
        <f ca="1">IFERROR(__xludf.DUMMYFUNCTION("""COMPUTED_VALUE"""),"&lt;div id=""topics""&gt;&lt;button class=""topic"" onclick=""showResult('244')""&gt;合局&lt;/button&gt;")</f>
        <v>&lt;div id="topics"&gt;&lt;button class="topic" onclick="showResult('244')"&gt;合局&lt;/button&gt;</v>
      </c>
    </row>
    <row r="245" spans="1:1" ht="13" x14ac:dyDescent="0.15">
      <c r="A245" s="12" t="str">
        <f ca="1">IFERROR(__xludf.DUMMYFUNCTION("""COMPUTED_VALUE"""),"&lt;button class=""topic"" onclick=""showResult('245')""&gt;害局&lt;/button&gt;")</f>
        <v>&lt;button class="topic" onclick="showResult('245')"&gt;害局&lt;/button&gt;</v>
      </c>
    </row>
    <row r="246" spans="1:1" ht="13" x14ac:dyDescent="0.15">
      <c r="A246" s="12" t="str">
        <f ca="1">IFERROR(__xludf.DUMMYFUNCTION("""COMPUTED_VALUE"""),"&lt;button class=""topic"" onclick=""showResult('246')""&gt;一合一害&lt;/button&gt;&lt;/div&gt;")</f>
        <v>&lt;button class="topic" onclick="showResult('246')"&gt;一合一害&lt;/button&gt;&lt;/div&gt;</v>
      </c>
    </row>
    <row r="247" spans="1:1" ht="13" x14ac:dyDescent="0.15">
      <c r="A247" s="12" t="str">
        <f ca="1">IFERROR(__xludf.DUMMYFUNCTION("""COMPUTED_VALUE"""),"&lt;div id=""topics""&gt;&lt;button class=""topic"" onclick=""showResult('247')""&gt;沖局&lt;/button&gt;")</f>
        <v>&lt;div id="topics"&gt;&lt;button class="topic" onclick="showResult('247')"&gt;沖局&lt;/button&gt;</v>
      </c>
    </row>
    <row r="248" spans="1:1" ht="13" x14ac:dyDescent="0.15">
      <c r="A248" s="12" t="str">
        <f ca="1">IFERROR(__xludf.DUMMYFUNCTION("""COMPUTED_VALUE"""),"&lt;button class=""topic"" onclick=""showResult('248')""&gt;刑局&lt;/button&gt;")</f>
        <v>&lt;button class="topic" onclick="showResult('248')"&gt;刑局&lt;/button&gt;</v>
      </c>
    </row>
    <row r="249" spans="1:1" ht="13" x14ac:dyDescent="0.15">
      <c r="A249" s="12" t="str">
        <f ca="1">IFERROR(__xludf.DUMMYFUNCTION("""COMPUTED_VALUE"""),"&lt;button class=""topic"" onclick=""showResult('249')""&gt;X&lt;/button&gt;&lt;/div&gt;")</f>
        <v>&lt;button class="topic" onclick="showResult('249')"&gt;X&lt;/button&gt;&lt;/div&gt;</v>
      </c>
    </row>
    <row r="250" spans="1:1" ht="13" x14ac:dyDescent="0.15">
      <c r="A250" s="12" t="str">
        <f ca="1">IFERROR(__xludf.DUMMYFUNCTION("""COMPUTED_VALUE"""),"&lt;div id=""topics""&gt;&lt;label for=""nameInput""&gt;情絲（你們）&lt;/label&gt;&lt;/div&gt;")</f>
        <v>&lt;div id="topics"&gt;&lt;label for="nameInput"&gt;情絲（你們）&lt;/label&gt;&lt;/div&gt;</v>
      </c>
    </row>
    <row r="251" spans="1:1" ht="13" x14ac:dyDescent="0.15">
      <c r="A251" s="12" t="str">
        <f ca="1">IFERROR(__xludf.DUMMYFUNCTION("""COMPUTED_VALUE"""),"&lt;div id=""topics""&gt;&lt;button class=""topic"" onclick=""showResult('251')""&gt;合局-你們&lt;/button&gt;")</f>
        <v>&lt;div id="topics"&gt;&lt;button class="topic" onclick="showResult('251')"&gt;合局-你們&lt;/button&gt;</v>
      </c>
    </row>
    <row r="252" spans="1:1" ht="13" x14ac:dyDescent="0.15">
      <c r="A252" s="12" t="str">
        <f ca="1">IFERROR(__xludf.DUMMYFUNCTION("""COMPUTED_VALUE"""),"&lt;button class=""topic"" onclick=""showResult('252')""&gt;害局-你們&lt;/button&gt;&lt;/div&gt;")</f>
        <v>&lt;button class="topic" onclick="showResult('252')"&gt;害局-你們&lt;/button&gt;&lt;/div&gt;</v>
      </c>
    </row>
    <row r="253" spans="1:1" ht="13" x14ac:dyDescent="0.15">
      <c r="A253" s="12" t="str">
        <f ca="1">IFERROR(__xludf.DUMMYFUNCTION("""COMPUTED_VALUE"""),"&lt;div id=""topics""&gt;&lt;button class=""topic"" onclick=""showResult('253')""&gt;沖局-你們&lt;/button&gt;")</f>
        <v>&lt;div id="topics"&gt;&lt;button class="topic" onclick="showResult('253')"&gt;沖局-你們&lt;/button&gt;</v>
      </c>
    </row>
    <row r="254" spans="1:1" ht="13" x14ac:dyDescent="0.15">
      <c r="A254" s="12" t="str">
        <f ca="1">IFERROR(__xludf.DUMMYFUNCTION("""COMPUTED_VALUE"""),"&lt;button class=""topic"" onclick=""showResult('254')""&gt;刑局-你們&lt;/button&gt;")</f>
        <v>&lt;button class="topic" onclick="showResult('254')"&gt;刑局-你們&lt;/button&gt;</v>
      </c>
    </row>
    <row r="255" spans="1:1" ht="13" x14ac:dyDescent="0.15">
      <c r="A255" s="12" t="str">
        <f ca="1">IFERROR(__xludf.DUMMYFUNCTION("""COMPUTED_VALUE"""),"&lt;button class=""topic"" onclick=""showResult('255')""&gt;X-你們&lt;/button&gt;&lt;/div&gt;")</f>
        <v>&lt;button class="topic" onclick="showResult('255')"&gt;X-你們&lt;/button&gt;&lt;/div&gt;</v>
      </c>
    </row>
    <row r="256" spans="1:1" ht="13" x14ac:dyDescent="0.15">
      <c r="A256" s="12" t="str">
        <f ca="1">IFERROR(__xludf.DUMMYFUNCTION("""COMPUTED_VALUE"""),"&lt;div id=""topics""&gt;&lt;label for=""nameInput""&gt;情絲（他）&lt;/label&gt;&lt;/div&gt;")</f>
        <v>&lt;div id="topics"&gt;&lt;label for="nameInput"&gt;情絲（他）&lt;/label&gt;&lt;/div&gt;</v>
      </c>
    </row>
    <row r="257" spans="1:1" ht="13" x14ac:dyDescent="0.15">
      <c r="A257" s="12" t="str">
        <f ca="1">IFERROR(__xludf.DUMMYFUNCTION("""COMPUTED_VALUE"""),"&lt;div id=""topics""&gt;&lt;button class=""topic"" onclick=""showResult('257')""&gt;沖局&lt;/button&gt;")</f>
        <v>&lt;div id="topics"&gt;&lt;button class="topic" onclick="showResult('257')"&gt;沖局&lt;/button&gt;</v>
      </c>
    </row>
    <row r="258" spans="1:1" ht="13" x14ac:dyDescent="0.15">
      <c r="A258" s="12" t="str">
        <f ca="1">IFERROR(__xludf.DUMMYFUNCTION("""COMPUTED_VALUE"""),"&lt;button class=""topic"" onclick=""showResult('258')""&gt;合局-情侶&lt;/button&gt;")</f>
        <v>&lt;button class="topic" onclick="showResult('258')"&gt;合局-情侶&lt;/button&gt;</v>
      </c>
    </row>
    <row r="259" spans="1:1" ht="13" x14ac:dyDescent="0.15">
      <c r="A259" s="12" t="str">
        <f ca="1">IFERROR(__xludf.DUMMYFUNCTION("""COMPUTED_VALUE"""),"&lt;button class=""topic"" onclick=""showResult('259')""&gt;合局-曖昧&lt;/button&gt;")</f>
        <v>&lt;button class="topic" onclick="showResult('259')"&gt;合局-曖昧&lt;/button&gt;</v>
      </c>
    </row>
    <row r="260" spans="1:1" ht="13" x14ac:dyDescent="0.15">
      <c r="A260" s="12" t="str">
        <f ca="1">IFERROR(__xludf.DUMMYFUNCTION("""COMPUTED_VALUE"""),"&lt;button class=""topic"" onclick=""showResult('260')""&gt;合局-小三&lt;/button&gt;&lt;/div&gt;")</f>
        <v>&lt;button class="topic" onclick="showResult('260')"&gt;合局-小三&lt;/button&gt;&lt;/div&gt;</v>
      </c>
    </row>
    <row r="261" spans="1:1" ht="13" x14ac:dyDescent="0.15">
      <c r="A261" s="12" t="str">
        <f ca="1">IFERROR(__xludf.DUMMYFUNCTION("""COMPUTED_VALUE"""),"&lt;div id=""topics""&gt;&lt;button class=""topic"" onclick=""showResult('261')""&gt;刑局&lt;/button&gt;")</f>
        <v>&lt;div id="topics"&gt;&lt;button class="topic" onclick="showResult('261')"&gt;刑局&lt;/button&gt;</v>
      </c>
    </row>
    <row r="262" spans="1:1" ht="13" x14ac:dyDescent="0.15">
      <c r="A262" s="12" t="str">
        <f ca="1">IFERROR(__xludf.DUMMYFUNCTION("""COMPUTED_VALUE"""),"&lt;button class=""topic"" onclick=""showResult('262')""&gt;害局&lt;/button&gt;")</f>
        <v>&lt;button class="topic" onclick="showResult('262')"&gt;害局&lt;/button&gt;</v>
      </c>
    </row>
    <row r="263" spans="1:1" ht="13" x14ac:dyDescent="0.15">
      <c r="A263" s="12" t="str">
        <f ca="1">IFERROR(__xludf.DUMMYFUNCTION("""COMPUTED_VALUE"""),"&lt;button class=""topic"" onclick=""showResult('263')""&gt;X&lt;/button&gt;&lt;/div&gt;")</f>
        <v>&lt;button class="topic" onclick="showResult('263')"&gt;X&lt;/button&gt;&lt;/div&gt;</v>
      </c>
    </row>
    <row r="264" spans="1:1" ht="13" x14ac:dyDescent="0.15">
      <c r="A264" s="12" t="str">
        <f ca="1">IFERROR(__xludf.DUMMYFUNCTION("""COMPUTED_VALUE"""),"&lt;div id=""topics""&gt;&lt;label for=""nameInput""&gt;情趣&lt;/label&gt;&lt;/div&gt;")</f>
        <v>&lt;div id="topics"&gt;&lt;label for="nameInput"&gt;情趣&lt;/label&gt;&lt;/div&gt;</v>
      </c>
    </row>
    <row r="265" spans="1:1" ht="13" x14ac:dyDescent="0.15">
      <c r="A265" s="12" t="str">
        <f ca="1">IFERROR(__xludf.DUMMYFUNCTION("""COMPUTED_VALUE"""),"&lt;div id=""topics""&gt;&lt;button class=""topic"" onclick=""showResult('265')""&gt;害局- 分手&lt;/button&gt;")</f>
        <v>&lt;div id="topics"&gt;&lt;button class="topic" onclick="showResult('265')"&gt;害局- 分手&lt;/button&gt;</v>
      </c>
    </row>
    <row r="266" spans="1:1" ht="13" x14ac:dyDescent="0.15">
      <c r="A266" s="12" t="str">
        <f ca="1">IFERROR(__xludf.DUMMYFUNCTION("""COMPUTED_VALUE"""),"&lt;button class=""topic"" onclick=""showResult('266')""&gt;害局- 情侶&lt;/button&gt;")</f>
        <v>&lt;button class="topic" onclick="showResult('266')"&gt;害局- 情侶&lt;/button&gt;</v>
      </c>
    </row>
    <row r="267" spans="1:1" ht="13" x14ac:dyDescent="0.15">
      <c r="A267" s="12" t="str">
        <f ca="1">IFERROR(__xludf.DUMMYFUNCTION("""COMPUTED_VALUE"""),"&lt;button class=""topic"" onclick=""showResult('267')""&gt;害局- 曖昧&lt;/button&gt;&lt;/div&gt;")</f>
        <v>&lt;button class="topic" onclick="showResult('267')"&gt;害局- 曖昧&lt;/button&gt;&lt;/div&gt;</v>
      </c>
    </row>
    <row r="268" spans="1:1" ht="13" x14ac:dyDescent="0.15">
      <c r="A268" s="12" t="str">
        <f ca="1">IFERROR(__xludf.DUMMYFUNCTION("""COMPUTED_VALUE"""),"&lt;div id=""topics""&gt;&lt;button class=""topic"" onclick=""showResult('268')""&gt;同氣 - 任何&lt;/button&gt;")</f>
        <v>&lt;div id="topics"&gt;&lt;button class="topic" onclick="showResult('268')"&gt;同氣 - 任何&lt;/button&gt;</v>
      </c>
    </row>
    <row r="269" spans="1:1" ht="13" x14ac:dyDescent="0.15">
      <c r="A269" s="12" t="str">
        <f ca="1">IFERROR(__xludf.DUMMYFUNCTION("""COMPUTED_VALUE"""),"&lt;button class=""topic"" onclick=""showResult('269')""&gt;沖局-情侶&lt;/button&gt;")</f>
        <v>&lt;button class="topic" onclick="showResult('269')"&gt;沖局-情侶&lt;/button&gt;</v>
      </c>
    </row>
    <row r="270" spans="1:1" ht="13" x14ac:dyDescent="0.15">
      <c r="A270" s="12" t="str">
        <f ca="1">IFERROR(__xludf.DUMMYFUNCTION("""COMPUTED_VALUE"""),"&lt;button class=""topic"" onclick=""showResult('270')""&gt;沖局-曖昧&lt;/button&gt;&lt;/div&gt;")</f>
        <v>&lt;button class="topic" onclick="showResult('270')"&gt;沖局-曖昧&lt;/button&gt;&lt;/div&gt;</v>
      </c>
    </row>
    <row r="271" spans="1:1" ht="13" x14ac:dyDescent="0.15">
      <c r="A271" s="12" t="str">
        <f ca="1">IFERROR(__xludf.DUMMYFUNCTION("""COMPUTED_VALUE"""),"&lt;div id=""topics""&gt;&lt;button class=""topic"" onclick=""showResult('271')""&gt;合局-情侶&lt;/button&gt;")</f>
        <v>&lt;div id="topics"&gt;&lt;button class="topic" onclick="showResult('271')"&gt;合局-情侶&lt;/button&gt;</v>
      </c>
    </row>
    <row r="272" spans="1:1" ht="13" x14ac:dyDescent="0.15">
      <c r="A272" s="12" t="str">
        <f ca="1">IFERROR(__xludf.DUMMYFUNCTION("""COMPUTED_VALUE"""),"&lt;button class=""topic"" onclick=""showResult('272')""&gt;合局-炮友&lt;/button&gt;")</f>
        <v>&lt;button class="topic" onclick="showResult('272')"&gt;合局-炮友&lt;/button&gt;</v>
      </c>
    </row>
    <row r="273" spans="1:1" ht="13" x14ac:dyDescent="0.15">
      <c r="A273" s="12" t="str">
        <f ca="1">IFERROR(__xludf.DUMMYFUNCTION("""COMPUTED_VALUE"""),"&lt;button class=""topic"" onclick=""showResult('273')""&gt;合局-曖昧&lt;/button&gt;&lt;/div&gt;")</f>
        <v>&lt;button class="topic" onclick="showResult('273')"&gt;合局-曖昧&lt;/button&gt;&lt;/div&gt;</v>
      </c>
    </row>
    <row r="274" spans="1:1" ht="13" x14ac:dyDescent="0.15">
      <c r="A274" s="12" t="str">
        <f ca="1">IFERROR(__xludf.DUMMYFUNCTION("""COMPUTED_VALUE"""),"&lt;div id=""topics""&gt;&lt;button class=""topic"" onclick=""showResult('274')""&gt;刑局&lt;/button&gt;")</f>
        <v>&lt;div id="topics"&gt;&lt;button class="topic" onclick="showResult('274')"&gt;刑局&lt;/button&gt;</v>
      </c>
    </row>
    <row r="275" spans="1:1" ht="13" x14ac:dyDescent="0.15">
      <c r="A275" s="12" t="str">
        <f ca="1">IFERROR(__xludf.DUMMYFUNCTION("""COMPUTED_VALUE"""),"&lt;button class=""topic"" onclick=""showResult('275')""&gt;X-分手&lt;/button&gt;")</f>
        <v>&lt;button class="topic" onclick="showResult('275')"&gt;X-分手&lt;/button&gt;</v>
      </c>
    </row>
    <row r="276" spans="1:1" ht="13" x14ac:dyDescent="0.15">
      <c r="A276" s="12" t="str">
        <f ca="1">IFERROR(__xludf.DUMMYFUNCTION("""COMPUTED_VALUE"""),"&lt;button class=""topic"" onclick=""showResult('276')""&gt;X-曖昧&lt;/button&gt;")</f>
        <v>&lt;button class="topic" onclick="showResult('276')"&gt;X-曖昧&lt;/button&gt;</v>
      </c>
    </row>
    <row r="277" spans="1:1" ht="13" x14ac:dyDescent="0.15">
      <c r="A277" s="12" t="str">
        <f ca="1">IFERROR(__xludf.DUMMYFUNCTION("""COMPUTED_VALUE"""),"&lt;button class=""topic"" onclick=""showResult('277')""&gt;X-情侶&lt;/button&gt;&lt;/div&gt;")</f>
        <v>&lt;button class="topic" onclick="showResult('277')"&gt;X-情侶&lt;/button&gt;&lt;/div&gt;</v>
      </c>
    </row>
    <row r="278" spans="1:1" ht="13" x14ac:dyDescent="0.15">
      <c r="A278" s="12" t="str">
        <f ca="1">IFERROR(__xludf.DUMMYFUNCTION("""COMPUTED_VALUE"""),"&lt;div id=""topics""&gt;&lt;label for=""nameInput""&gt;相處&lt;/label&gt;&lt;/div&gt;")</f>
        <v>&lt;div id="topics"&gt;&lt;label for="nameInput"&gt;相處&lt;/label&gt;&lt;/div&gt;</v>
      </c>
    </row>
    <row r="279" spans="1:1" ht="13" x14ac:dyDescent="0.15">
      <c r="A279" s="12" t="str">
        <f ca="1">IFERROR(__xludf.DUMMYFUNCTION("""COMPUTED_VALUE"""),"&lt;div id=""topics""&gt;&lt;button class=""topic"" onclick=""showResult('279')""&gt;害局-曖昧&lt;/button&gt;")</f>
        <v>&lt;div id="topics"&gt;&lt;button class="topic" onclick="showResult('279')"&gt;害局-曖昧&lt;/button&gt;</v>
      </c>
    </row>
    <row r="280" spans="1:1" ht="13" x14ac:dyDescent="0.15">
      <c r="A280" s="12" t="str">
        <f ca="1">IFERROR(__xludf.DUMMYFUNCTION("""COMPUTED_VALUE"""),"&lt;button class=""topic"" onclick=""showResult('280')""&gt;害局-情侶&lt;/button&gt;")</f>
        <v>&lt;button class="topic" onclick="showResult('280')"&gt;害局-情侶&lt;/button&gt;</v>
      </c>
    </row>
    <row r="281" spans="1:1" ht="13" x14ac:dyDescent="0.15">
      <c r="A281" s="12" t="str">
        <f ca="1">IFERROR(__xludf.DUMMYFUNCTION("""COMPUTED_VALUE"""),"&lt;button class=""topic"" onclick=""showResult('281')""&gt;同氣-任何&lt;/button&gt;&lt;/div&gt;")</f>
        <v>&lt;button class="topic" onclick="showResult('281')"&gt;同氣-任何&lt;/button&gt;&lt;/div&gt;</v>
      </c>
    </row>
    <row r="282" spans="1:1" ht="13" x14ac:dyDescent="0.15">
      <c r="A282" s="12" t="str">
        <f ca="1">IFERROR(__xludf.DUMMYFUNCTION("""COMPUTED_VALUE"""),"&lt;div id=""topics""&gt;&lt;button class=""topic"" onclick=""showResult('282')""&gt;沖局-情侶&lt;/button&gt;")</f>
        <v>&lt;div id="topics"&gt;&lt;button class="topic" onclick="showResult('282')"&gt;沖局-情侶&lt;/button&gt;</v>
      </c>
    </row>
    <row r="283" spans="1:1" ht="13" x14ac:dyDescent="0.15">
      <c r="A283" s="12" t="str">
        <f ca="1">IFERROR(__xludf.DUMMYFUNCTION("""COMPUTED_VALUE"""),"&lt;button class=""topic"" onclick=""showResult('283')""&gt;沖局-曖昧&lt;/button&gt;")</f>
        <v>&lt;button class="topic" onclick="showResult('283')"&gt;沖局-曖昧&lt;/button&gt;</v>
      </c>
    </row>
    <row r="284" spans="1:1" ht="13" x14ac:dyDescent="0.15">
      <c r="A284" s="12" t="str">
        <f ca="1">IFERROR(__xludf.DUMMYFUNCTION("""COMPUTED_VALUE"""),"&lt;button class=""topic"" onclick=""showResult('284')""&gt;合局-曖昧&lt;/button&gt;&lt;/div&gt;")</f>
        <v>&lt;button class="topic" onclick="showResult('284')"&gt;合局-曖昧&lt;/button&gt;&lt;/div&gt;</v>
      </c>
    </row>
    <row r="285" spans="1:1" ht="13" x14ac:dyDescent="0.15">
      <c r="A285" s="12" t="str">
        <f ca="1">IFERROR(__xludf.DUMMYFUNCTION("""COMPUTED_VALUE"""),"&lt;div id=""topics""&gt;&lt;button class=""topic"" onclick=""showResult('285')""&gt;合局-分手&lt;/button&gt;")</f>
        <v>&lt;div id="topics"&gt;&lt;button class="topic" onclick="showResult('285')"&gt;合局-分手&lt;/button&gt;</v>
      </c>
    </row>
    <row r="286" spans="1:1" ht="13" x14ac:dyDescent="0.15">
      <c r="A286" s="12" t="str">
        <f ca="1">IFERROR(__xludf.DUMMYFUNCTION("""COMPUTED_VALUE"""),"&lt;button class=""topic"" onclick=""showResult('286')""&gt;刑局&lt;/button&gt;")</f>
        <v>&lt;button class="topic" onclick="showResult('286')"&gt;刑局&lt;/button&gt;</v>
      </c>
    </row>
    <row r="287" spans="1:1" ht="13" x14ac:dyDescent="0.15">
      <c r="A287" s="12" t="str">
        <f ca="1">IFERROR(__xludf.DUMMYFUNCTION("""COMPUTED_VALUE"""),"&lt;button class=""topic"" onclick=""showResult('287')""&gt;X-任何&lt;/button&gt;")</f>
        <v>&lt;button class="topic" onclick="showResult('287')"&gt;X-任何&lt;/button&gt;</v>
      </c>
    </row>
    <row r="288" spans="1:1" ht="13" x14ac:dyDescent="0.15">
      <c r="A288" s="12" t="str">
        <f ca="1">IFERROR(__xludf.DUMMYFUNCTION("""COMPUTED_VALUE"""),"&lt;button class=""topic"" onclick=""showResult('288')""&gt;X-曖昧&lt;/button&gt;&lt;/div&gt;")</f>
        <v>&lt;button class="topic" onclick="showResult('288')"&gt;X-曖昧&lt;/button&gt;&lt;/div&gt;</v>
      </c>
    </row>
    <row r="289" spans="1:1" ht="13" x14ac:dyDescent="0.15">
      <c r="A289" s="12" t="str">
        <f ca="1">IFERROR(__xludf.DUMMYFUNCTION("""COMPUTED_VALUE"""),"&lt;div id=""topics""&gt;&lt;label for=""nameInput""&gt;快速總結（第一：緣份）&lt;/label&gt;&lt;/div&gt;")</f>
        <v>&lt;div id="topics"&gt;&lt;label for="nameInput"&gt;快速總結（第一：緣份）&lt;/label&gt;&lt;/div&gt;</v>
      </c>
    </row>
    <row r="290" spans="1:1" ht="13" x14ac:dyDescent="0.15">
      <c r="A290" s="12" t="str">
        <f ca="1">IFERROR(__xludf.DUMMYFUNCTION("""COMPUTED_VALUE"""),"&lt;div id=""topics""&gt;&lt;button class=""topic"" onclick=""showResult('290')""&gt;他流年太多誘惑&lt;/button&gt;")</f>
        <v>&lt;div id="topics"&gt;&lt;button class="topic" onclick="showResult('290')"&gt;他流年太多誘惑&lt;/button&gt;</v>
      </c>
    </row>
    <row r="291" spans="1:1" ht="13" x14ac:dyDescent="0.15">
      <c r="A291" s="12" t="str">
        <f ca="1">IFERROR(__xludf.DUMMYFUNCTION("""COMPUTED_VALUE"""),"&lt;button class=""topic"" onclick=""showResult('291')""&gt;你的能量比較低&lt;/button&gt;&lt;/div&gt;")</f>
        <v>&lt;button class="topic" onclick="showResult('291')"&gt;你的能量比較低&lt;/button&gt;&lt;/div&gt;</v>
      </c>
    </row>
    <row r="292" spans="1:1" ht="13" x14ac:dyDescent="0.15">
      <c r="A292" s="12" t="str">
        <f ca="1">IFERROR(__xludf.DUMMYFUNCTION("""COMPUTED_VALUE"""),"&lt;div id=""topics""&gt;&lt;button class=""topic"" onclick=""showResult('292')""&gt;沒辦法對抗父母親&lt;/button&gt;")</f>
        <v>&lt;div id="topics"&gt;&lt;button class="topic" onclick="showResult('292')"&gt;沒辦法對抗父母親&lt;/button&gt;</v>
      </c>
    </row>
    <row r="293" spans="1:1" ht="13" x14ac:dyDescent="0.15">
      <c r="A293" s="12" t="str">
        <f ca="1">IFERROR(__xludf.DUMMYFUNCTION("""COMPUTED_VALUE"""),"&lt;button class=""topic"" onclick=""showResult('293')""&gt;你命盤傷官&lt;/button&gt;&lt;/div&gt;")</f>
        <v>&lt;button class="topic" onclick="showResult('293')"&gt;你命盤傷官&lt;/button&gt;&lt;/div&gt;</v>
      </c>
    </row>
    <row r="294" spans="1:1" ht="13" x14ac:dyDescent="0.15">
      <c r="A294" s="12" t="str">
        <f ca="1">IFERROR(__xludf.DUMMYFUNCTION("""COMPUTED_VALUE"""),"&lt;div id=""topics""&gt;&lt;button class=""topic"" onclick=""showResult('294')""&gt;命盤帶七殺&lt;/button&gt;")</f>
        <v>&lt;div id="topics"&gt;&lt;button class="topic" onclick="showResult('294')"&gt;命盤帶七殺&lt;/button&gt;</v>
      </c>
    </row>
    <row r="295" spans="1:1" ht="13" x14ac:dyDescent="0.15">
      <c r="A295" s="12" t="str">
        <f ca="1">IFERROR(__xludf.DUMMYFUNCTION("""COMPUTED_VALUE"""),"&lt;button class=""topic"" onclick=""showResult('295')""&gt;傷官見官&lt;/button&gt;")</f>
        <v>&lt;button class="topic" onclick="showResult('295')"&gt;傷官見官&lt;/button&gt;</v>
      </c>
    </row>
    <row r="296" spans="1:1" ht="13" x14ac:dyDescent="0.15">
      <c r="A296" s="12" t="str">
        <f ca="1">IFERROR(__xludf.DUMMYFUNCTION("""COMPUTED_VALUE"""),"&lt;button class=""topic"" onclick=""showResult('296')""&gt;你命盤帶比/劫&lt;/button&gt;&lt;/div&gt;")</f>
        <v>&lt;button class="topic" onclick="showResult('296')"&gt;你命盤帶比/劫&lt;/button&gt;&lt;/div&gt;</v>
      </c>
    </row>
    <row r="297" spans="1:1" ht="13" x14ac:dyDescent="0.15">
      <c r="A297" s="12" t="str">
        <f ca="1">IFERROR(__xludf.DUMMYFUNCTION("""COMPUTED_VALUE"""),"&lt;div id=""topics""&gt;&lt;button class=""topic"" onclick=""showResult('297')""&gt;女合局&lt;/button&gt;")</f>
        <v>&lt;div id="topics"&gt;&lt;button class="topic" onclick="showResult('297')"&gt;女合局&lt;/button&gt;</v>
      </c>
    </row>
    <row r="298" spans="1:1" ht="13" x14ac:dyDescent="0.15">
      <c r="A298" s="12" t="str">
        <f ca="1">IFERROR(__xludf.DUMMYFUNCTION("""COMPUTED_VALUE"""),"&lt;button class=""topic"" onclick=""showResult('298')""&gt;緣份少&lt;/button&gt;")</f>
        <v>&lt;button class="topic" onclick="showResult('298')"&gt;緣份少&lt;/button&gt;</v>
      </c>
    </row>
    <row r="299" spans="1:1" ht="13" x14ac:dyDescent="0.15">
      <c r="A299" s="12" t="str">
        <f ca="1">IFERROR(__xludf.DUMMYFUNCTION("""COMPUTED_VALUE"""),"&lt;button class=""topic"" onclick=""showResult('299')""&gt;女沒圈&lt;/button&gt;&lt;/div&gt;")</f>
        <v>&lt;button class="topic" onclick="showResult('299')"&gt;女沒圈&lt;/button&gt;&lt;/div&gt;</v>
      </c>
    </row>
    <row r="300" spans="1:1" ht="13" x14ac:dyDescent="0.15">
      <c r="A300" s="12" t="str">
        <f ca="1">IFERROR(__xludf.DUMMYFUNCTION("""COMPUTED_VALUE"""),"&lt;div id=""topics""&gt;&lt;label for=""nameInput""&gt;快速總結（第二：流年）&lt;/label&gt;&lt;/div&gt;")</f>
        <v>&lt;div id="topics"&gt;&lt;label for="nameInput"&gt;快速總結（第二：流年）&lt;/label&gt;&lt;/div&gt;</v>
      </c>
    </row>
    <row r="301" spans="1:1" ht="13" x14ac:dyDescent="0.15">
      <c r="A301" s="12" t="str">
        <f ca="1">IFERROR(__xludf.DUMMYFUNCTION("""COMPUTED_VALUE"""),"&lt;div id=""topics""&gt;&lt;button class=""topic"" onclick=""showResult('301')""&gt;流年磁場太強&lt;/button&gt;")</f>
        <v>&lt;div id="topics"&gt;&lt;button class="topic" onclick="showResult('301')"&gt;流年磁場太強&lt;/button&gt;</v>
      </c>
    </row>
    <row r="302" spans="1:1" ht="13" x14ac:dyDescent="0.15">
      <c r="A302" s="12" t="str">
        <f ca="1">IFERROR(__xludf.DUMMYFUNCTION("""COMPUTED_VALUE"""),"&lt;button class=""topic"" onclick=""showResult('302')""&gt;刑局陽陽&lt;/button&gt;")</f>
        <v>&lt;button class="topic" onclick="showResult('302')"&gt;刑局陽陽&lt;/button&gt;</v>
      </c>
    </row>
    <row r="303" spans="1:1" ht="13" x14ac:dyDescent="0.15">
      <c r="A303" s="12" t="str">
        <f ca="1">IFERROR(__xludf.DUMMYFUNCTION("""COMPUTED_VALUE"""),"&lt;button class=""topic"" onclick=""showResult('303')""&gt;刑局陰陰&lt;/button&gt;&lt;/div&gt;")</f>
        <v>&lt;button class="topic" onclick="showResult('303')"&gt;刑局陰陰&lt;/button&gt;&lt;/div&gt;</v>
      </c>
    </row>
    <row r="304" spans="1:1" ht="13" x14ac:dyDescent="0.15">
      <c r="A304" s="12" t="str">
        <f ca="1">IFERROR(__xludf.DUMMYFUNCTION("""COMPUTED_VALUE"""),"&lt;div id=""topics""&gt;&lt;button class=""topic"" onclick=""showResult('304')""&gt;這2年走小三流年磁場&lt;/button&gt;")</f>
        <v>&lt;div id="topics"&gt;&lt;button class="topic" onclick="showResult('304')"&gt;這2年走小三流年磁場&lt;/button&gt;</v>
      </c>
    </row>
    <row r="305" spans="1:1" ht="13" x14ac:dyDescent="0.15">
      <c r="A305" s="12" t="str">
        <f ca="1">IFERROR(__xludf.DUMMYFUNCTION("""COMPUTED_VALUE"""),"&lt;button class=""topic"" onclick=""showResult('305')""&gt;相處過於平淡沒想法&lt;/button&gt;&lt;/div&gt;")</f>
        <v>&lt;button class="topic" onclick="showResult('305')"&gt;相處過於平淡沒想法&lt;/button&gt;&lt;/div&gt;</v>
      </c>
    </row>
    <row r="306" spans="1:1" ht="13" x14ac:dyDescent="0.15">
      <c r="A306" s="12" t="str">
        <f ca="1">IFERROR(__xludf.DUMMYFUNCTION("""COMPUTED_VALUE"""),"&lt;div id=""topics""&gt;&lt;button class=""topic"" onclick=""showResult('306')""&gt;你合他害&lt;/button&gt;")</f>
        <v>&lt;div id="topics"&gt;&lt;button class="topic" onclick="showResult('306')"&gt;你合他害&lt;/button&gt;</v>
      </c>
    </row>
    <row r="307" spans="1:1" ht="13" x14ac:dyDescent="0.15">
      <c r="A307" s="12" t="str">
        <f ca="1">IFERROR(__xludf.DUMMYFUNCTION("""COMPUTED_VALUE"""),"&lt;button class=""topic"" onclick=""showResult('307')""&gt;他命盤惡劣&lt;/button&gt;&lt;/div&gt;")</f>
        <v>&lt;button class="topic" onclick="showResult('307')"&gt;他命盤惡劣&lt;/button&gt;&lt;/div&gt;</v>
      </c>
    </row>
    <row r="308" spans="1:1" ht="13" x14ac:dyDescent="0.15">
      <c r="A308" s="12" t="str">
        <f ca="1">IFERROR(__xludf.DUMMYFUNCTION("""COMPUTED_VALUE"""),"&lt;div id=""topics""&gt;&lt;button class=""topic"" onclick=""showResult('308')""&gt;他-流年煩惱&lt;/button&gt;")</f>
        <v>&lt;div id="topics"&gt;&lt;button class="topic" onclick="showResult('308')"&gt;他-流年煩惱&lt;/button&gt;</v>
      </c>
    </row>
    <row r="309" spans="1:1" ht="13" x14ac:dyDescent="0.15">
      <c r="A309" s="12" t="str">
        <f ca="1">IFERROR(__xludf.DUMMYFUNCTION("""COMPUTED_VALUE"""),"&lt;button class=""topic"" onclick=""showResult('309')""&gt;你-傷官抱怨&lt;/button&gt;&lt;/div&gt;")</f>
        <v>&lt;button class="topic" onclick="showResult('309')"&gt;你-傷官抱怨&lt;/button&gt;&lt;/div&gt;</v>
      </c>
    </row>
    <row r="310" spans="1:1" ht="13" x14ac:dyDescent="0.15">
      <c r="A310" s="12" t="str">
        <f ca="1">IFERROR(__xludf.DUMMYFUNCTION("""COMPUTED_VALUE"""),"&lt;div id=""topics""&gt;&lt;label for=""nameInput""&gt;快速總結（第三：相處）&lt;/label&gt;&lt;/div&gt;")</f>
        <v>&lt;div id="topics"&gt;&lt;label for="nameInput"&gt;快速總結（第三：相處）&lt;/label&gt;&lt;/div&gt;</v>
      </c>
    </row>
    <row r="311" spans="1:1" ht="13" x14ac:dyDescent="0.15">
      <c r="A311" s="12" t="str">
        <f ca="1">IFERROR(__xludf.DUMMYFUNCTION("""COMPUTED_VALUE"""),"&lt;div id=""topics""&gt;&lt;button class=""topic"" onclick=""showResult('311')""&gt;沒有利用情趣相合&lt;/button&gt;&lt;/div&gt;")</f>
        <v>&lt;div id="topics"&gt;&lt;button class="topic" onclick="showResult('311')"&gt;沒有利用情趣相合&lt;/button&gt;&lt;/div&gt;</v>
      </c>
    </row>
    <row r="312" spans="1:1" ht="13" x14ac:dyDescent="0.15">
      <c r="A312" s="12" t="str">
        <f ca="1">IFERROR(__xludf.DUMMYFUNCTION("""COMPUTED_VALUE"""),"&lt;div id=""topics""&gt;&lt;button class=""topic"" onclick=""showResult('312')""&gt;你猶豫-情侶&lt;/button&gt;")</f>
        <v>&lt;div id="topics"&gt;&lt;button class="topic" onclick="showResult('312')"&gt;你猶豫-情侶&lt;/button&gt;</v>
      </c>
    </row>
    <row r="313" spans="1:1" ht="13" x14ac:dyDescent="0.15">
      <c r="A313" s="12" t="str">
        <f ca="1">IFERROR(__xludf.DUMMYFUNCTION("""COMPUTED_VALUE"""),"&lt;button class=""topic"" onclick=""showResult('313')""&gt;你猶豫-分手&lt;/button&gt;&lt;/div&gt;")</f>
        <v>&lt;button class="topic" onclick="showResult('313')"&gt;你猶豫-分手&lt;/button&gt;&lt;/div&gt;</v>
      </c>
    </row>
    <row r="314" spans="1:1" ht="13" x14ac:dyDescent="0.15">
      <c r="A314" s="12" t="str">
        <f ca="1">IFERROR(__xludf.DUMMYFUNCTION("""COMPUTED_VALUE"""),"&lt;div id=""topics""&gt;&lt;button class=""topic"" onclick=""showResult('314')""&gt;損失不愛你的人&lt;/button&gt;")</f>
        <v>&lt;div id="topics"&gt;&lt;button class="topic" onclick="showResult('314')"&gt;損失不愛你的人&lt;/button&gt;</v>
      </c>
    </row>
    <row r="315" spans="1:1" ht="13" x14ac:dyDescent="0.15">
      <c r="A315" s="12" t="str">
        <f ca="1">IFERROR(__xludf.DUMMYFUNCTION("""COMPUTED_VALUE"""),"&lt;button class=""topic"" onclick=""showResult('315')""&gt;自助人助天助&lt;/button&gt;")</f>
        <v>&lt;button class="topic" onclick="showResult('315')"&gt;自助人助天助&lt;/button&gt;</v>
      </c>
    </row>
    <row r="316" spans="1:1" ht="13" x14ac:dyDescent="0.15">
      <c r="A316" s="12" t="str">
        <f ca="1">IFERROR(__xludf.DUMMYFUNCTION("""COMPUTED_VALUE"""),"&lt;button class=""topic"" onclick=""showResult('316')""&gt;針對你的問題&lt;/button&gt;&lt;/div&gt;")</f>
        <v>&lt;button class="topic" onclick="showResult('316')"&gt;針對你的問題&lt;/button&gt;&lt;/div&gt;</v>
      </c>
    </row>
    <row r="317" spans="1:1" ht="13" x14ac:dyDescent="0.15">
      <c r="A317" s="12" t="str">
        <f ca="1">IFERROR(__xludf.DUMMYFUNCTION("""COMPUTED_VALUE"""),"&lt;div id=""topics""&gt;&lt;label for=""nameInput""&gt;桃花供&lt;/label&gt;&lt;/div&gt;")</f>
        <v>&lt;div id="topics"&gt;&lt;label for="nameInput"&gt;桃花供&lt;/label&gt;&lt;/div&gt;</v>
      </c>
    </row>
    <row r="318" spans="1:1" ht="13" x14ac:dyDescent="0.15">
      <c r="A318" s="12" t="str">
        <f ca="1">IFERROR(__xludf.DUMMYFUNCTION("""COMPUTED_VALUE"""),"&lt;div id=""topics""&gt;&lt;button class=""topic"" onclick=""showResult('318')""&gt;情侶/夫妻&lt;/button&gt;&lt;/div&gt;")</f>
        <v>&lt;div id="topics"&gt;&lt;button class="topic" onclick="showResult('318')"&gt;情侶/夫妻&lt;/button&gt;&lt;/div&gt;</v>
      </c>
    </row>
    <row r="319" spans="1:1" ht="13" x14ac:dyDescent="0.15">
      <c r="A319" s="12" t="str">
        <f ca="1">IFERROR(__xludf.DUMMYFUNCTION("""COMPUTED_VALUE"""),"&lt;div id=""topics""&gt;&lt;button class=""topic"" onclick=""showResult('319')""&gt;復合-斷聯緣份多&lt;/button&gt;")</f>
        <v>&lt;div id="topics"&gt;&lt;button class="topic" onclick="showResult('319')"&gt;復合-斷聯緣份多&lt;/button&gt;</v>
      </c>
    </row>
    <row r="320" spans="1:1" ht="13" x14ac:dyDescent="0.15">
      <c r="A320" s="12" t="str">
        <f ca="1">IFERROR(__xludf.DUMMYFUNCTION("""COMPUTED_VALUE"""),"&lt;button class=""topic"" onclick=""showResult('320')""&gt;復合-有聯絡&lt;/button&gt;&lt;/div&gt;")</f>
        <v>&lt;button class="topic" onclick="showResult('320')"&gt;復合-有聯絡&lt;/button&gt;&lt;/div&gt;</v>
      </c>
    </row>
    <row r="321" spans="1:1" ht="13" x14ac:dyDescent="0.15">
      <c r="A321" s="12" t="str">
        <f ca="1">IFERROR(__xludf.DUMMYFUNCTION("""COMPUTED_VALUE"""),"&lt;div id=""topics""&gt;&lt;button class=""topic"" onclick=""showResult('321')""&gt;惡緣-分手&lt;/button&gt;")</f>
        <v>&lt;div id="topics"&gt;&lt;button class="topic" onclick="showResult('321')"&gt;惡緣-分手&lt;/button&gt;</v>
      </c>
    </row>
    <row r="322" spans="1:1" ht="13" x14ac:dyDescent="0.15">
      <c r="A322" s="12" t="str">
        <f ca="1">IFERROR(__xludf.DUMMYFUNCTION("""COMPUTED_VALUE"""),"&lt;button class=""topic"" onclick=""showResult('322')""&gt;曖昧桃花供&lt;/button&gt;&lt;/div&gt;")</f>
        <v>&lt;button class="topic" onclick="showResult('322')"&gt;曖昧桃花供&lt;/button&gt;&lt;/div&gt;</v>
      </c>
    </row>
    <row r="323" spans="1:1" ht="13" x14ac:dyDescent="0.15">
      <c r="A323" s="12" t="str">
        <f ca="1">IFERROR(__xludf.DUMMYFUNCTION("""COMPUTED_VALUE"""),"&lt;div id=""topics""&gt;&lt;button class=""topic"" onclick=""showResult('323')""&gt;收尾&lt;/button&gt;&lt;/div&gt;")</f>
        <v>&lt;div id="topics"&gt;&lt;button class="topic" onclick="showResult('323')"&gt;收尾&lt;/button&gt;&lt;/div&gt;</v>
      </c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35"/>
  <sheetViews>
    <sheetView workbookViewId="0"/>
  </sheetViews>
  <sheetFormatPr baseColWidth="10" defaultColWidth="12.6640625" defaultRowHeight="15.75" customHeight="1" x14ac:dyDescent="0.15"/>
  <cols>
    <col min="1" max="1" width="45.1640625" customWidth="1"/>
    <col min="2" max="2" width="98.1640625" customWidth="1"/>
  </cols>
  <sheetData>
    <row r="1" spans="1:26" ht="15.75" customHeight="1" x14ac:dyDescent="0.15">
      <c r="A1" s="14" t="s">
        <v>619</v>
      </c>
      <c r="B1" s="15" t="s">
        <v>4</v>
      </c>
      <c r="C1" s="16" t="s">
        <v>5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15">
      <c r="A2" s="17" t="s">
        <v>620</v>
      </c>
      <c r="B2" s="17" t="s">
        <v>621</v>
      </c>
      <c r="C2" s="16" t="s">
        <v>5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15">
      <c r="A3" s="18" t="s">
        <v>622</v>
      </c>
      <c r="B3" s="18" t="s">
        <v>623</v>
      </c>
      <c r="C3" s="16" t="s">
        <v>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15">
      <c r="A4" s="19" t="s">
        <v>624</v>
      </c>
      <c r="B4" s="15" t="s">
        <v>4</v>
      </c>
      <c r="C4" s="16" t="s">
        <v>5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15">
      <c r="A5" s="16" t="s">
        <v>625</v>
      </c>
      <c r="B5" s="16" t="s">
        <v>626</v>
      </c>
      <c r="C5" s="16" t="s">
        <v>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15">
      <c r="A6" s="19" t="s">
        <v>626</v>
      </c>
      <c r="B6" s="15" t="s">
        <v>4</v>
      </c>
      <c r="C6" s="16" t="s">
        <v>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15">
      <c r="A7" s="16" t="s">
        <v>627</v>
      </c>
      <c r="B7" s="16" t="s">
        <v>628</v>
      </c>
      <c r="C7" s="16" t="s">
        <v>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15">
      <c r="A8" s="20" t="s">
        <v>629</v>
      </c>
      <c r="B8" s="20" t="s">
        <v>630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15">
      <c r="A9" s="16" t="s">
        <v>631</v>
      </c>
      <c r="B9" s="21" t="s">
        <v>632</v>
      </c>
      <c r="C9" s="16" t="s">
        <v>11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15">
      <c r="A10" s="16" t="s">
        <v>633</v>
      </c>
      <c r="B10" s="21" t="s">
        <v>634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15">
      <c r="A11" s="20" t="s">
        <v>635</v>
      </c>
      <c r="B11" s="21" t="s">
        <v>636</v>
      </c>
      <c r="C11" s="16" t="s">
        <v>11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15">
      <c r="A12" s="18" t="s">
        <v>637</v>
      </c>
      <c r="B12" s="21" t="s">
        <v>638</v>
      </c>
      <c r="C12" s="16" t="s">
        <v>8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15">
      <c r="A13" s="16" t="s">
        <v>639</v>
      </c>
      <c r="B13" s="21" t="s">
        <v>640</v>
      </c>
      <c r="C13" s="16" t="s">
        <v>11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15">
      <c r="A14" s="16" t="s">
        <v>641</v>
      </c>
      <c r="B14" s="21" t="s">
        <v>642</v>
      </c>
      <c r="C14" s="16" t="s">
        <v>8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15">
      <c r="A15" s="20" t="s">
        <v>643</v>
      </c>
      <c r="B15" s="21" t="s">
        <v>644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15">
      <c r="A16" s="16" t="s">
        <v>645</v>
      </c>
      <c r="B16" s="21" t="s">
        <v>646</v>
      </c>
      <c r="C16" s="16" t="s">
        <v>11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15">
      <c r="A17" s="16" t="s">
        <v>647</v>
      </c>
      <c r="B17" s="21" t="s">
        <v>648</v>
      </c>
      <c r="C17" s="16" t="s">
        <v>8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15">
      <c r="A18" s="21" t="s">
        <v>649</v>
      </c>
      <c r="B18" s="21" t="s">
        <v>650</v>
      </c>
      <c r="C18" s="16" t="s">
        <v>11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15">
      <c r="A19" s="20" t="s">
        <v>651</v>
      </c>
      <c r="B19" s="16" t="s">
        <v>652</v>
      </c>
      <c r="C19" s="16" t="s">
        <v>8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15">
      <c r="A20" s="16" t="s">
        <v>653</v>
      </c>
      <c r="B20" s="16" t="s">
        <v>654</v>
      </c>
      <c r="C20" s="16" t="s">
        <v>11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15">
      <c r="A21" s="20" t="s">
        <v>655</v>
      </c>
      <c r="B21" s="16" t="s">
        <v>656</v>
      </c>
      <c r="C21" s="16" t="s">
        <v>8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15">
      <c r="A22" s="16" t="s">
        <v>657</v>
      </c>
      <c r="B22" s="16" t="s">
        <v>658</v>
      </c>
      <c r="C22" s="16" t="s">
        <v>11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15">
      <c r="A23" s="16" t="s">
        <v>659</v>
      </c>
      <c r="B23" s="16" t="s">
        <v>660</v>
      </c>
      <c r="C23" s="16" t="s">
        <v>8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15">
      <c r="A24" s="21" t="s">
        <v>661</v>
      </c>
      <c r="B24" s="16" t="s">
        <v>662</v>
      </c>
      <c r="C24" s="16" t="s">
        <v>11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15">
      <c r="A25" s="20" t="s">
        <v>663</v>
      </c>
      <c r="B25" s="16" t="s">
        <v>656</v>
      </c>
      <c r="C25" s="16" t="s">
        <v>8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15">
      <c r="A26" s="16" t="s">
        <v>664</v>
      </c>
      <c r="B26" s="16" t="s">
        <v>665</v>
      </c>
      <c r="C26" s="16" t="s">
        <v>11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15">
      <c r="A27" s="20" t="s">
        <v>666</v>
      </c>
      <c r="B27" s="16" t="s">
        <v>667</v>
      </c>
      <c r="C27" s="16" t="s">
        <v>8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15">
      <c r="A28" s="16" t="s">
        <v>668</v>
      </c>
      <c r="B28" s="16" t="s">
        <v>669</v>
      </c>
      <c r="C28" s="16" t="s">
        <v>11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15">
      <c r="A29" s="16" t="s">
        <v>670</v>
      </c>
      <c r="B29" s="16" t="s">
        <v>671</v>
      </c>
      <c r="C29" s="16" t="s">
        <v>8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15">
      <c r="A30" s="21" t="s">
        <v>672</v>
      </c>
      <c r="B30" s="16" t="s">
        <v>673</v>
      </c>
      <c r="C30" s="16" t="s">
        <v>11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15">
      <c r="A31" s="20" t="s">
        <v>674</v>
      </c>
      <c r="B31" s="16" t="s">
        <v>675</v>
      </c>
      <c r="C31" s="16" t="s">
        <v>8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15">
      <c r="A32" s="16" t="s">
        <v>676</v>
      </c>
      <c r="B32" s="16" t="s">
        <v>677</v>
      </c>
      <c r="C32" s="16" t="s">
        <v>11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15">
      <c r="A33" s="16" t="s">
        <v>678</v>
      </c>
      <c r="B33" s="21" t="s">
        <v>679</v>
      </c>
      <c r="C33" s="16" t="s">
        <v>8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15">
      <c r="A34" s="20" t="s">
        <v>680</v>
      </c>
      <c r="B34" s="20" t="s">
        <v>681</v>
      </c>
      <c r="C34" s="16" t="s">
        <v>11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15">
      <c r="A35" s="20" t="s">
        <v>682</v>
      </c>
      <c r="B35" s="20" t="s">
        <v>683</v>
      </c>
      <c r="C35" s="16" t="s">
        <v>8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15">
      <c r="A36" s="20" t="s">
        <v>684</v>
      </c>
      <c r="B36" s="21" t="s">
        <v>685</v>
      </c>
      <c r="C36" s="16" t="s">
        <v>11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15">
      <c r="A37" s="20" t="s">
        <v>686</v>
      </c>
      <c r="B37" s="21" t="s">
        <v>687</v>
      </c>
      <c r="C37" s="16" t="s">
        <v>8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15">
      <c r="A38" s="16" t="s">
        <v>688</v>
      </c>
      <c r="B38" s="21" t="s">
        <v>689</v>
      </c>
      <c r="C38" s="16" t="s">
        <v>11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15">
      <c r="A39" s="20" t="s">
        <v>690</v>
      </c>
      <c r="B39" s="21" t="s">
        <v>691</v>
      </c>
      <c r="C39" s="16" t="s">
        <v>8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15">
      <c r="A40" s="20" t="s">
        <v>692</v>
      </c>
      <c r="B40" s="20" t="s">
        <v>693</v>
      </c>
      <c r="C40" s="16" t="s">
        <v>11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15">
      <c r="A41" s="22" t="s">
        <v>694</v>
      </c>
      <c r="B41" s="15" t="s">
        <v>4</v>
      </c>
      <c r="C41" s="16" t="s">
        <v>5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15">
      <c r="A42" s="20" t="s">
        <v>695</v>
      </c>
      <c r="B42" s="20" t="s">
        <v>696</v>
      </c>
      <c r="C42" s="16" t="s">
        <v>8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15">
      <c r="A43" s="20" t="s">
        <v>697</v>
      </c>
      <c r="B43" s="21" t="s">
        <v>698</v>
      </c>
      <c r="C43" s="16" t="s">
        <v>11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15">
      <c r="A44" s="20" t="s">
        <v>699</v>
      </c>
      <c r="B44" s="21" t="s">
        <v>700</v>
      </c>
      <c r="C44" s="16" t="s">
        <v>8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15">
      <c r="A45" s="20" t="s">
        <v>701</v>
      </c>
      <c r="B45" s="20" t="s">
        <v>702</v>
      </c>
      <c r="C45" s="16" t="s">
        <v>11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15">
      <c r="A46" s="20" t="s">
        <v>703</v>
      </c>
      <c r="B46" s="20" t="s">
        <v>704</v>
      </c>
      <c r="C46" s="16" t="s">
        <v>5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15">
      <c r="A47" s="22" t="s">
        <v>705</v>
      </c>
      <c r="B47" s="15" t="s">
        <v>4</v>
      </c>
      <c r="C47" s="16" t="s">
        <v>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15">
      <c r="A48" s="20" t="s">
        <v>706</v>
      </c>
      <c r="B48" s="20" t="s">
        <v>707</v>
      </c>
      <c r="C48" s="16" t="s">
        <v>8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15">
      <c r="A49" s="20" t="s">
        <v>708</v>
      </c>
      <c r="B49" s="21" t="s">
        <v>709</v>
      </c>
      <c r="C49" s="16" t="s">
        <v>11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15">
      <c r="A50" s="20" t="s">
        <v>710</v>
      </c>
      <c r="B50" s="20" t="s">
        <v>711</v>
      </c>
      <c r="C50" s="16" t="s">
        <v>8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15">
      <c r="A51" s="20" t="s">
        <v>712</v>
      </c>
      <c r="B51" s="20" t="s">
        <v>713</v>
      </c>
      <c r="C51" s="16" t="s">
        <v>11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15">
      <c r="A52" s="20" t="s">
        <v>714</v>
      </c>
      <c r="B52" s="20" t="s">
        <v>715</v>
      </c>
      <c r="C52" s="16" t="s">
        <v>8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15">
      <c r="A53" s="20" t="s">
        <v>716</v>
      </c>
      <c r="B53" s="20" t="s">
        <v>717</v>
      </c>
      <c r="C53" s="16" t="s">
        <v>11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15">
      <c r="A54" s="19" t="s">
        <v>718</v>
      </c>
      <c r="B54" s="15" t="s">
        <v>4</v>
      </c>
      <c r="C54" s="16" t="s">
        <v>5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15">
      <c r="A55" s="16" t="s">
        <v>719</v>
      </c>
      <c r="B55" s="16" t="s">
        <v>720</v>
      </c>
      <c r="C55" s="16" t="s">
        <v>5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15">
      <c r="A56" s="19" t="s">
        <v>721</v>
      </c>
      <c r="B56" s="15" t="s">
        <v>4</v>
      </c>
      <c r="C56" s="16" t="s">
        <v>5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15">
      <c r="A57" s="20" t="s">
        <v>722</v>
      </c>
      <c r="B57" s="20" t="s">
        <v>723</v>
      </c>
      <c r="C57" s="16" t="s">
        <v>8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15">
      <c r="A58" s="16" t="s">
        <v>724</v>
      </c>
      <c r="B58" s="16" t="s">
        <v>725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15">
      <c r="A59" s="16" t="s">
        <v>726</v>
      </c>
      <c r="B59" s="16" t="s">
        <v>727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" x14ac:dyDescent="0.15">
      <c r="A60" s="16" t="s">
        <v>728</v>
      </c>
      <c r="B60" s="16" t="s">
        <v>729</v>
      </c>
      <c r="C60" s="16" t="s">
        <v>11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" x14ac:dyDescent="0.15">
      <c r="A61" s="16" t="s">
        <v>730</v>
      </c>
      <c r="B61" s="16" t="s">
        <v>731</v>
      </c>
      <c r="C61" s="16" t="s">
        <v>8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" x14ac:dyDescent="0.15">
      <c r="A62" s="16" t="s">
        <v>732</v>
      </c>
      <c r="B62" s="16" t="s">
        <v>733</v>
      </c>
      <c r="C62" s="16" t="s">
        <v>11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" x14ac:dyDescent="0.15">
      <c r="A63" s="16" t="s">
        <v>734</v>
      </c>
      <c r="B63" s="20" t="s">
        <v>735</v>
      </c>
      <c r="C63" s="16" t="s">
        <v>8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" x14ac:dyDescent="0.15">
      <c r="A64" s="16" t="s">
        <v>736</v>
      </c>
      <c r="B64" s="20" t="s">
        <v>737</v>
      </c>
      <c r="C64" s="16" t="s">
        <v>11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" x14ac:dyDescent="0.15">
      <c r="A65" s="16" t="s">
        <v>738</v>
      </c>
      <c r="B65" s="20" t="s">
        <v>739</v>
      </c>
      <c r="C65" s="16" t="s">
        <v>8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" x14ac:dyDescent="0.15">
      <c r="A66" s="16" t="s">
        <v>740</v>
      </c>
      <c r="B66" s="20" t="s">
        <v>741</v>
      </c>
      <c r="C66" s="16" t="s">
        <v>11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" x14ac:dyDescent="0.15">
      <c r="A67" s="21" t="s">
        <v>742</v>
      </c>
      <c r="B67" s="20" t="s">
        <v>743</v>
      </c>
      <c r="C67" s="16" t="s">
        <v>8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" x14ac:dyDescent="0.15">
      <c r="A68" s="16" t="s">
        <v>744</v>
      </c>
      <c r="B68" s="20" t="s">
        <v>745</v>
      </c>
      <c r="C68" s="16" t="s">
        <v>11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" x14ac:dyDescent="0.15">
      <c r="A69" s="16" t="s">
        <v>746</v>
      </c>
      <c r="B69" s="21" t="s">
        <v>747</v>
      </c>
      <c r="C69" s="16" t="s">
        <v>8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" x14ac:dyDescent="0.15">
      <c r="A70" s="16" t="s">
        <v>748</v>
      </c>
      <c r="B70" s="21" t="s">
        <v>749</v>
      </c>
      <c r="C70" s="16" t="s">
        <v>11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" x14ac:dyDescent="0.15">
      <c r="A71" s="23" t="s">
        <v>750</v>
      </c>
      <c r="B71" s="15" t="s">
        <v>4</v>
      </c>
      <c r="C71" s="16" t="s">
        <v>5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" x14ac:dyDescent="0.15">
      <c r="A72" s="24" t="s">
        <v>751</v>
      </c>
      <c r="B72" s="24" t="s">
        <v>752</v>
      </c>
      <c r="C72" s="16" t="s">
        <v>5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" x14ac:dyDescent="0.15">
      <c r="A73" s="25" t="s">
        <v>753</v>
      </c>
      <c r="B73" s="15" t="s">
        <v>4</v>
      </c>
      <c r="C73" s="16" t="s">
        <v>5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" x14ac:dyDescent="0.15">
      <c r="A74" s="24" t="s">
        <v>460</v>
      </c>
      <c r="B74" s="24" t="s">
        <v>754</v>
      </c>
      <c r="C74" s="16" t="s">
        <v>8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" x14ac:dyDescent="0.15">
      <c r="A75" s="26" t="s">
        <v>755</v>
      </c>
      <c r="B75" s="26" t="s">
        <v>756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" x14ac:dyDescent="0.15">
      <c r="A76" s="26" t="s">
        <v>757</v>
      </c>
      <c r="B76" s="26" t="s">
        <v>758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" x14ac:dyDescent="0.15">
      <c r="A77" s="24" t="s">
        <v>466</v>
      </c>
      <c r="B77" s="24" t="s">
        <v>759</v>
      </c>
      <c r="C77" s="16" t="s">
        <v>11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" x14ac:dyDescent="0.15">
      <c r="A78" s="24" t="s">
        <v>468</v>
      </c>
      <c r="B78" s="24" t="s">
        <v>760</v>
      </c>
      <c r="C78" s="16" t="s">
        <v>8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" x14ac:dyDescent="0.15">
      <c r="A79" s="24" t="s">
        <v>472</v>
      </c>
      <c r="B79" s="21" t="s">
        <v>761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" x14ac:dyDescent="0.15">
      <c r="A80" s="24" t="s">
        <v>762</v>
      </c>
      <c r="B80" s="21" t="s">
        <v>763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" x14ac:dyDescent="0.15">
      <c r="A81" s="27" t="s">
        <v>764</v>
      </c>
      <c r="B81" s="27" t="s">
        <v>765</v>
      </c>
      <c r="C81" s="16" t="s">
        <v>11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" x14ac:dyDescent="0.15">
      <c r="A82" s="28" t="s">
        <v>766</v>
      </c>
      <c r="B82" s="15" t="s">
        <v>4</v>
      </c>
      <c r="C82" s="16" t="s">
        <v>5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4" x14ac:dyDescent="0.15">
      <c r="A83" s="29" t="s">
        <v>767</v>
      </c>
      <c r="B83" s="29" t="s">
        <v>768</v>
      </c>
      <c r="C83" s="16" t="s">
        <v>5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4" x14ac:dyDescent="0.15">
      <c r="A84" s="30" t="s">
        <v>768</v>
      </c>
      <c r="B84" s="15" t="s">
        <v>4</v>
      </c>
      <c r="C84" s="16" t="s">
        <v>5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" x14ac:dyDescent="0.15">
      <c r="A85" s="31" t="s">
        <v>769</v>
      </c>
      <c r="B85" s="31" t="s">
        <v>770</v>
      </c>
      <c r="C85" s="16" t="s">
        <v>8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" x14ac:dyDescent="0.15">
      <c r="A86" s="31" t="s">
        <v>771</v>
      </c>
      <c r="B86" s="32" t="s">
        <v>772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" x14ac:dyDescent="0.15">
      <c r="A87" s="31" t="s">
        <v>773</v>
      </c>
      <c r="B87" s="31" t="s">
        <v>774</v>
      </c>
      <c r="C87" s="16" t="s">
        <v>11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" x14ac:dyDescent="0.15">
      <c r="A88" s="33" t="s">
        <v>775</v>
      </c>
      <c r="B88" s="16" t="s">
        <v>776</v>
      </c>
      <c r="C88" s="16" t="s">
        <v>8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" x14ac:dyDescent="0.15">
      <c r="A89" s="33" t="s">
        <v>777</v>
      </c>
      <c r="B89" s="16" t="s">
        <v>778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" x14ac:dyDescent="0.15">
      <c r="A90" s="33" t="s">
        <v>779</v>
      </c>
      <c r="B90" s="16" t="s">
        <v>780</v>
      </c>
      <c r="C90" s="16" t="s">
        <v>11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" x14ac:dyDescent="0.15">
      <c r="A91" s="33" t="s">
        <v>781</v>
      </c>
      <c r="B91" s="16" t="s">
        <v>782</v>
      </c>
      <c r="C91" s="16" t="s">
        <v>8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" x14ac:dyDescent="0.15">
      <c r="A92" s="33" t="s">
        <v>783</v>
      </c>
      <c r="B92" s="16" t="s">
        <v>784</v>
      </c>
      <c r="C92" s="16" t="s">
        <v>11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" x14ac:dyDescent="0.15">
      <c r="A93" s="23" t="s">
        <v>785</v>
      </c>
      <c r="B93" s="15" t="s">
        <v>4</v>
      </c>
      <c r="C93" s="16" t="s">
        <v>5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" x14ac:dyDescent="0.15">
      <c r="A94" s="31" t="s">
        <v>786</v>
      </c>
      <c r="B94" s="31" t="s">
        <v>787</v>
      </c>
      <c r="C94" s="16" t="s">
        <v>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" x14ac:dyDescent="0.15">
      <c r="A95" s="23" t="s">
        <v>787</v>
      </c>
      <c r="B95" s="15" t="s">
        <v>4</v>
      </c>
      <c r="C95" s="16" t="s">
        <v>5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" x14ac:dyDescent="0.15">
      <c r="A96" s="31" t="s">
        <v>788</v>
      </c>
      <c r="B96" s="31" t="s">
        <v>789</v>
      </c>
      <c r="C96" s="16" t="s">
        <v>8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" x14ac:dyDescent="0.15">
      <c r="A97" s="31" t="s">
        <v>790</v>
      </c>
      <c r="B97" s="31" t="s">
        <v>791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" x14ac:dyDescent="0.15">
      <c r="A98" s="31" t="s">
        <v>792</v>
      </c>
      <c r="B98" s="31" t="s">
        <v>793</v>
      </c>
      <c r="C98" s="16" t="s">
        <v>11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4" x14ac:dyDescent="0.15">
      <c r="A99" s="32" t="s">
        <v>794</v>
      </c>
      <c r="B99" s="34" t="s">
        <v>795</v>
      </c>
      <c r="C99" s="16" t="s">
        <v>8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" x14ac:dyDescent="0.15">
      <c r="A100" s="16" t="s">
        <v>796</v>
      </c>
      <c r="B100" s="16" t="s">
        <v>797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" x14ac:dyDescent="0.15">
      <c r="A101" s="16" t="s">
        <v>798</v>
      </c>
      <c r="B101" s="16" t="s">
        <v>799</v>
      </c>
      <c r="C101" s="16" t="s">
        <v>11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" x14ac:dyDescent="0.15">
      <c r="A102" s="16" t="s">
        <v>800</v>
      </c>
      <c r="B102" s="16" t="s">
        <v>801</v>
      </c>
      <c r="C102" s="16" t="s">
        <v>8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" x14ac:dyDescent="0.15">
      <c r="A103" s="16" t="s">
        <v>802</v>
      </c>
      <c r="B103" s="16" t="s">
        <v>803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" x14ac:dyDescent="0.15">
      <c r="A104" s="16" t="s">
        <v>804</v>
      </c>
      <c r="B104" s="16" t="s">
        <v>805</v>
      </c>
      <c r="C104" s="16" t="s">
        <v>11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" x14ac:dyDescent="0.15">
      <c r="A105" s="16" t="s">
        <v>806</v>
      </c>
      <c r="B105" s="16" t="s">
        <v>807</v>
      </c>
      <c r="C105" s="16" t="s">
        <v>8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" x14ac:dyDescent="0.15">
      <c r="A106" s="16" t="s">
        <v>808</v>
      </c>
      <c r="B106" s="16" t="s">
        <v>809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" x14ac:dyDescent="0.15">
      <c r="A107" s="32" t="s">
        <v>810</v>
      </c>
      <c r="B107" s="16" t="s">
        <v>811</v>
      </c>
      <c r="C107" s="16" t="s">
        <v>11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" x14ac:dyDescent="0.15">
      <c r="A108" s="16" t="s">
        <v>812</v>
      </c>
      <c r="B108" s="16" t="s">
        <v>813</v>
      </c>
      <c r="C108" s="16" t="s">
        <v>5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" x14ac:dyDescent="0.15">
      <c r="A109" s="16" t="s">
        <v>814</v>
      </c>
      <c r="B109" s="16" t="s">
        <v>815</v>
      </c>
      <c r="C109" s="16" t="s">
        <v>5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" x14ac:dyDescent="0.15">
      <c r="A110" s="16" t="s">
        <v>816</v>
      </c>
      <c r="B110" s="16" t="s">
        <v>817</v>
      </c>
      <c r="C110" s="16" t="s">
        <v>5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" x14ac:dyDescent="0.15">
      <c r="A111" s="16" t="s">
        <v>818</v>
      </c>
      <c r="B111" s="35" t="s">
        <v>819</v>
      </c>
      <c r="C111" s="16" t="s">
        <v>8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" x14ac:dyDescent="0.15">
      <c r="A112" s="16" t="s">
        <v>820</v>
      </c>
      <c r="B112" s="35" t="s">
        <v>821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" x14ac:dyDescent="0.15">
      <c r="A113" s="16" t="s">
        <v>822</v>
      </c>
      <c r="B113" s="35" t="s">
        <v>823</v>
      </c>
      <c r="C113" s="16" t="s">
        <v>11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" x14ac:dyDescent="0.1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" x14ac:dyDescent="0.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" x14ac:dyDescent="0.1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" x14ac:dyDescent="0.1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" x14ac:dyDescent="0.1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" x14ac:dyDescent="0.1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" x14ac:dyDescent="0.1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" x14ac:dyDescent="0.1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" x14ac:dyDescent="0.1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" x14ac:dyDescent="0.1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" x14ac:dyDescent="0.1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" x14ac:dyDescent="0.1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" x14ac:dyDescent="0.1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" x14ac:dyDescent="0.1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" x14ac:dyDescent="0.1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" x14ac:dyDescent="0.1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" x14ac:dyDescent="0.1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" x14ac:dyDescent="0.1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" x14ac:dyDescent="0.1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" x14ac:dyDescent="0.1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" x14ac:dyDescent="0.1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" x14ac:dyDescent="0.1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" x14ac:dyDescent="0.1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" x14ac:dyDescent="0.1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" x14ac:dyDescent="0.1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" x14ac:dyDescent="0.1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" x14ac:dyDescent="0.1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" x14ac:dyDescent="0.1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" x14ac:dyDescent="0.1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" x14ac:dyDescent="0.1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" x14ac:dyDescent="0.1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" x14ac:dyDescent="0.1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" x14ac:dyDescent="0.1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" x14ac:dyDescent="0.1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" x14ac:dyDescent="0.1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" x14ac:dyDescent="0.1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" x14ac:dyDescent="0.1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" x14ac:dyDescent="0.1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" x14ac:dyDescent="0.1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" x14ac:dyDescent="0.1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" x14ac:dyDescent="0.1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" x14ac:dyDescent="0.1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" x14ac:dyDescent="0.1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" x14ac:dyDescent="0.1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" x14ac:dyDescent="0.1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" x14ac:dyDescent="0.1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" x14ac:dyDescent="0.1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" x14ac:dyDescent="0.1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" x14ac:dyDescent="0.1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" x14ac:dyDescent="0.1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" x14ac:dyDescent="0.1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" x14ac:dyDescent="0.1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" x14ac:dyDescent="0.1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" x14ac:dyDescent="0.1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" x14ac:dyDescent="0.1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" x14ac:dyDescent="0.1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" x14ac:dyDescent="0.1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" x14ac:dyDescent="0.1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" x14ac:dyDescent="0.1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" x14ac:dyDescent="0.1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" x14ac:dyDescent="0.1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" x14ac:dyDescent="0.1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" x14ac:dyDescent="0.1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" x14ac:dyDescent="0.1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" x14ac:dyDescent="0.1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" x14ac:dyDescent="0.1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" x14ac:dyDescent="0.1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" x14ac:dyDescent="0.1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" x14ac:dyDescent="0.1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" x14ac:dyDescent="0.1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" x14ac:dyDescent="0.1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" x14ac:dyDescent="0.1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" x14ac:dyDescent="0.1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" x14ac:dyDescent="0.1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" x14ac:dyDescent="0.1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" x14ac:dyDescent="0.1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" x14ac:dyDescent="0.1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" x14ac:dyDescent="0.1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" x14ac:dyDescent="0.1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" x14ac:dyDescent="0.1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" x14ac:dyDescent="0.1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" x14ac:dyDescent="0.1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" x14ac:dyDescent="0.1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" x14ac:dyDescent="0.1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" x14ac:dyDescent="0.1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" x14ac:dyDescent="0.1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" x14ac:dyDescent="0.1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" x14ac:dyDescent="0.1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" x14ac:dyDescent="0.1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" x14ac:dyDescent="0.1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" x14ac:dyDescent="0.1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" x14ac:dyDescent="0.1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" x14ac:dyDescent="0.1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" x14ac:dyDescent="0.1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" x14ac:dyDescent="0.1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" x14ac:dyDescent="0.1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" x14ac:dyDescent="0.1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" x14ac:dyDescent="0.1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" x14ac:dyDescent="0.1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" x14ac:dyDescent="0.1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" x14ac:dyDescent="0.1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" x14ac:dyDescent="0.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" x14ac:dyDescent="0.1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" x14ac:dyDescent="0.1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" x14ac:dyDescent="0.1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" x14ac:dyDescent="0.1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" x14ac:dyDescent="0.1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3" x14ac:dyDescent="0.1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3" x14ac:dyDescent="0.1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3" x14ac:dyDescent="0.1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3" x14ac:dyDescent="0.1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3" x14ac:dyDescent="0.1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3" x14ac:dyDescent="0.1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3" x14ac:dyDescent="0.1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3" x14ac:dyDescent="0.1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3" x14ac:dyDescent="0.1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3" x14ac:dyDescent="0.1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3" x14ac:dyDescent="0.1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3" x14ac:dyDescent="0.1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3" x14ac:dyDescent="0.1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3" x14ac:dyDescent="0.1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3" x14ac:dyDescent="0.1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3" x14ac:dyDescent="0.1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3" x14ac:dyDescent="0.1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3" x14ac:dyDescent="0.1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3" x14ac:dyDescent="0.1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3" x14ac:dyDescent="0.1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3" x14ac:dyDescent="0.1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3" x14ac:dyDescent="0.1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3" x14ac:dyDescent="0.1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3" x14ac:dyDescent="0.1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3" x14ac:dyDescent="0.1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3" x14ac:dyDescent="0.1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3" x14ac:dyDescent="0.1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3" x14ac:dyDescent="0.1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3" x14ac:dyDescent="0.1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3" x14ac:dyDescent="0.1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3" x14ac:dyDescent="0.1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3" x14ac:dyDescent="0.1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3" x14ac:dyDescent="0.1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3" x14ac:dyDescent="0.1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3" x14ac:dyDescent="0.1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3" x14ac:dyDescent="0.1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3" x14ac:dyDescent="0.1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3" x14ac:dyDescent="0.1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3" x14ac:dyDescent="0.1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3" x14ac:dyDescent="0.1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3" x14ac:dyDescent="0.1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3" x14ac:dyDescent="0.1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3" x14ac:dyDescent="0.1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3" x14ac:dyDescent="0.1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3" x14ac:dyDescent="0.1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3" x14ac:dyDescent="0.1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3" x14ac:dyDescent="0.1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3" x14ac:dyDescent="0.1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3" x14ac:dyDescent="0.1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3" x14ac:dyDescent="0.1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3" x14ac:dyDescent="0.1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3" x14ac:dyDescent="0.1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3" x14ac:dyDescent="0.1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3" x14ac:dyDescent="0.1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3" x14ac:dyDescent="0.1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3" x14ac:dyDescent="0.1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3" x14ac:dyDescent="0.1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3" x14ac:dyDescent="0.1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3" x14ac:dyDescent="0.1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3" x14ac:dyDescent="0.1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3" x14ac:dyDescent="0.1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3" x14ac:dyDescent="0.1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3" x14ac:dyDescent="0.1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3" x14ac:dyDescent="0.1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3" x14ac:dyDescent="0.1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3" x14ac:dyDescent="0.1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3" x14ac:dyDescent="0.1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3" x14ac:dyDescent="0.1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3" x14ac:dyDescent="0.1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3" x14ac:dyDescent="0.1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3" x14ac:dyDescent="0.1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3" x14ac:dyDescent="0.1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3" x14ac:dyDescent="0.1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3" x14ac:dyDescent="0.1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3" x14ac:dyDescent="0.1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3" x14ac:dyDescent="0.1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3" x14ac:dyDescent="0.1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3" x14ac:dyDescent="0.1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3" x14ac:dyDescent="0.1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3" x14ac:dyDescent="0.1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3" x14ac:dyDescent="0.1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3" x14ac:dyDescent="0.1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3" x14ac:dyDescent="0.1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3" x14ac:dyDescent="0.1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3" x14ac:dyDescent="0.1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3" x14ac:dyDescent="0.1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3" x14ac:dyDescent="0.1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3" x14ac:dyDescent="0.1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3" x14ac:dyDescent="0.1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3" x14ac:dyDescent="0.1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3" x14ac:dyDescent="0.1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3" x14ac:dyDescent="0.1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3" x14ac:dyDescent="0.1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3" x14ac:dyDescent="0.1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3" x14ac:dyDescent="0.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3" x14ac:dyDescent="0.1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3" x14ac:dyDescent="0.1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3" x14ac:dyDescent="0.1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3" x14ac:dyDescent="0.1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3" x14ac:dyDescent="0.1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3" x14ac:dyDescent="0.1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3" x14ac:dyDescent="0.1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3" x14ac:dyDescent="0.1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3" x14ac:dyDescent="0.1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3" x14ac:dyDescent="0.1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3" x14ac:dyDescent="0.1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3" x14ac:dyDescent="0.1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3" x14ac:dyDescent="0.1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3" x14ac:dyDescent="0.1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3" x14ac:dyDescent="0.1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3" x14ac:dyDescent="0.1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3" x14ac:dyDescent="0.1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3" x14ac:dyDescent="0.1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3" x14ac:dyDescent="0.1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3" x14ac:dyDescent="0.1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3" x14ac:dyDescent="0.1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3" x14ac:dyDescent="0.1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3" x14ac:dyDescent="0.1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3" x14ac:dyDescent="0.1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3" x14ac:dyDescent="0.1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3" x14ac:dyDescent="0.1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3" x14ac:dyDescent="0.1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3" x14ac:dyDescent="0.1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3" x14ac:dyDescent="0.1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3" x14ac:dyDescent="0.1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3" x14ac:dyDescent="0.1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3" x14ac:dyDescent="0.1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3" x14ac:dyDescent="0.1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3" x14ac:dyDescent="0.1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3" x14ac:dyDescent="0.1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3" x14ac:dyDescent="0.1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3" x14ac:dyDescent="0.1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3" x14ac:dyDescent="0.1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3" x14ac:dyDescent="0.1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3" x14ac:dyDescent="0.1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3" x14ac:dyDescent="0.1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3" x14ac:dyDescent="0.1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3" x14ac:dyDescent="0.1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3" x14ac:dyDescent="0.1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3" x14ac:dyDescent="0.1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3" x14ac:dyDescent="0.1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3" x14ac:dyDescent="0.1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3" x14ac:dyDescent="0.1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3" x14ac:dyDescent="0.1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3" x14ac:dyDescent="0.1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3" x14ac:dyDescent="0.1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3" x14ac:dyDescent="0.1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3" x14ac:dyDescent="0.1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3" x14ac:dyDescent="0.1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3" x14ac:dyDescent="0.1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3" x14ac:dyDescent="0.1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3" x14ac:dyDescent="0.1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3" x14ac:dyDescent="0.1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3" x14ac:dyDescent="0.1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3" x14ac:dyDescent="0.1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3" x14ac:dyDescent="0.1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3" x14ac:dyDescent="0.1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3" x14ac:dyDescent="0.1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3" x14ac:dyDescent="0.1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3" x14ac:dyDescent="0.1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3" x14ac:dyDescent="0.1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3" x14ac:dyDescent="0.1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3" x14ac:dyDescent="0.1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3" x14ac:dyDescent="0.1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3" x14ac:dyDescent="0.1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3" x14ac:dyDescent="0.1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3" x14ac:dyDescent="0.1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3" x14ac:dyDescent="0.1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3" x14ac:dyDescent="0.1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3" x14ac:dyDescent="0.1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3" x14ac:dyDescent="0.1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3" x14ac:dyDescent="0.1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3" x14ac:dyDescent="0.1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3" x14ac:dyDescent="0.1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3" x14ac:dyDescent="0.1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3" x14ac:dyDescent="0.1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3" x14ac:dyDescent="0.1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3" x14ac:dyDescent="0.1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3" x14ac:dyDescent="0.1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3" x14ac:dyDescent="0.1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3" x14ac:dyDescent="0.1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3" x14ac:dyDescent="0.1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3" x14ac:dyDescent="0.1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3" x14ac:dyDescent="0.1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3" x14ac:dyDescent="0.1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3" x14ac:dyDescent="0.1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3" x14ac:dyDescent="0.1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3" x14ac:dyDescent="0.1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3" x14ac:dyDescent="0.1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3" x14ac:dyDescent="0.1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3" x14ac:dyDescent="0.1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3" x14ac:dyDescent="0.1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3" x14ac:dyDescent="0.1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3" x14ac:dyDescent="0.1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3" x14ac:dyDescent="0.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3" x14ac:dyDescent="0.1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3" x14ac:dyDescent="0.1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3" x14ac:dyDescent="0.1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3" x14ac:dyDescent="0.1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3" x14ac:dyDescent="0.1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3" x14ac:dyDescent="0.1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3" x14ac:dyDescent="0.1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3" x14ac:dyDescent="0.1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3" x14ac:dyDescent="0.1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3" x14ac:dyDescent="0.1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3" x14ac:dyDescent="0.1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3" x14ac:dyDescent="0.1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3" x14ac:dyDescent="0.1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3" x14ac:dyDescent="0.1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3" x14ac:dyDescent="0.1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3" x14ac:dyDescent="0.1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3" x14ac:dyDescent="0.1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3" x14ac:dyDescent="0.1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3" x14ac:dyDescent="0.1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3" x14ac:dyDescent="0.1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3" x14ac:dyDescent="0.1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3" x14ac:dyDescent="0.1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3" x14ac:dyDescent="0.1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3" x14ac:dyDescent="0.1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3" x14ac:dyDescent="0.1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3" x14ac:dyDescent="0.1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3" x14ac:dyDescent="0.1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3" x14ac:dyDescent="0.1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3" x14ac:dyDescent="0.1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3" x14ac:dyDescent="0.1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3" x14ac:dyDescent="0.1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3" x14ac:dyDescent="0.1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3" x14ac:dyDescent="0.1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3" x14ac:dyDescent="0.1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3" x14ac:dyDescent="0.1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3" x14ac:dyDescent="0.1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3" x14ac:dyDescent="0.1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3" x14ac:dyDescent="0.1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3" x14ac:dyDescent="0.1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3" x14ac:dyDescent="0.1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3" x14ac:dyDescent="0.1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3" x14ac:dyDescent="0.1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3" x14ac:dyDescent="0.1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3" x14ac:dyDescent="0.1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3" x14ac:dyDescent="0.1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3" x14ac:dyDescent="0.1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3" x14ac:dyDescent="0.1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3" x14ac:dyDescent="0.1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3" x14ac:dyDescent="0.1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3" x14ac:dyDescent="0.1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3" x14ac:dyDescent="0.1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3" x14ac:dyDescent="0.1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3" x14ac:dyDescent="0.1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3" x14ac:dyDescent="0.1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3" x14ac:dyDescent="0.1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3" x14ac:dyDescent="0.1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3" x14ac:dyDescent="0.1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3" x14ac:dyDescent="0.1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3" x14ac:dyDescent="0.1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3" x14ac:dyDescent="0.1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3" x14ac:dyDescent="0.1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3" x14ac:dyDescent="0.1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3" x14ac:dyDescent="0.1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3" x14ac:dyDescent="0.1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3" x14ac:dyDescent="0.1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3" x14ac:dyDescent="0.1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3" x14ac:dyDescent="0.1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3" x14ac:dyDescent="0.1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3" x14ac:dyDescent="0.1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3" x14ac:dyDescent="0.1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3" x14ac:dyDescent="0.1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3" x14ac:dyDescent="0.1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3" x14ac:dyDescent="0.1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3" x14ac:dyDescent="0.1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3" x14ac:dyDescent="0.1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3" x14ac:dyDescent="0.1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3" x14ac:dyDescent="0.1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3" x14ac:dyDescent="0.1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3" x14ac:dyDescent="0.1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3" x14ac:dyDescent="0.1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3" x14ac:dyDescent="0.1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3" x14ac:dyDescent="0.1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3" x14ac:dyDescent="0.1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3" x14ac:dyDescent="0.1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3" x14ac:dyDescent="0.1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3" x14ac:dyDescent="0.1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3" x14ac:dyDescent="0.1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3" x14ac:dyDescent="0.1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3" x14ac:dyDescent="0.1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3" x14ac:dyDescent="0.1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3" x14ac:dyDescent="0.1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3" x14ac:dyDescent="0.1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3" x14ac:dyDescent="0.1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3" x14ac:dyDescent="0.1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3" x14ac:dyDescent="0.1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3" x14ac:dyDescent="0.1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3" x14ac:dyDescent="0.1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3" x14ac:dyDescent="0.1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3" x14ac:dyDescent="0.1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3" x14ac:dyDescent="0.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3" x14ac:dyDescent="0.1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3" x14ac:dyDescent="0.1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3" x14ac:dyDescent="0.1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3" x14ac:dyDescent="0.1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3" x14ac:dyDescent="0.1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3" x14ac:dyDescent="0.1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3" x14ac:dyDescent="0.1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3" x14ac:dyDescent="0.1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3" x14ac:dyDescent="0.1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3" x14ac:dyDescent="0.1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3" x14ac:dyDescent="0.1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3" x14ac:dyDescent="0.1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3" x14ac:dyDescent="0.1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3" x14ac:dyDescent="0.1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3" x14ac:dyDescent="0.1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3" x14ac:dyDescent="0.1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3" x14ac:dyDescent="0.1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3" x14ac:dyDescent="0.1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3" x14ac:dyDescent="0.1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3" x14ac:dyDescent="0.1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3" x14ac:dyDescent="0.1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3" x14ac:dyDescent="0.1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3" x14ac:dyDescent="0.1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3" x14ac:dyDescent="0.1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3" x14ac:dyDescent="0.1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3" x14ac:dyDescent="0.1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3" x14ac:dyDescent="0.1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3" x14ac:dyDescent="0.1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3" x14ac:dyDescent="0.1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3" x14ac:dyDescent="0.1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3" x14ac:dyDescent="0.1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3" x14ac:dyDescent="0.1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3" x14ac:dyDescent="0.1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3" x14ac:dyDescent="0.1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3" x14ac:dyDescent="0.1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3" x14ac:dyDescent="0.1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3" x14ac:dyDescent="0.1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3" x14ac:dyDescent="0.1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3" x14ac:dyDescent="0.1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3" x14ac:dyDescent="0.1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3" x14ac:dyDescent="0.1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3" x14ac:dyDescent="0.1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3" x14ac:dyDescent="0.1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3" x14ac:dyDescent="0.1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3" x14ac:dyDescent="0.1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3" x14ac:dyDescent="0.1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3" x14ac:dyDescent="0.1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3" x14ac:dyDescent="0.1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3" x14ac:dyDescent="0.1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3" x14ac:dyDescent="0.1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3" x14ac:dyDescent="0.1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3" x14ac:dyDescent="0.1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3" x14ac:dyDescent="0.1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3" x14ac:dyDescent="0.1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3" x14ac:dyDescent="0.1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3" x14ac:dyDescent="0.1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3" x14ac:dyDescent="0.1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3" x14ac:dyDescent="0.1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3" x14ac:dyDescent="0.1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3" x14ac:dyDescent="0.1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3" x14ac:dyDescent="0.1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3" x14ac:dyDescent="0.1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3" x14ac:dyDescent="0.1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3" x14ac:dyDescent="0.1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3" x14ac:dyDescent="0.1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3" x14ac:dyDescent="0.1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3" x14ac:dyDescent="0.1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3" x14ac:dyDescent="0.1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3" x14ac:dyDescent="0.1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3" x14ac:dyDescent="0.1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3" x14ac:dyDescent="0.1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3" x14ac:dyDescent="0.1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3" x14ac:dyDescent="0.1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3" x14ac:dyDescent="0.1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3" x14ac:dyDescent="0.1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3" x14ac:dyDescent="0.1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3" x14ac:dyDescent="0.1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3" x14ac:dyDescent="0.1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3" x14ac:dyDescent="0.1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3" x14ac:dyDescent="0.1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3" x14ac:dyDescent="0.1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3" x14ac:dyDescent="0.1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3" x14ac:dyDescent="0.1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3" x14ac:dyDescent="0.1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3" x14ac:dyDescent="0.1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3" x14ac:dyDescent="0.1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3" x14ac:dyDescent="0.1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3" x14ac:dyDescent="0.1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3" x14ac:dyDescent="0.1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3" x14ac:dyDescent="0.1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3" x14ac:dyDescent="0.1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3" x14ac:dyDescent="0.1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3" x14ac:dyDescent="0.1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3" x14ac:dyDescent="0.1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3" x14ac:dyDescent="0.1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3" x14ac:dyDescent="0.1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3" x14ac:dyDescent="0.1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3" x14ac:dyDescent="0.1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3" x14ac:dyDescent="0.1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3" x14ac:dyDescent="0.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3" x14ac:dyDescent="0.1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3" x14ac:dyDescent="0.1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3" x14ac:dyDescent="0.1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3" x14ac:dyDescent="0.1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3" x14ac:dyDescent="0.1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3" x14ac:dyDescent="0.1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3" x14ac:dyDescent="0.1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3" x14ac:dyDescent="0.1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3" x14ac:dyDescent="0.1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3" x14ac:dyDescent="0.1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3" x14ac:dyDescent="0.1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3" x14ac:dyDescent="0.1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3" x14ac:dyDescent="0.1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3" x14ac:dyDescent="0.1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3" x14ac:dyDescent="0.1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3" x14ac:dyDescent="0.1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3" x14ac:dyDescent="0.1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3" x14ac:dyDescent="0.1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3" x14ac:dyDescent="0.1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3" x14ac:dyDescent="0.1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3" x14ac:dyDescent="0.1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3" x14ac:dyDescent="0.1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3" x14ac:dyDescent="0.1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3" x14ac:dyDescent="0.1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3" x14ac:dyDescent="0.1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3" x14ac:dyDescent="0.1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3" x14ac:dyDescent="0.1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3" x14ac:dyDescent="0.1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3" x14ac:dyDescent="0.1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3" x14ac:dyDescent="0.1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3" x14ac:dyDescent="0.1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3" x14ac:dyDescent="0.1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3" x14ac:dyDescent="0.1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3" x14ac:dyDescent="0.1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3" x14ac:dyDescent="0.1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3" x14ac:dyDescent="0.1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3" x14ac:dyDescent="0.1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3" x14ac:dyDescent="0.1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3" x14ac:dyDescent="0.1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3" x14ac:dyDescent="0.1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3" x14ac:dyDescent="0.1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3" x14ac:dyDescent="0.1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3" x14ac:dyDescent="0.1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3" x14ac:dyDescent="0.1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3" x14ac:dyDescent="0.1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3" x14ac:dyDescent="0.1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3" x14ac:dyDescent="0.1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3" x14ac:dyDescent="0.1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3" x14ac:dyDescent="0.1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3" x14ac:dyDescent="0.1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3" x14ac:dyDescent="0.1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3" x14ac:dyDescent="0.1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3" x14ac:dyDescent="0.1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3" x14ac:dyDescent="0.1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3" x14ac:dyDescent="0.1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3" x14ac:dyDescent="0.1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3" x14ac:dyDescent="0.1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3" x14ac:dyDescent="0.1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3" x14ac:dyDescent="0.1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3" x14ac:dyDescent="0.1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3" x14ac:dyDescent="0.1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3" x14ac:dyDescent="0.1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3" x14ac:dyDescent="0.1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3" x14ac:dyDescent="0.1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3" x14ac:dyDescent="0.1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3" x14ac:dyDescent="0.1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3" x14ac:dyDescent="0.1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3" x14ac:dyDescent="0.1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3" x14ac:dyDescent="0.1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3" x14ac:dyDescent="0.1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3" x14ac:dyDescent="0.1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3" x14ac:dyDescent="0.1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3" x14ac:dyDescent="0.1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3" x14ac:dyDescent="0.1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3" x14ac:dyDescent="0.1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3" x14ac:dyDescent="0.1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3" x14ac:dyDescent="0.1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3" x14ac:dyDescent="0.1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3" x14ac:dyDescent="0.1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3" x14ac:dyDescent="0.1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3" x14ac:dyDescent="0.1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3" x14ac:dyDescent="0.1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3" x14ac:dyDescent="0.1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3" x14ac:dyDescent="0.1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3" x14ac:dyDescent="0.1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3" x14ac:dyDescent="0.1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3" x14ac:dyDescent="0.1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3" x14ac:dyDescent="0.1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3" x14ac:dyDescent="0.1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3" x14ac:dyDescent="0.1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3" x14ac:dyDescent="0.1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3" x14ac:dyDescent="0.1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3" x14ac:dyDescent="0.1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3" x14ac:dyDescent="0.1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3" x14ac:dyDescent="0.1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3" x14ac:dyDescent="0.1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3" x14ac:dyDescent="0.1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3" x14ac:dyDescent="0.1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3" x14ac:dyDescent="0.1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3" x14ac:dyDescent="0.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3" x14ac:dyDescent="0.1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3" x14ac:dyDescent="0.1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3" x14ac:dyDescent="0.1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3" x14ac:dyDescent="0.1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3" x14ac:dyDescent="0.1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3" x14ac:dyDescent="0.1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3" x14ac:dyDescent="0.1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3" x14ac:dyDescent="0.1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3" x14ac:dyDescent="0.1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3" x14ac:dyDescent="0.1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3" x14ac:dyDescent="0.1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3" x14ac:dyDescent="0.1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3" x14ac:dyDescent="0.1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3" x14ac:dyDescent="0.1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3" x14ac:dyDescent="0.1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3" x14ac:dyDescent="0.1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3" x14ac:dyDescent="0.1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3" x14ac:dyDescent="0.1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3" x14ac:dyDescent="0.1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3" x14ac:dyDescent="0.1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3" x14ac:dyDescent="0.1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3" x14ac:dyDescent="0.1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3" x14ac:dyDescent="0.1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3" x14ac:dyDescent="0.1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3" x14ac:dyDescent="0.1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3" x14ac:dyDescent="0.1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3" x14ac:dyDescent="0.1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3" x14ac:dyDescent="0.1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3" x14ac:dyDescent="0.1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3" x14ac:dyDescent="0.1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3" x14ac:dyDescent="0.1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3" x14ac:dyDescent="0.1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3" x14ac:dyDescent="0.1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3" x14ac:dyDescent="0.1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3" x14ac:dyDescent="0.1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3" x14ac:dyDescent="0.1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3" x14ac:dyDescent="0.1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3" x14ac:dyDescent="0.1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3" x14ac:dyDescent="0.1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3" x14ac:dyDescent="0.1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3" x14ac:dyDescent="0.1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3" x14ac:dyDescent="0.1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3" x14ac:dyDescent="0.1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3" x14ac:dyDescent="0.1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3" x14ac:dyDescent="0.1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3" x14ac:dyDescent="0.1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3" x14ac:dyDescent="0.1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3" x14ac:dyDescent="0.1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3" x14ac:dyDescent="0.1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3" x14ac:dyDescent="0.1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3" x14ac:dyDescent="0.1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3" x14ac:dyDescent="0.1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3" x14ac:dyDescent="0.1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3" x14ac:dyDescent="0.1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3" x14ac:dyDescent="0.1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3" x14ac:dyDescent="0.1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3" x14ac:dyDescent="0.1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3" x14ac:dyDescent="0.1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3" x14ac:dyDescent="0.1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3" x14ac:dyDescent="0.1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3" x14ac:dyDescent="0.1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3" x14ac:dyDescent="0.1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3" x14ac:dyDescent="0.1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3" x14ac:dyDescent="0.1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3" x14ac:dyDescent="0.1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3" x14ac:dyDescent="0.1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3" x14ac:dyDescent="0.1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3" x14ac:dyDescent="0.1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3" x14ac:dyDescent="0.1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3" x14ac:dyDescent="0.1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3" x14ac:dyDescent="0.1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3" x14ac:dyDescent="0.1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3" x14ac:dyDescent="0.1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3" x14ac:dyDescent="0.1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3" x14ac:dyDescent="0.1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3" x14ac:dyDescent="0.1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3" x14ac:dyDescent="0.1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3" x14ac:dyDescent="0.1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3" x14ac:dyDescent="0.1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3" x14ac:dyDescent="0.1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3" x14ac:dyDescent="0.1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3" x14ac:dyDescent="0.1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3" x14ac:dyDescent="0.1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3" x14ac:dyDescent="0.1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3" x14ac:dyDescent="0.1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3" x14ac:dyDescent="0.1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3" x14ac:dyDescent="0.1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3" x14ac:dyDescent="0.1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3" x14ac:dyDescent="0.1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3" x14ac:dyDescent="0.1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3" x14ac:dyDescent="0.1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3" x14ac:dyDescent="0.1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3" x14ac:dyDescent="0.1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3" x14ac:dyDescent="0.1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3" x14ac:dyDescent="0.1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3" x14ac:dyDescent="0.1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3" x14ac:dyDescent="0.1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3" x14ac:dyDescent="0.1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3" x14ac:dyDescent="0.1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3" x14ac:dyDescent="0.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3" x14ac:dyDescent="0.1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3" x14ac:dyDescent="0.1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3" x14ac:dyDescent="0.1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3" x14ac:dyDescent="0.1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3" x14ac:dyDescent="0.1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3" x14ac:dyDescent="0.1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3" x14ac:dyDescent="0.1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3" x14ac:dyDescent="0.1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3" x14ac:dyDescent="0.1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3" x14ac:dyDescent="0.1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3" x14ac:dyDescent="0.1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3" x14ac:dyDescent="0.1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3" x14ac:dyDescent="0.1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3" x14ac:dyDescent="0.1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3" x14ac:dyDescent="0.1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3" x14ac:dyDescent="0.1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3" x14ac:dyDescent="0.1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3" x14ac:dyDescent="0.1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3" x14ac:dyDescent="0.1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3" x14ac:dyDescent="0.1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3" x14ac:dyDescent="0.1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3" x14ac:dyDescent="0.1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3" x14ac:dyDescent="0.1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3" x14ac:dyDescent="0.1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3" x14ac:dyDescent="0.1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3" x14ac:dyDescent="0.1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3" x14ac:dyDescent="0.1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3" x14ac:dyDescent="0.1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3" x14ac:dyDescent="0.1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3" x14ac:dyDescent="0.1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3" x14ac:dyDescent="0.1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3" x14ac:dyDescent="0.1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3" x14ac:dyDescent="0.1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3" x14ac:dyDescent="0.1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3" x14ac:dyDescent="0.1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3" x14ac:dyDescent="0.1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3" x14ac:dyDescent="0.1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3" x14ac:dyDescent="0.1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3" x14ac:dyDescent="0.1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3" x14ac:dyDescent="0.1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3" x14ac:dyDescent="0.1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3" x14ac:dyDescent="0.1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3" x14ac:dyDescent="0.1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3" x14ac:dyDescent="0.1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3" x14ac:dyDescent="0.1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3" x14ac:dyDescent="0.1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3" x14ac:dyDescent="0.1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3" x14ac:dyDescent="0.1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3" x14ac:dyDescent="0.1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3" x14ac:dyDescent="0.1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3" x14ac:dyDescent="0.1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3" x14ac:dyDescent="0.1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3" x14ac:dyDescent="0.1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3" x14ac:dyDescent="0.1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3" x14ac:dyDescent="0.1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3" x14ac:dyDescent="0.1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3" x14ac:dyDescent="0.1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3" x14ac:dyDescent="0.1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3" x14ac:dyDescent="0.1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3" x14ac:dyDescent="0.1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3" x14ac:dyDescent="0.1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3" x14ac:dyDescent="0.1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3" x14ac:dyDescent="0.1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3" x14ac:dyDescent="0.1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3" x14ac:dyDescent="0.1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3" x14ac:dyDescent="0.1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3" x14ac:dyDescent="0.1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3" x14ac:dyDescent="0.1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3" x14ac:dyDescent="0.1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3" x14ac:dyDescent="0.1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3" x14ac:dyDescent="0.1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3" x14ac:dyDescent="0.1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3" x14ac:dyDescent="0.1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3" x14ac:dyDescent="0.1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3" x14ac:dyDescent="0.1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3" x14ac:dyDescent="0.1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3" x14ac:dyDescent="0.1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3" x14ac:dyDescent="0.1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3" x14ac:dyDescent="0.1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3" x14ac:dyDescent="0.1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3" x14ac:dyDescent="0.1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3" x14ac:dyDescent="0.1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3" x14ac:dyDescent="0.1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3" x14ac:dyDescent="0.1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3" x14ac:dyDescent="0.1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3" x14ac:dyDescent="0.1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3" x14ac:dyDescent="0.1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3" x14ac:dyDescent="0.1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3" x14ac:dyDescent="0.1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3" x14ac:dyDescent="0.1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3" x14ac:dyDescent="0.1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3" x14ac:dyDescent="0.1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3" x14ac:dyDescent="0.1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3" x14ac:dyDescent="0.1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3" x14ac:dyDescent="0.1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3" x14ac:dyDescent="0.1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3" x14ac:dyDescent="0.1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3" x14ac:dyDescent="0.1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3" x14ac:dyDescent="0.1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3" x14ac:dyDescent="0.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3" x14ac:dyDescent="0.1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3" x14ac:dyDescent="0.1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3" x14ac:dyDescent="0.1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3" x14ac:dyDescent="0.1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3" x14ac:dyDescent="0.1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3" x14ac:dyDescent="0.1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3" x14ac:dyDescent="0.1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3" x14ac:dyDescent="0.1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3" x14ac:dyDescent="0.1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3" x14ac:dyDescent="0.1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3" x14ac:dyDescent="0.1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3" x14ac:dyDescent="0.1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3" x14ac:dyDescent="0.1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3" x14ac:dyDescent="0.1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3" x14ac:dyDescent="0.1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3" x14ac:dyDescent="0.1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3" x14ac:dyDescent="0.1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3" x14ac:dyDescent="0.1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3" x14ac:dyDescent="0.1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3" x14ac:dyDescent="0.1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3" x14ac:dyDescent="0.1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3" x14ac:dyDescent="0.1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3" x14ac:dyDescent="0.1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3" x14ac:dyDescent="0.1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3" x14ac:dyDescent="0.1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3" x14ac:dyDescent="0.1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3" x14ac:dyDescent="0.1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3" x14ac:dyDescent="0.1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3" x14ac:dyDescent="0.1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3" x14ac:dyDescent="0.1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3" x14ac:dyDescent="0.1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3" x14ac:dyDescent="0.1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3" x14ac:dyDescent="0.1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3" x14ac:dyDescent="0.1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3" x14ac:dyDescent="0.1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3" x14ac:dyDescent="0.1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3" x14ac:dyDescent="0.1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3" x14ac:dyDescent="0.1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3" x14ac:dyDescent="0.1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3" x14ac:dyDescent="0.1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3" x14ac:dyDescent="0.1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3" x14ac:dyDescent="0.1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3" x14ac:dyDescent="0.1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3" x14ac:dyDescent="0.1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3" x14ac:dyDescent="0.1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3" x14ac:dyDescent="0.1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3" x14ac:dyDescent="0.1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3" x14ac:dyDescent="0.1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3" x14ac:dyDescent="0.1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3" x14ac:dyDescent="0.1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3" x14ac:dyDescent="0.1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3" x14ac:dyDescent="0.1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3" x14ac:dyDescent="0.1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3" x14ac:dyDescent="0.1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3" x14ac:dyDescent="0.1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3" x14ac:dyDescent="0.1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3" x14ac:dyDescent="0.1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3" x14ac:dyDescent="0.1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3" x14ac:dyDescent="0.1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3" x14ac:dyDescent="0.1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3" x14ac:dyDescent="0.1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3" x14ac:dyDescent="0.1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3" x14ac:dyDescent="0.1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3" x14ac:dyDescent="0.1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3" x14ac:dyDescent="0.1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3" x14ac:dyDescent="0.1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3" x14ac:dyDescent="0.1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3" x14ac:dyDescent="0.1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3" x14ac:dyDescent="0.1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3" x14ac:dyDescent="0.1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3" x14ac:dyDescent="0.1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3" x14ac:dyDescent="0.1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3" x14ac:dyDescent="0.1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3" x14ac:dyDescent="0.1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3" x14ac:dyDescent="0.1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3" x14ac:dyDescent="0.1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3" x14ac:dyDescent="0.1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3" x14ac:dyDescent="0.1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3" x14ac:dyDescent="0.1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3" x14ac:dyDescent="0.1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3" x14ac:dyDescent="0.1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3" x14ac:dyDescent="0.1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3" x14ac:dyDescent="0.1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3" x14ac:dyDescent="0.1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3" x14ac:dyDescent="0.1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ht="13" x14ac:dyDescent="0.15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 ht="13" x14ac:dyDescent="0.15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spans="1:26" ht="13" x14ac:dyDescent="0.15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spans="1:26" ht="13" x14ac:dyDescent="0.15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 spans="1:26" ht="13" x14ac:dyDescent="0.1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 spans="1:26" ht="13" x14ac:dyDescent="0.15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 spans="1:26" ht="13" x14ac:dyDescent="0.15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 spans="1:26" ht="13" x14ac:dyDescent="0.15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 spans="1:26" ht="13" x14ac:dyDescent="0.15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 spans="1:26" ht="13" x14ac:dyDescent="0.15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 spans="1:26" ht="13" x14ac:dyDescent="0.15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 spans="1:26" ht="13" x14ac:dyDescent="0.15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 spans="1:26" ht="13" x14ac:dyDescent="0.15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 spans="1:26" ht="13" x14ac:dyDescent="0.15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 spans="1:26" ht="13" x14ac:dyDescent="0.15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 spans="1:26" ht="13" x14ac:dyDescent="0.15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 spans="1:26" ht="13" x14ac:dyDescent="0.15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 spans="1:26" ht="13" x14ac:dyDescent="0.15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 spans="1:26" ht="13" x14ac:dyDescent="0.15">
      <c r="A1019" s="16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 spans="1:26" ht="13" x14ac:dyDescent="0.15">
      <c r="A1020" s="16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 spans="1:26" ht="13" x14ac:dyDescent="0.15">
      <c r="A1021" s="16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 spans="1:26" ht="13" x14ac:dyDescent="0.15">
      <c r="A1022" s="16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 spans="1:26" ht="13" x14ac:dyDescent="0.15">
      <c r="A1023" s="16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 spans="1:26" ht="13" x14ac:dyDescent="0.15">
      <c r="A1024" s="16"/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 spans="1:26" ht="13" x14ac:dyDescent="0.15">
      <c r="A1025" s="16"/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 spans="1:26" ht="13" x14ac:dyDescent="0.15">
      <c r="A1026" s="16"/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 spans="1:26" ht="13" x14ac:dyDescent="0.15">
      <c r="A1027" s="16"/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 spans="1:26" ht="13" x14ac:dyDescent="0.15">
      <c r="A1028" s="16"/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 spans="1:26" ht="13" x14ac:dyDescent="0.15">
      <c r="A1029" s="16"/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 spans="1:26" ht="13" x14ac:dyDescent="0.15">
      <c r="A1030" s="16"/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 spans="1:26" ht="13" x14ac:dyDescent="0.15">
      <c r="A1031" s="16"/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 spans="1:26" ht="13" x14ac:dyDescent="0.15">
      <c r="A1032" s="16"/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 spans="1:26" ht="13" x14ac:dyDescent="0.15">
      <c r="A1033" s="16"/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 spans="1:26" ht="13" x14ac:dyDescent="0.15">
      <c r="A1034" s="16"/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 spans="1:26" ht="13" x14ac:dyDescent="0.15">
      <c r="A1035" s="16"/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13"/>
  <sheetViews>
    <sheetView workbookViewId="0"/>
  </sheetViews>
  <sheetFormatPr baseColWidth="10" defaultColWidth="12.6640625" defaultRowHeight="15.75" customHeight="1" x14ac:dyDescent="0.15"/>
  <cols>
    <col min="1" max="1" width="76.33203125" customWidth="1"/>
    <col min="2" max="2" width="44.1640625" customWidth="1"/>
  </cols>
  <sheetData>
    <row r="1" spans="1:2" ht="15.75" customHeight="1" x14ac:dyDescent="0.15">
      <c r="A1" s="12" t="str">
        <f ca="1">IFERROR(__xludf.DUMMYFUNCTION("FILTER(if('診斷Data'!B1:B815=""內容"",if(LEFT('診斷Data'!C1:C815,1)=""s"",""&lt;div id=""""topics""""&gt;"","""")&amp;""&lt;label for=""""nameInput""""&gt;""&amp;'診斷Data'!A1:A815&amp;""&lt;/label&gt;""&amp;if(RIGHT('診斷Data'!C1:C815,1)=""e"",""&lt;/div&gt;"",""""),if(LEFT('診斷Data'!C1:C815,1)=""s"",""&lt;"&amp;"div id=""""topics""""&gt;"","""")&amp;""&lt;button class=""""topic"""" onclick=""""showResult('""&amp;ROW('診斷Data'!A1:A815)&amp;""')""""&gt;""&amp;'診斷Data'!A1:A815&amp;""&lt;/button&gt;""&amp;if(RIGHT('診斷Data'!C1:C815,1)=""e"",""&lt;/div&gt;"","""")),'診斷Data'!A1:A815&lt;&gt;"""")"),"&lt;div id=""topics""&gt;&lt;label for=""nameInput""&gt;第一部：必要 開場白&lt;/label&gt;&lt;/div&gt;")</f>
        <v>&lt;div id="topics"&gt;&lt;label for="nameInput"&gt;第一部：必要 開場白&lt;/label&gt;&lt;/div&gt;</v>
      </c>
      <c r="B1" s="13" t="str">
        <f ca="1">IFERROR(__xludf.DUMMYFUNCTION("""if(topic &gt;= ""&amp;FILTER(ROW('診斷Data'!A1:A815),'診斷Data'!A1:A815=""第一部：必要 開場白"")&amp;"" &amp;&amp; topic &lt; ""&amp;FILTER(ROW('診斷Data'!A1:A815),'診斷Data'!A1:A815=""第二部：必要 標題"")&amp;""){var id ='result'}else if(topic &gt;= ""&amp;FILTER(ROW('診斷Data'!A1:A815),'診斷Data'!A1:A815=""第二部：必要 標題"&amp;""")&amp;"" &amp;&amp; topic &lt; ""&amp;FILTER(ROW('診斷Data'!A1:A815),'診斷Data'!A1:A815=""第三部：必要標題"")&amp;""){var id ='result2'}else if(topic &gt;= ""&amp;FILTER(ROW('診斷Data'!A1:A815),'診斷Data'!A1:A815=""第三部：必要標題"")&amp;"" &amp;&amp; topic &lt; ""&amp;FILTER(ROW('診斷Data'!A1:A815),'診斷Data'!A1:A815=""第四部：必要標"&amp;"題"")&amp;""){var id ='result3'}else if(topic &gt;= ""&amp;FILTER(ROW('診斷Data'!A1:A815),'診斷Data'!A1:A815=""第四部：必要標題"")&amp;"" &amp;&amp; topic &lt; ""&amp;FILTER(ROW('診斷Data'!A1:A815),'診斷Data'!A1:A815=""第五部：必要標題"")&amp;""){var id ='result4'}else if(topic &gt;= ""&amp;FILTER(ROW('診斷Data'!A1:A815),"&amp;"'診斷Data'!A1:A815=""第五部：必要標題"")&amp;"" &amp;&amp; topic &lt; ""&amp;FILTER(ROW('診斷Data'!A1:A815),'診斷Data'!A1:A815=""第六部：必要標題"")&amp;""){var id ='result5'}else if(topic &gt;= ""&amp;FILTER(ROW('診斷Data'!A1:A815),'診斷Data'!A1:A815=""第六部：必要標題"")&amp;""){var id ='result6'}"""),"if(topic &gt;= 1 &amp;&amp; topic &lt; 4){var id ='result'}else if(topic &gt;= 4 &amp;&amp; topic &lt; 54){var id ='result2'}else if(topic &gt;= 54 &amp;&amp; topic &lt; 71){var id ='result3'}else if(topic &gt;= 71 &amp;&amp; topic &lt; 82){var id ='result4'}else if(topic &gt;= 82 &amp;&amp; topic &lt; 93){var id ='result5'"&amp;"}else if(topic &gt;= 93){var id ='result6'}")</f>
        <v>if(topic &gt;= 1 &amp;&amp; topic &lt; 4){var id ='result'}else if(topic &gt;= 4 &amp;&amp; topic &lt; 54){var id ='result2'}else if(topic &gt;= 54 &amp;&amp; topic &lt; 71){var id ='result3'}else if(topic &gt;= 71 &amp;&amp; topic &lt; 82){var id ='result4'}else if(topic &gt;= 82 &amp;&amp; topic &lt; 93){var id ='result5'}else if(topic &gt;= 93){var id ='result6'}</v>
      </c>
    </row>
    <row r="2" spans="1:2" ht="15.75" customHeight="1" x14ac:dyDescent="0.15">
      <c r="A2" s="12" t="str">
        <f ca="1">IFERROR(__xludf.DUMMYFUNCTION("""COMPUTED_VALUE"""),"&lt;div id=""topics""&gt;&lt;button class=""topic"" onclick=""showResult('2')""&gt;奇門遁甲就是一道保護罩&lt;/button&gt;&lt;/div&gt;")</f>
        <v>&lt;div id="topics"&gt;&lt;button class="topic" onclick="showResult('2')"&gt;奇門遁甲就是一道保護罩&lt;/button&gt;&lt;/div&gt;</v>
      </c>
      <c r="B2" s="13"/>
    </row>
    <row r="3" spans="1:2" ht="15.75" customHeight="1" x14ac:dyDescent="0.15">
      <c r="A3" s="12" t="str">
        <f ca="1">IFERROR(__xludf.DUMMYFUNCTION("""COMPUTED_VALUE"""),"&lt;div id=""topics""&gt;&lt;button class=""topic"" onclick=""showResult('3')""&gt;📍循行漸進的改善運勢方式&lt;/button&gt;&lt;/div&gt;")</f>
        <v>&lt;div id="topics"&gt;&lt;button class="topic" onclick="showResult('3')"&gt;📍循行漸進的改善運勢方式&lt;/button&gt;&lt;/div&gt;</v>
      </c>
      <c r="B3" s="13"/>
    </row>
    <row r="4" spans="1:2" ht="15.75" customHeight="1" x14ac:dyDescent="0.15">
      <c r="A4" s="12" t="str">
        <f ca="1">IFERROR(__xludf.DUMMYFUNCTION("""COMPUTED_VALUE"""),"&lt;div id=""topics""&gt;&lt;label for=""nameInput""&gt;第二部：必要 標題&lt;/label&gt;&lt;/div&gt;")</f>
        <v>&lt;div id="topics"&gt;&lt;label for="nameInput"&gt;第二部：必要 標題&lt;/label&gt;&lt;/div&gt;</v>
      </c>
      <c r="B4" s="13"/>
    </row>
    <row r="5" spans="1:2" ht="15.75" customHeight="1" x14ac:dyDescent="0.15">
      <c r="A5" s="12" t="str">
        <f ca="1">IFERROR(__xludf.DUMMYFUNCTION("""COMPUTED_VALUE"""),"&lt;div id=""topics""&gt;&lt;button class=""topic"" onclick=""showResult('5')""&gt;✅必須破解（擋衰）&lt;/button&gt;&lt;/div&gt;")</f>
        <v>&lt;div id="topics"&gt;&lt;button class="topic" onclick="showResult('5')"&gt;✅必須破解（擋衰）&lt;/button&gt;&lt;/div&gt;</v>
      </c>
      <c r="B5" s="13"/>
    </row>
    <row r="6" spans="1:2" ht="15.75" customHeight="1" x14ac:dyDescent="0.15">
      <c r="A6" s="12" t="str">
        <f ca="1">IFERROR(__xludf.DUMMYFUNCTION("""COMPUTED_VALUE"""),"&lt;div id=""topics""&gt;&lt;label for=""nameInput""&gt;🔸命盤凶相：阻礙你的本命能量（必須破解＝擋衰）&lt;/label&gt;&lt;/div&gt;")</f>
        <v>&lt;div id="topics"&gt;&lt;label for="nameInput"&gt;🔸命盤凶相：阻礙你的本命能量（必須破解＝擋衰）&lt;/label&gt;&lt;/div&gt;</v>
      </c>
      <c r="B6" s="13"/>
    </row>
    <row r="7" spans="1:2" ht="15.75" customHeight="1" x14ac:dyDescent="0.15">
      <c r="A7" s="12" t="str">
        <f ca="1">IFERROR(__xludf.DUMMYFUNCTION("""COMPUTED_VALUE"""),"&lt;div id=""topics""&gt;&lt;button class=""topic"" onclick=""showResult('7')""&gt;破解「傷官」&lt;/button&gt;")</f>
        <v>&lt;div id="topics"&gt;&lt;button class="topic" onclick="showResult('7')"&gt;破解「傷官」&lt;/button&gt;</v>
      </c>
      <c r="B7" s="13"/>
    </row>
    <row r="8" spans="1:2" ht="15.75" customHeight="1" x14ac:dyDescent="0.15">
      <c r="A8" s="12" t="str">
        <f ca="1">IFERROR(__xludf.DUMMYFUNCTION("""COMPUTED_VALUE"""),"&lt;button class=""topic"" onclick=""showResult('8')""&gt;命盤有2個傷官&lt;/button&gt;")</f>
        <v>&lt;button class="topic" onclick="showResult('8')"&gt;命盤有2個傷官&lt;/button&gt;</v>
      </c>
      <c r="B8" s="13"/>
    </row>
    <row r="9" spans="1:2" ht="15.75" customHeight="1" x14ac:dyDescent="0.15">
      <c r="A9" s="12" t="str">
        <f ca="1">IFERROR(__xludf.DUMMYFUNCTION("""COMPUTED_VALUE"""),"&lt;button class=""topic"" onclick=""showResult('9')""&gt;「傷官見官」&lt;/button&gt;&lt;/div&gt;")</f>
        <v>&lt;button class="topic" onclick="showResult('9')"&gt;「傷官見官」&lt;/button&gt;&lt;/div&gt;</v>
      </c>
      <c r="B9" s="13"/>
    </row>
    <row r="10" spans="1:2" ht="15.75" customHeight="1" x14ac:dyDescent="0.15">
      <c r="A10" s="12" t="str">
        <f ca="1">IFERROR(__xludf.DUMMYFUNCTION("""COMPUTED_VALUE"""),"&lt;div id=""topics""&gt;&lt;button class=""topic"" onclick=""showResult('10')""&gt;破解流年「傷官」&lt;/button&gt;")</f>
        <v>&lt;div id="topics"&gt;&lt;button class="topic" onclick="showResult('10')"&gt;破解流年「傷官」&lt;/button&gt;</v>
      </c>
      <c r="B10" s="13"/>
    </row>
    <row r="11" spans="1:2" ht="15.75" customHeight="1" x14ac:dyDescent="0.15">
      <c r="A11" s="12" t="str">
        <f ca="1">IFERROR(__xludf.DUMMYFUNCTION("""COMPUTED_VALUE"""),"&lt;button class=""topic"" onclick=""showResult('11')""&gt;破解對象流年「傷官」&lt;/button&gt;&lt;/div&gt;")</f>
        <v>&lt;button class="topic" onclick="showResult('11')"&gt;破解對象流年「傷官」&lt;/button&gt;&lt;/div&gt;</v>
      </c>
    </row>
    <row r="12" spans="1:2" ht="15.75" customHeight="1" x14ac:dyDescent="0.15">
      <c r="A12" s="12" t="str">
        <f ca="1">IFERROR(__xludf.DUMMYFUNCTION("""COMPUTED_VALUE"""),"&lt;div id=""topics""&gt;&lt;button class=""topic"" onclick=""showResult('12')""&gt;破解流年「傷官見官」&lt;/button&gt;")</f>
        <v>&lt;div id="topics"&gt;&lt;button class="topic" onclick="showResult('12')"&gt;破解流年「傷官見官」&lt;/button&gt;</v>
      </c>
    </row>
    <row r="13" spans="1:2" ht="15.75" customHeight="1" x14ac:dyDescent="0.15">
      <c r="A13" s="12" t="str">
        <f ca="1">IFERROR(__xludf.DUMMYFUNCTION("""COMPUTED_VALUE"""),"&lt;button class=""topic"" onclick=""showResult('13')""&gt;破解第二個「傷官」&lt;/button&gt;&lt;/div&gt;")</f>
        <v>&lt;button class="topic" onclick="showResult('13')"&gt;破解第二個「傷官」&lt;/button&gt;&lt;/div&gt;</v>
      </c>
    </row>
    <row r="14" spans="1:2" ht="15.75" customHeight="1" x14ac:dyDescent="0.15">
      <c r="A14" s="12" t="str">
        <f ca="1">IFERROR(__xludf.DUMMYFUNCTION("""COMPUTED_VALUE"""),"&lt;div id=""topics""&gt;&lt;button class=""topic"" onclick=""showResult('14')""&gt;破解「偏印」&lt;/button&gt;")</f>
        <v>&lt;div id="topics"&gt;&lt;button class="topic" onclick="showResult('14')"&gt;破解「偏印」&lt;/button&gt;</v>
      </c>
    </row>
    <row r="15" spans="1:2" ht="15.75" customHeight="1" x14ac:dyDescent="0.15">
      <c r="A15" s="12" t="str">
        <f ca="1">IFERROR(__xludf.DUMMYFUNCTION("""COMPUTED_VALUE"""),"&lt;button class=""topic"" onclick=""showResult('15')""&gt;命盤有2個偏印&lt;/button&gt;")</f>
        <v>&lt;button class="topic" onclick="showResult('15')"&gt;命盤有2個偏印&lt;/button&gt;</v>
      </c>
    </row>
    <row r="16" spans="1:2" ht="15.75" customHeight="1" x14ac:dyDescent="0.15">
      <c r="A16" s="12" t="str">
        <f ca="1">IFERROR(__xludf.DUMMYFUNCTION("""COMPUTED_VALUE"""),"&lt;button class=""topic"" onclick=""showResult('16')""&gt;「梟印奪食」&lt;/button&gt;&lt;/div&gt;")</f>
        <v>&lt;button class="topic" onclick="showResult('16')"&gt;「梟印奪食」&lt;/button&gt;&lt;/div&gt;</v>
      </c>
    </row>
    <row r="17" spans="1:1" ht="15.75" customHeight="1" x14ac:dyDescent="0.15">
      <c r="A17" s="12" t="str">
        <f ca="1">IFERROR(__xludf.DUMMYFUNCTION("""COMPUTED_VALUE"""),"&lt;div id=""topics""&gt;&lt;button class=""topic"" onclick=""showResult('17')""&gt;破解流年「偏印」&lt;/button&gt;")</f>
        <v>&lt;div id="topics"&gt;&lt;button class="topic" onclick="showResult('17')"&gt;破解流年「偏印」&lt;/button&gt;</v>
      </c>
    </row>
    <row r="18" spans="1:1" ht="15.75" customHeight="1" x14ac:dyDescent="0.15">
      <c r="A18" s="12" t="str">
        <f ca="1">IFERROR(__xludf.DUMMYFUNCTION("""COMPUTED_VALUE"""),"&lt;button class=""topic"" onclick=""showResult('18')""&gt;破解流年「梟印奪食」&lt;/button&gt;&lt;/div&gt;")</f>
        <v>&lt;button class="topic" onclick="showResult('18')"&gt;破解流年「梟印奪食」&lt;/button&gt;&lt;/div&gt;</v>
      </c>
    </row>
    <row r="19" spans="1:1" ht="15.75" customHeight="1" x14ac:dyDescent="0.15">
      <c r="A19" s="12" t="str">
        <f ca="1">IFERROR(__xludf.DUMMYFUNCTION("""COMPUTED_VALUE"""),"&lt;div id=""topics""&gt;&lt;button class=""topic"" onclick=""showResult('19')""&gt;破解第二個「偏印」&lt;/button&gt;")</f>
        <v>&lt;div id="topics"&gt;&lt;button class="topic" onclick="showResult('19')"&gt;破解第二個「偏印」&lt;/button&gt;</v>
      </c>
    </row>
    <row r="20" spans="1:1" ht="15.75" customHeight="1" x14ac:dyDescent="0.15">
      <c r="A20" s="12" t="str">
        <f ca="1">IFERROR(__xludf.DUMMYFUNCTION("""COMPUTED_VALUE"""),"&lt;button class=""topic"" onclick=""showResult('20')""&gt;破解「劫財」&lt;/button&gt;&lt;/div&gt;")</f>
        <v>&lt;button class="topic" onclick="showResult('20')"&gt;破解「劫財」&lt;/button&gt;&lt;/div&gt;</v>
      </c>
    </row>
    <row r="21" spans="1:1" ht="15.75" customHeight="1" x14ac:dyDescent="0.15">
      <c r="A21" s="12" t="str">
        <f ca="1">IFERROR(__xludf.DUMMYFUNCTION("""COMPUTED_VALUE"""),"&lt;div id=""topics""&gt;&lt;button class=""topic"" onclick=""showResult('21')""&gt;命盤有2個劫財&lt;/button&gt;")</f>
        <v>&lt;div id="topics"&gt;&lt;button class="topic" onclick="showResult('21')"&gt;命盤有2個劫財&lt;/button&gt;</v>
      </c>
    </row>
    <row r="22" spans="1:1" ht="15.75" customHeight="1" x14ac:dyDescent="0.15">
      <c r="A22" s="12" t="str">
        <f ca="1">IFERROR(__xludf.DUMMYFUNCTION("""COMPUTED_VALUE"""),"&lt;button class=""topic"" onclick=""showResult('22')""&gt;「劫財奪正財」&lt;/button&gt;&lt;/div&gt;")</f>
        <v>&lt;button class="topic" onclick="showResult('22')"&gt;「劫財奪正財」&lt;/button&gt;&lt;/div&gt;</v>
      </c>
    </row>
    <row r="23" spans="1:1" ht="15.75" customHeight="1" x14ac:dyDescent="0.15">
      <c r="A23" s="12" t="str">
        <f ca="1">IFERROR(__xludf.DUMMYFUNCTION("""COMPUTED_VALUE"""),"&lt;div id=""topics""&gt;&lt;button class=""topic"" onclick=""showResult('23')""&gt;破解流年「劫財」&lt;/button&gt;")</f>
        <v>&lt;div id="topics"&gt;&lt;button class="topic" onclick="showResult('23')"&gt;破解流年「劫財」&lt;/button&gt;</v>
      </c>
    </row>
    <row r="24" spans="1:1" ht="15.75" customHeight="1" x14ac:dyDescent="0.15">
      <c r="A24" s="12" t="str">
        <f ca="1">IFERROR(__xludf.DUMMYFUNCTION("""COMPUTED_VALUE"""),"&lt;button class=""topic"" onclick=""showResult('24')""&gt;破解流年「劫財奪正財」&lt;/button&gt;&lt;/div&gt;")</f>
        <v>&lt;button class="topic" onclick="showResult('24')"&gt;破解流年「劫財奪正財」&lt;/button&gt;&lt;/div&gt;</v>
      </c>
    </row>
    <row r="25" spans="1:1" ht="15.75" customHeight="1" x14ac:dyDescent="0.15">
      <c r="A25" s="12" t="str">
        <f ca="1">IFERROR(__xludf.DUMMYFUNCTION("""COMPUTED_VALUE"""),"&lt;div id=""topics""&gt;&lt;button class=""topic"" onclick=""showResult('25')""&gt;破解第二個「劫財」&lt;/button&gt;")</f>
        <v>&lt;div id="topics"&gt;&lt;button class="topic" onclick="showResult('25')"&gt;破解第二個「劫財」&lt;/button&gt;</v>
      </c>
    </row>
    <row r="26" spans="1:1" ht="15.75" customHeight="1" x14ac:dyDescent="0.15">
      <c r="A26" s="12" t="str">
        <f ca="1">IFERROR(__xludf.DUMMYFUNCTION("""COMPUTED_VALUE"""),"&lt;button class=""topic"" onclick=""showResult('26')""&gt;破解「比肩」&lt;/button&gt;&lt;/div&gt;")</f>
        <v>&lt;button class="topic" onclick="showResult('26')"&gt;破解「比肩」&lt;/button&gt;&lt;/div&gt;</v>
      </c>
    </row>
    <row r="27" spans="1:1" ht="15.75" customHeight="1" x14ac:dyDescent="0.15">
      <c r="A27" s="12" t="str">
        <f ca="1">IFERROR(__xludf.DUMMYFUNCTION("""COMPUTED_VALUE"""),"&lt;div id=""topics""&gt;&lt;button class=""topic"" onclick=""showResult('27')""&gt;命盤有2個比肩&lt;/button&gt;")</f>
        <v>&lt;div id="topics"&gt;&lt;button class="topic" onclick="showResult('27')"&gt;命盤有2個比肩&lt;/button&gt;</v>
      </c>
    </row>
    <row r="28" spans="1:1" ht="15.75" customHeight="1" x14ac:dyDescent="0.15">
      <c r="A28" s="12" t="str">
        <f ca="1">IFERROR(__xludf.DUMMYFUNCTION("""COMPUTED_VALUE"""),"&lt;button class=""topic"" onclick=""showResult('28')""&gt;「比肩奪偏財」&lt;/button&gt;&lt;/div&gt;")</f>
        <v>&lt;button class="topic" onclick="showResult('28')"&gt;「比肩奪偏財」&lt;/button&gt;&lt;/div&gt;</v>
      </c>
    </row>
    <row r="29" spans="1:1" ht="15.75" customHeight="1" x14ac:dyDescent="0.15">
      <c r="A29" s="12" t="str">
        <f ca="1">IFERROR(__xludf.DUMMYFUNCTION("""COMPUTED_VALUE"""),"&lt;div id=""topics""&gt;&lt;button class=""topic"" onclick=""showResult('29')""&gt;破解流年「比肩」&lt;/button&gt;")</f>
        <v>&lt;div id="topics"&gt;&lt;button class="topic" onclick="showResult('29')"&gt;破解流年「比肩」&lt;/button&gt;</v>
      </c>
    </row>
    <row r="30" spans="1:1" ht="15.75" customHeight="1" x14ac:dyDescent="0.15">
      <c r="A30" s="12" t="str">
        <f ca="1">IFERROR(__xludf.DUMMYFUNCTION("""COMPUTED_VALUE"""),"&lt;button class=""topic"" onclick=""showResult('30')""&gt;破解流年「比肩奪偏財」&lt;/button&gt;&lt;/div&gt;")</f>
        <v>&lt;button class="topic" onclick="showResult('30')"&gt;破解流年「比肩奪偏財」&lt;/button&gt;&lt;/div&gt;</v>
      </c>
    </row>
    <row r="31" spans="1:1" ht="15.75" customHeight="1" x14ac:dyDescent="0.15">
      <c r="A31" s="12" t="str">
        <f ca="1">IFERROR(__xludf.DUMMYFUNCTION("""COMPUTED_VALUE"""),"&lt;div id=""topics""&gt;&lt;button class=""topic"" onclick=""showResult('31')""&gt;破解第二個「比肩」&lt;/button&gt;")</f>
        <v>&lt;div id="topics"&gt;&lt;button class="topic" onclick="showResult('31')"&gt;破解第二個「比肩」&lt;/button&gt;</v>
      </c>
    </row>
    <row r="32" spans="1:1" ht="15.75" customHeight="1" x14ac:dyDescent="0.15">
      <c r="A32" s="12" t="str">
        <f ca="1">IFERROR(__xludf.DUMMYFUNCTION("""COMPUTED_VALUE"""),"&lt;button class=""topic"" onclick=""showResult('32')""&gt;對象破解「比肩」&lt;/button&gt;&lt;/div&gt;")</f>
        <v>&lt;button class="topic" onclick="showResult('32')"&gt;對象破解「比肩」&lt;/button&gt;&lt;/div&gt;</v>
      </c>
    </row>
    <row r="33" spans="1:1" ht="15.75" customHeight="1" x14ac:dyDescent="0.15">
      <c r="A33" s="12" t="str">
        <f ca="1">IFERROR(__xludf.DUMMYFUNCTION("""COMPUTED_VALUE"""),"&lt;div id=""topics""&gt;&lt;button class=""topic"" onclick=""showResult('33')""&gt;破解「七殺」&lt;/button&gt;")</f>
        <v>&lt;div id="topics"&gt;&lt;button class="topic" onclick="showResult('33')"&gt;破解「七殺」&lt;/button&gt;</v>
      </c>
    </row>
    <row r="34" spans="1:1" ht="15.75" customHeight="1" x14ac:dyDescent="0.15">
      <c r="A34" s="12" t="str">
        <f ca="1">IFERROR(__xludf.DUMMYFUNCTION("""COMPUTED_VALUE"""),"&lt;button class=""topic"" onclick=""showResult('34')""&gt;破解流年「七殺」&lt;/button&gt;&lt;/div&gt;")</f>
        <v>&lt;button class="topic" onclick="showResult('34')"&gt;破解流年「七殺」&lt;/button&gt;&lt;/div&gt;</v>
      </c>
    </row>
    <row r="35" spans="1:1" ht="15.75" customHeight="1" x14ac:dyDescent="0.15">
      <c r="A35" s="12" t="str">
        <f ca="1">IFERROR(__xludf.DUMMYFUNCTION("""COMPUTED_VALUE"""),"&lt;div id=""topics""&gt;&lt;button class=""topic"" onclick=""showResult('35')""&gt;破解第二個「七殺」&lt;/button&gt;")</f>
        <v>&lt;div id="topics"&gt;&lt;button class="topic" onclick="showResult('35')"&gt;破解第二個「七殺」&lt;/button&gt;</v>
      </c>
    </row>
    <row r="36" spans="1:1" ht="15.75" customHeight="1" x14ac:dyDescent="0.15">
      <c r="A36" s="12" t="str">
        <f ca="1">IFERROR(__xludf.DUMMYFUNCTION("""COMPUTED_VALUE"""),"&lt;button class=""topic"" onclick=""showResult('36')""&gt;破解命盤「官殺混雜」&lt;/button&gt;&lt;/div&gt;")</f>
        <v>&lt;button class="topic" onclick="showResult('36')"&gt;破解命盤「官殺混雜」&lt;/button&gt;&lt;/div&gt;</v>
      </c>
    </row>
    <row r="37" spans="1:1" ht="15.75" customHeight="1" x14ac:dyDescent="0.15">
      <c r="A37" s="12" t="str">
        <f ca="1">IFERROR(__xludf.DUMMYFUNCTION("""COMPUTED_VALUE"""),"&lt;div id=""topics""&gt;&lt;button class=""topic"" onclick=""showResult('37')""&gt;單身破解流年「七殺」&lt;/button&gt;")</f>
        <v>&lt;div id="topics"&gt;&lt;button class="topic" onclick="showResult('37')"&gt;單身破解流年「七殺」&lt;/button&gt;</v>
      </c>
    </row>
    <row r="38" spans="1:1" ht="15.75" customHeight="1" x14ac:dyDescent="0.15">
      <c r="A38" s="12" t="str">
        <f ca="1">IFERROR(__xludf.DUMMYFUNCTION("""COMPUTED_VALUE"""),"&lt;button class=""topic"" onclick=""showResult('38')""&gt;對象破解「七殺」&lt;/button&gt;&lt;/div&gt;")</f>
        <v>&lt;button class="topic" onclick="showResult('38')"&gt;對象破解「七殺」&lt;/button&gt;&lt;/div&gt;</v>
      </c>
    </row>
    <row r="39" spans="1:1" ht="15.75" customHeight="1" x14ac:dyDescent="0.15">
      <c r="A39" s="12" t="str">
        <f ca="1">IFERROR(__xludf.DUMMYFUNCTION("""COMPUTED_VALUE"""),"&lt;div id=""topics""&gt;&lt;button class=""topic"" onclick=""showResult('39')""&gt;破解「食神」&lt;/button&gt;")</f>
        <v>&lt;div id="topics"&gt;&lt;button class="topic" onclick="showResult('39')"&gt;破解「食神」&lt;/button&gt;</v>
      </c>
    </row>
    <row r="40" spans="1:1" ht="15.75" customHeight="1" x14ac:dyDescent="0.15">
      <c r="A40" s="12" t="str">
        <f ca="1">IFERROR(__xludf.DUMMYFUNCTION("""COMPUTED_VALUE"""),"&lt;button class=""topic"" onclick=""showResult('40')""&gt;破解「雙正官」&lt;/button&gt;&lt;/div&gt;")</f>
        <v>&lt;button class="topic" onclick="showResult('40')"&gt;破解「雙正官」&lt;/button&gt;&lt;/div&gt;</v>
      </c>
    </row>
    <row r="41" spans="1:1" ht="15.75" customHeight="1" x14ac:dyDescent="0.15">
      <c r="A41" s="12" t="str">
        <f ca="1">IFERROR(__xludf.DUMMYFUNCTION("""COMPUTED_VALUE"""),"&lt;div id=""topics""&gt;&lt;label for=""nameInput""&gt;夫妻宮&lt;/label&gt;&lt;/div&gt;")</f>
        <v>&lt;div id="topics"&gt;&lt;label for="nameInput"&gt;夫妻宮&lt;/label&gt;&lt;/div&gt;</v>
      </c>
    </row>
    <row r="42" spans="1:1" ht="15.75" customHeight="1" x14ac:dyDescent="0.15">
      <c r="A42" s="12" t="str">
        <f ca="1">IFERROR(__xludf.DUMMYFUNCTION("""COMPUTED_VALUE"""),"&lt;div id=""topics""&gt;&lt;button class=""topic"" onclick=""showResult('42')""&gt;破解夫妻宮害局&lt;/button&gt;")</f>
        <v>&lt;div id="topics"&gt;&lt;button class="topic" onclick="showResult('42')"&gt;破解夫妻宮害局&lt;/button&gt;</v>
      </c>
    </row>
    <row r="43" spans="1:1" ht="15.75" customHeight="1" x14ac:dyDescent="0.15">
      <c r="A43" s="12" t="str">
        <f ca="1">IFERROR(__xludf.DUMMYFUNCTION("""COMPUTED_VALUE"""),"&lt;button class=""topic"" onclick=""showResult('43')""&gt;破解夫妻宮沖局&lt;/button&gt;&lt;/div&gt;")</f>
        <v>&lt;button class="topic" onclick="showResult('43')"&gt;破解夫妻宮沖局&lt;/button&gt;&lt;/div&gt;</v>
      </c>
    </row>
    <row r="44" spans="1:1" ht="15.75" customHeight="1" x14ac:dyDescent="0.15">
      <c r="A44" s="12" t="str">
        <f ca="1">IFERROR(__xludf.DUMMYFUNCTION("""COMPUTED_VALUE"""),"&lt;div id=""topics""&gt;&lt;button class=""topic"" onclick=""showResult('44')""&gt;破解夫妻宮刑局&lt;/button&gt;")</f>
        <v>&lt;div id="topics"&gt;&lt;button class="topic" onclick="showResult('44')"&gt;破解夫妻宮刑局&lt;/button&gt;</v>
      </c>
    </row>
    <row r="45" spans="1:1" ht="15.75" customHeight="1" x14ac:dyDescent="0.15">
      <c r="A45" s="12" t="str">
        <f ca="1">IFERROR(__xludf.DUMMYFUNCTION("""COMPUTED_VALUE"""),"&lt;button class=""topic"" onclick=""showResult('45')""&gt;製造夫妻宮合局&lt;/button&gt;&lt;/div&gt;")</f>
        <v>&lt;button class="topic" onclick="showResult('45')"&gt;製造夫妻宮合局&lt;/button&gt;&lt;/div&gt;</v>
      </c>
    </row>
    <row r="46" spans="1:1" ht="15.75" customHeight="1" x14ac:dyDescent="0.15">
      <c r="A46" s="12" t="str">
        <f ca="1">IFERROR(__xludf.DUMMYFUNCTION("""COMPUTED_VALUE"""),"&lt;div id=""topics""&gt;&lt;button class=""topic"" onclick=""showResult('46')""&gt;製造對象合局&lt;/button&gt;&lt;/div&gt;")</f>
        <v>&lt;div id="topics"&gt;&lt;button class="topic" onclick="showResult('46')"&gt;製造對象合局&lt;/button&gt;&lt;/div&gt;</v>
      </c>
    </row>
    <row r="47" spans="1:1" ht="15.75" customHeight="1" x14ac:dyDescent="0.15">
      <c r="A47" s="12" t="str">
        <f ca="1">IFERROR(__xludf.DUMMYFUNCTION("""COMPUTED_VALUE"""),"&lt;div id=""topics""&gt;&lt;label for=""nameInput""&gt;地支&lt;/label&gt;&lt;/div&gt;")</f>
        <v>&lt;div id="topics"&gt;&lt;label for="nameInput"&gt;地支&lt;/label&gt;&lt;/div&gt;</v>
      </c>
    </row>
    <row r="48" spans="1:1" ht="15.75" customHeight="1" x14ac:dyDescent="0.15">
      <c r="A48" s="12" t="str">
        <f ca="1">IFERROR(__xludf.DUMMYFUNCTION("""COMPUTED_VALUE"""),"&lt;div id=""topics""&gt;&lt;button class=""topic"" onclick=""showResult('48')""&gt;破解家運及長輩沖局&lt;/button&gt;")</f>
        <v>&lt;div id="topics"&gt;&lt;button class="topic" onclick="showResult('48')"&gt;破解家運及長輩沖局&lt;/button&gt;</v>
      </c>
    </row>
    <row r="49" spans="1:1" ht="15.75" customHeight="1" x14ac:dyDescent="0.15">
      <c r="A49" s="12" t="str">
        <f ca="1">IFERROR(__xludf.DUMMYFUNCTION("""COMPUTED_VALUE"""),"&lt;button class=""topic"" onclick=""showResult('49')""&gt;破解家運及長輩害局&lt;/button&gt;&lt;/div&gt;")</f>
        <v>&lt;button class="topic" onclick="showResult('49')"&gt;破解家運及長輩害局&lt;/button&gt;&lt;/div&gt;</v>
      </c>
    </row>
    <row r="50" spans="1:1" ht="15.75" customHeight="1" x14ac:dyDescent="0.15">
      <c r="A50" s="12" t="str">
        <f ca="1">IFERROR(__xludf.DUMMYFUNCTION("""COMPUTED_VALUE"""),"&lt;div id=""topics""&gt;&lt;button class=""topic"" onclick=""showResult('50')""&gt;破解家庭對伴侶的害局&lt;/button&gt;")</f>
        <v>&lt;div id="topics"&gt;&lt;button class="topic" onclick="showResult('50')"&gt;破解家庭對伴侶的害局&lt;/button&gt;</v>
      </c>
    </row>
    <row r="51" spans="1:1" ht="15.75" customHeight="1" x14ac:dyDescent="0.15">
      <c r="A51" s="12" t="str">
        <f ca="1">IFERROR(__xludf.DUMMYFUNCTION("""COMPUTED_VALUE"""),"&lt;button class=""topic"" onclick=""showResult('51')""&gt;破解事業害局&lt;/button&gt;&lt;/div&gt;")</f>
        <v>&lt;button class="topic" onclick="showResult('51')"&gt;破解事業害局&lt;/button&gt;&lt;/div&gt;</v>
      </c>
    </row>
    <row r="52" spans="1:1" ht="15.75" customHeight="1" x14ac:dyDescent="0.15">
      <c r="A52" s="12" t="str">
        <f ca="1">IFERROR(__xludf.DUMMYFUNCTION("""COMPUTED_VALUE"""),"&lt;div id=""topics""&gt;&lt;button class=""topic"" onclick=""showResult('52')""&gt;製造內心合局&lt;/button&gt;")</f>
        <v>&lt;div id="topics"&gt;&lt;button class="topic" onclick="showResult('52')"&gt;製造內心合局&lt;/button&gt;</v>
      </c>
    </row>
    <row r="53" spans="1:1" ht="15.75" customHeight="1" x14ac:dyDescent="0.15">
      <c r="A53" s="12" t="str">
        <f ca="1">IFERROR(__xludf.DUMMYFUNCTION("""COMPUTED_VALUE"""),"&lt;button class=""topic"" onclick=""showResult('53')""&gt;製造事業合局&lt;/button&gt;&lt;/div&gt;")</f>
        <v>&lt;button class="topic" onclick="showResult('53')"&gt;製造事業合局&lt;/button&gt;&lt;/div&gt;</v>
      </c>
    </row>
    <row r="54" spans="1:1" ht="15.75" customHeight="1" x14ac:dyDescent="0.15">
      <c r="A54" s="12" t="str">
        <f ca="1">IFERROR(__xludf.DUMMYFUNCTION("""COMPUTED_VALUE"""),"&lt;div id=""topics""&gt;&lt;label for=""nameInput""&gt;第三部：必要標題&lt;/label&gt;&lt;/div&gt;")</f>
        <v>&lt;div id="topics"&gt;&lt;label for="nameInput"&gt;第三部：必要標題&lt;/label&gt;&lt;/div&gt;</v>
      </c>
    </row>
    <row r="55" spans="1:1" ht="15.75" customHeight="1" x14ac:dyDescent="0.15">
      <c r="A55" s="12" t="str">
        <f ca="1">IFERROR(__xludf.DUMMYFUNCTION("""COMPUTED_VALUE"""),"&lt;div id=""topics""&gt;&lt;button class=""topic"" onclick=""showResult('55')""&gt;✌ 非必須破解&lt;/button&gt;&lt;/div&gt;")</f>
        <v>&lt;div id="topics"&gt;&lt;button class="topic" onclick="showResult('55')"&gt;✌ 非必須破解&lt;/button&gt;&lt;/div&gt;</v>
      </c>
    </row>
    <row r="56" spans="1:1" ht="15.75" customHeight="1" x14ac:dyDescent="0.15">
      <c r="A56" s="12" t="str">
        <f ca="1">IFERROR(__xludf.DUMMYFUNCTION("""COMPUTED_VALUE"""),"&lt;div id=""topics""&gt;&lt;label for=""nameInput""&gt;🔸命盤缺失：缺乏的能量是關鍵（✌ 非必須破解）&lt;/label&gt;&lt;/div&gt;")</f>
        <v>&lt;div id="topics"&gt;&lt;label for="nameInput"&gt;🔸命盤缺失：缺乏的能量是關鍵（✌ 非必須破解）&lt;/label&gt;&lt;/div&gt;</v>
      </c>
    </row>
    <row r="57" spans="1:1" ht="15.75" customHeight="1" x14ac:dyDescent="0.15">
      <c r="A57" s="12" t="str">
        <f ca="1">IFERROR(__xludf.DUMMYFUNCTION("""COMPUTED_VALUE"""),"&lt;div id=""topics""&gt;&lt;button class=""topic"" onclick=""showResult('57')""&gt;夫妻宮空亡&lt;/button&gt;")</f>
        <v>&lt;div id="topics"&gt;&lt;button class="topic" onclick="showResult('57')"&gt;夫妻宮空亡&lt;/button&gt;</v>
      </c>
    </row>
    <row r="58" spans="1:1" ht="15.75" customHeight="1" x14ac:dyDescent="0.15">
      <c r="A58" s="12" t="str">
        <f ca="1">IFERROR(__xludf.DUMMYFUNCTION("""COMPUTED_VALUE"""),"&lt;button class=""topic"" onclick=""showResult('58')""&gt;事業空亡&lt;/button&gt;")</f>
        <v>&lt;button class="topic" onclick="showResult('58')"&gt;事業空亡&lt;/button&gt;</v>
      </c>
    </row>
    <row r="59" spans="1:1" ht="15.75" customHeight="1" x14ac:dyDescent="0.15">
      <c r="A59" s="12" t="str">
        <f ca="1">IFERROR(__xludf.DUMMYFUNCTION("""COMPUTED_VALUE"""),"&lt;button class=""topic"" onclick=""showResult('59')""&gt;帝旺空亡&lt;/button&gt;")</f>
        <v>&lt;button class="topic" onclick="showResult('59')"&gt;帝旺空亡&lt;/button&gt;</v>
      </c>
    </row>
    <row r="60" spans="1:1" ht="13" x14ac:dyDescent="0.15">
      <c r="A60" s="12" t="str">
        <f ca="1">IFERROR(__xludf.DUMMYFUNCTION("""COMPUTED_VALUE"""),"&lt;button class=""topic"" onclick=""showResult('60')""&gt;祿神空亡&lt;/button&gt;&lt;/div&gt;")</f>
        <v>&lt;button class="topic" onclick="showResult('60')"&gt;祿神空亡&lt;/button&gt;&lt;/div&gt;</v>
      </c>
    </row>
    <row r="61" spans="1:1" ht="13" x14ac:dyDescent="0.15">
      <c r="A61" s="12" t="str">
        <f ca="1">IFERROR(__xludf.DUMMYFUNCTION("""COMPUTED_VALUE"""),"&lt;div id=""topics""&gt;&lt;button class=""topic"" onclick=""showResult('61')""&gt;正財空亡&lt;/button&gt;")</f>
        <v>&lt;div id="topics"&gt;&lt;button class="topic" onclick="showResult('61')"&gt;正財空亡&lt;/button&gt;</v>
      </c>
    </row>
    <row r="62" spans="1:1" ht="13" x14ac:dyDescent="0.15">
      <c r="A62" s="12" t="str">
        <f ca="1">IFERROR(__xludf.DUMMYFUNCTION("""COMPUTED_VALUE"""),"&lt;button class=""topic"" onclick=""showResult('62')""&gt;第二個正財空亡&lt;/button&gt;&lt;/div&gt;")</f>
        <v>&lt;button class="topic" onclick="showResult('62')"&gt;第二個正財空亡&lt;/button&gt;&lt;/div&gt;</v>
      </c>
    </row>
    <row r="63" spans="1:1" ht="13" x14ac:dyDescent="0.15">
      <c r="A63" s="12" t="str">
        <f ca="1">IFERROR(__xludf.DUMMYFUNCTION("""COMPUTED_VALUE"""),"&lt;div id=""topics""&gt;&lt;button class=""topic"" onclick=""showResult('63')""&gt;偏財空亡&lt;/button&gt;")</f>
        <v>&lt;div id="topics"&gt;&lt;button class="topic" onclick="showResult('63')"&gt;偏財空亡&lt;/button&gt;</v>
      </c>
    </row>
    <row r="64" spans="1:1" ht="13" x14ac:dyDescent="0.15">
      <c r="A64" s="12" t="str">
        <f ca="1">IFERROR(__xludf.DUMMYFUNCTION("""COMPUTED_VALUE"""),"&lt;button class=""topic"" onclick=""showResult('64')""&gt;第二個偏財空亡&lt;/button&gt;&lt;/div&gt;")</f>
        <v>&lt;button class="topic" onclick="showResult('64')"&gt;第二個偏財空亡&lt;/button&gt;&lt;/div&gt;</v>
      </c>
    </row>
    <row r="65" spans="1:1" ht="13" x14ac:dyDescent="0.15">
      <c r="A65" s="12" t="str">
        <f ca="1">IFERROR(__xludf.DUMMYFUNCTION("""COMPUTED_VALUE"""),"&lt;div id=""topics""&gt;&lt;button class=""topic"" onclick=""showResult('65')""&gt;正官空亡&lt;/button&gt;")</f>
        <v>&lt;div id="topics"&gt;&lt;button class="topic" onclick="showResult('65')"&gt;正官空亡&lt;/button&gt;</v>
      </c>
    </row>
    <row r="66" spans="1:1" ht="13" x14ac:dyDescent="0.15">
      <c r="A66" s="12" t="str">
        <f ca="1">IFERROR(__xludf.DUMMYFUNCTION("""COMPUTED_VALUE"""),"&lt;button class=""topic"" onclick=""showResult('66')""&gt;第二個正官空亡&lt;/button&gt;&lt;/div&gt;")</f>
        <v>&lt;button class="topic" onclick="showResult('66')"&gt;第二個正官空亡&lt;/button&gt;&lt;/div&gt;</v>
      </c>
    </row>
    <row r="67" spans="1:1" ht="13" x14ac:dyDescent="0.15">
      <c r="A67" s="12" t="str">
        <f ca="1">IFERROR(__xludf.DUMMYFUNCTION("""COMPUTED_VALUE"""),"&lt;div id=""topics""&gt;&lt;button class=""topic"" onclick=""showResult('67')""&gt;正印空亡&lt;/button&gt;")</f>
        <v>&lt;div id="topics"&gt;&lt;button class="topic" onclick="showResult('67')"&gt;正印空亡&lt;/button&gt;</v>
      </c>
    </row>
    <row r="68" spans="1:1" ht="13" x14ac:dyDescent="0.15">
      <c r="A68" s="12" t="str">
        <f ca="1">IFERROR(__xludf.DUMMYFUNCTION("""COMPUTED_VALUE"""),"&lt;button class=""topic"" onclick=""showResult('68')""&gt;第二個正印空亡&lt;/button&gt;&lt;/div&gt;")</f>
        <v>&lt;button class="topic" onclick="showResult('68')"&gt;第二個正印空亡&lt;/button&gt;&lt;/div&gt;</v>
      </c>
    </row>
    <row r="69" spans="1:1" ht="13" x14ac:dyDescent="0.15">
      <c r="A69" s="12" t="str">
        <f ca="1">IFERROR(__xludf.DUMMYFUNCTION("""COMPUTED_VALUE"""),"&lt;div id=""topics""&gt;&lt;button class=""topic"" onclick=""showResult('69')""&gt;食神空亡&lt;/button&gt;")</f>
        <v>&lt;div id="topics"&gt;&lt;button class="topic" onclick="showResult('69')"&gt;食神空亡&lt;/button&gt;</v>
      </c>
    </row>
    <row r="70" spans="1:1" ht="13" x14ac:dyDescent="0.15">
      <c r="A70" s="12" t="str">
        <f ca="1">IFERROR(__xludf.DUMMYFUNCTION("""COMPUTED_VALUE"""),"&lt;button class=""topic"" onclick=""showResult('70')""&gt;傷官空亡&lt;/button&gt;&lt;/div&gt;")</f>
        <v>&lt;button class="topic" onclick="showResult('70')"&gt;傷官空亡&lt;/button&gt;&lt;/div&gt;</v>
      </c>
    </row>
    <row r="71" spans="1:1" ht="13" x14ac:dyDescent="0.15">
      <c r="A71" s="12" t="str">
        <f ca="1">IFERROR(__xludf.DUMMYFUNCTION("""COMPUTED_VALUE"""),"&lt;div id=""topics""&gt;&lt;label for=""nameInput""&gt;第四部：必要標題&lt;/label&gt;&lt;/div&gt;")</f>
        <v>&lt;div id="topics"&gt;&lt;label for="nameInput"&gt;第四部：必要標題&lt;/label&gt;&lt;/div&gt;</v>
      </c>
    </row>
    <row r="72" spans="1:1" ht="13" x14ac:dyDescent="0.15">
      <c r="A72" s="12" t="str">
        <f ca="1">IFERROR(__xludf.DUMMYFUNCTION("""COMPUTED_VALUE"""),"&lt;div id=""topics""&gt;&lt;button class=""topic"" onclick=""showResult('72')""&gt;☀十年運程☀&lt;/button&gt;&lt;/div&gt;")</f>
        <v>&lt;div id="topics"&gt;&lt;button class="topic" onclick="showResult('72')"&gt;☀十年運程☀&lt;/button&gt;&lt;/div&gt;</v>
      </c>
    </row>
    <row r="73" spans="1:1" ht="13" x14ac:dyDescent="0.15">
      <c r="A73" s="12" t="str">
        <f ca="1">IFERROR(__xludf.DUMMYFUNCTION("""COMPUTED_VALUE"""),"&lt;div id=""topics""&gt;&lt;label for=""nameInput""&gt;🔸大運破解：一次看完十年問題&lt;/label&gt;&lt;/div&gt;")</f>
        <v>&lt;div id="topics"&gt;&lt;label for="nameInput"&gt;🔸大運破解：一次看完十年問題&lt;/label&gt;&lt;/div&gt;</v>
      </c>
    </row>
    <row r="74" spans="1:1" ht="13" x14ac:dyDescent="0.15">
      <c r="A74" s="12" t="str">
        <f ca="1">IFERROR(__xludf.DUMMYFUNCTION("""COMPUTED_VALUE"""),"&lt;div id=""topics""&gt;&lt;button class=""topic"" onclick=""showResult('74')""&gt;七殺&lt;/button&gt;")</f>
        <v>&lt;div id="topics"&gt;&lt;button class="topic" onclick="showResult('74')"&gt;七殺&lt;/button&gt;</v>
      </c>
    </row>
    <row r="75" spans="1:1" ht="13" x14ac:dyDescent="0.15">
      <c r="A75" s="12" t="str">
        <f ca="1">IFERROR(__xludf.DUMMYFUNCTION("""COMPUTED_VALUE"""),"&lt;button class=""topic"" onclick=""showResult('75')""&gt;偏印&lt;/button&gt;")</f>
        <v>&lt;button class="topic" onclick="showResult('75')"&gt;偏印&lt;/button&gt;</v>
      </c>
    </row>
    <row r="76" spans="1:1" ht="13" x14ac:dyDescent="0.15">
      <c r="A76" s="12" t="str">
        <f ca="1">IFERROR(__xludf.DUMMYFUNCTION("""COMPUTED_VALUE"""),"&lt;button class=""topic"" onclick=""showResult('76')""&gt;偏印（怕食神）&lt;/button&gt;")</f>
        <v>&lt;button class="topic" onclick="showResult('76')"&gt;偏印（怕食神）&lt;/button&gt;</v>
      </c>
    </row>
    <row r="77" spans="1:1" ht="13" x14ac:dyDescent="0.15">
      <c r="A77" s="12" t="str">
        <f ca="1">IFERROR(__xludf.DUMMYFUNCTION("""COMPUTED_VALUE"""),"&lt;button class=""topic"" onclick=""showResult('77')""&gt;比肩&lt;/button&gt;&lt;/div&gt;")</f>
        <v>&lt;button class="topic" onclick="showResult('77')"&gt;比肩&lt;/button&gt;&lt;/div&gt;</v>
      </c>
    </row>
    <row r="78" spans="1:1" ht="13" x14ac:dyDescent="0.15">
      <c r="A78" s="12" t="str">
        <f ca="1">IFERROR(__xludf.DUMMYFUNCTION("""COMPUTED_VALUE"""),"&lt;div id=""topics""&gt;&lt;button class=""topic"" onclick=""showResult('78')""&gt;劫財&lt;/button&gt;")</f>
        <v>&lt;div id="topics"&gt;&lt;button class="topic" onclick="showResult('78')"&gt;劫財&lt;/button&gt;</v>
      </c>
    </row>
    <row r="79" spans="1:1" ht="13" x14ac:dyDescent="0.15">
      <c r="A79" s="12" t="str">
        <f ca="1">IFERROR(__xludf.DUMMYFUNCTION("""COMPUTED_VALUE"""),"&lt;button class=""topic"" onclick=""showResult('79')""&gt;傷官&lt;/button&gt;")</f>
        <v>&lt;button class="topic" onclick="showResult('79')"&gt;傷官&lt;/button&gt;</v>
      </c>
    </row>
    <row r="80" spans="1:1" ht="13" x14ac:dyDescent="0.15">
      <c r="A80" s="12" t="str">
        <f ca="1">IFERROR(__xludf.DUMMYFUNCTION("""COMPUTED_VALUE"""),"&lt;button class=""topic"" onclick=""showResult('80')""&gt;傷官（怕正官）&lt;/button&gt;")</f>
        <v>&lt;button class="topic" onclick="showResult('80')"&gt;傷官（怕正官）&lt;/button&gt;</v>
      </c>
    </row>
    <row r="81" spans="1:1" ht="13" x14ac:dyDescent="0.15">
      <c r="A81" s="12" t="str">
        <f ca="1">IFERROR(__xludf.DUMMYFUNCTION("""COMPUTED_VALUE"""),"&lt;button class=""topic"" onclick=""showResult('81')""&gt;財庫沖破&lt;/button&gt;&lt;/div&gt;")</f>
        <v>&lt;button class="topic" onclick="showResult('81')"&gt;財庫沖破&lt;/button&gt;&lt;/div&gt;</v>
      </c>
    </row>
    <row r="82" spans="1:1" ht="13" x14ac:dyDescent="0.15">
      <c r="A82" s="12" t="str">
        <f ca="1">IFERROR(__xludf.DUMMYFUNCTION("""COMPUTED_VALUE"""),"&lt;div id=""topics""&gt;&lt;label for=""nameInput""&gt;第五部：必要標題&lt;/label&gt;&lt;/div&gt;")</f>
        <v>&lt;div id="topics"&gt;&lt;label for="nameInput"&gt;第五部：必要標題&lt;/label&gt;&lt;/div&gt;</v>
      </c>
    </row>
    <row r="83" spans="1:1" ht="13" x14ac:dyDescent="0.15">
      <c r="A83" s="12" t="str">
        <f ca="1">IFERROR(__xludf.DUMMYFUNCTION("""COMPUTED_VALUE"""),"&lt;div id=""topics""&gt;&lt;button class=""topic"" onclick=""showResult('83')""&gt;💰富貴造局&lt;/button&gt;&lt;/div&gt;")</f>
        <v>&lt;div id="topics"&gt;&lt;button class="topic" onclick="showResult('83')"&gt;💰富貴造局&lt;/button&gt;&lt;/div&gt;</v>
      </c>
    </row>
    <row r="84" spans="1:1" ht="13" x14ac:dyDescent="0.15">
      <c r="A84" s="12" t="str">
        <f ca="1">IFERROR(__xludf.DUMMYFUNCTION("""COMPUTED_VALUE"""),"&lt;div id=""topics""&gt;&lt;label for=""nameInput""&gt;🔸心想事成：客製打造富貴人生&lt;/label&gt;&lt;/div&gt;")</f>
        <v>&lt;div id="topics"&gt;&lt;label for="nameInput"&gt;🔸心想事成：客製打造富貴人生&lt;/label&gt;&lt;/div&gt;</v>
      </c>
    </row>
    <row r="85" spans="1:1" ht="13" x14ac:dyDescent="0.15">
      <c r="A85" s="12" t="str">
        <f ca="1">IFERROR(__xludf.DUMMYFUNCTION("""COMPUTED_VALUE"""),"&lt;div id=""topics""&gt;&lt;button class=""topic"" onclick=""showResult('85')""&gt;上班族必備&lt;/button&gt;")</f>
        <v>&lt;div id="topics"&gt;&lt;button class="topic" onclick="showResult('85')"&gt;上班族必備&lt;/button&gt;</v>
      </c>
    </row>
    <row r="86" spans="1:1" ht="13" x14ac:dyDescent="0.15">
      <c r="A86" s="12" t="str">
        <f ca="1">IFERROR(__xludf.DUMMYFUNCTION("""COMPUTED_VALUE"""),"&lt;button class=""topic"" onclick=""showResult('86')""&gt;XX方關鍵重要&lt;/button&gt;")</f>
        <v>&lt;button class="topic" onclick="showResult('86')"&gt;XX方關鍵重要&lt;/button&gt;</v>
      </c>
    </row>
    <row r="87" spans="1:1" ht="13" x14ac:dyDescent="0.15">
      <c r="A87" s="12" t="str">
        <f ca="1">IFERROR(__xludf.DUMMYFUNCTION("""COMPUTED_VALUE"""),"&lt;button class=""topic"" onclick=""showResult('87')""&gt;四柱皆空&lt;/button&gt;&lt;/div&gt;")</f>
        <v>&lt;button class="topic" onclick="showResult('87')"&gt;四柱皆空&lt;/button&gt;&lt;/div&gt;</v>
      </c>
    </row>
    <row r="88" spans="1:1" ht="13" x14ac:dyDescent="0.15">
      <c r="A88" s="12" t="str">
        <f ca="1">IFERROR(__xludf.DUMMYFUNCTION("""COMPUTED_VALUE"""),"&lt;div id=""topics""&gt;&lt;button class=""topic"" onclick=""showResult('88')""&gt;老闆必備&lt;/button&gt;")</f>
        <v>&lt;div id="topics"&gt;&lt;button class="topic" onclick="showResult('88')"&gt;老闆必備&lt;/button&gt;</v>
      </c>
    </row>
    <row r="89" spans="1:1" ht="13" x14ac:dyDescent="0.15">
      <c r="A89" s="12" t="str">
        <f ca="1">IFERROR(__xludf.DUMMYFUNCTION("""COMPUTED_VALUE"""),"&lt;button class=""topic"" onclick=""showResult('89')""&gt;副業必備&lt;/button&gt;")</f>
        <v>&lt;button class="topic" onclick="showResult('89')"&gt;副業必備&lt;/button&gt;</v>
      </c>
    </row>
    <row r="90" spans="1:1" ht="13" x14ac:dyDescent="0.15">
      <c r="A90" s="12" t="str">
        <f ca="1">IFERROR(__xludf.DUMMYFUNCTION("""COMPUTED_VALUE"""),"&lt;button class=""topic"" onclick=""showResult('90')""&gt;業務必備&lt;/button&gt;&lt;/div&gt;")</f>
        <v>&lt;button class="topic" onclick="showResult('90')"&gt;業務必備&lt;/button&gt;&lt;/div&gt;</v>
      </c>
    </row>
    <row r="91" spans="1:1" ht="13" x14ac:dyDescent="0.15">
      <c r="A91" s="12" t="str">
        <f ca="1">IFERROR(__xludf.DUMMYFUNCTION("""COMPUTED_VALUE"""),"&lt;div id=""topics""&gt;&lt;button class=""topic"" onclick=""showResult('91')""&gt;桃花必備&lt;/button&gt;")</f>
        <v>&lt;div id="topics"&gt;&lt;button class="topic" onclick="showResult('91')"&gt;桃花必備&lt;/button&gt;</v>
      </c>
    </row>
    <row r="92" spans="1:1" ht="13" x14ac:dyDescent="0.15">
      <c r="A92" s="12" t="str">
        <f ca="1">IFERROR(__xludf.DUMMYFUNCTION("""COMPUTED_VALUE"""),"&lt;button class=""topic"" onclick=""showResult('92')""&gt;夫妻必備（婚姻對戒）&lt;/button&gt;&lt;/div&gt;")</f>
        <v>&lt;button class="topic" onclick="showResult('92')"&gt;夫妻必備（婚姻對戒）&lt;/button&gt;&lt;/div&gt;</v>
      </c>
    </row>
    <row r="93" spans="1:1" ht="13" x14ac:dyDescent="0.15">
      <c r="A93" s="12" t="str">
        <f ca="1">IFERROR(__xludf.DUMMYFUNCTION("""COMPUTED_VALUE"""),"&lt;div id=""topics""&gt;&lt;label for=""nameInput""&gt;第六部：必要標題&lt;/label&gt;&lt;/div&gt;")</f>
        <v>&lt;div id="topics"&gt;&lt;label for="nameInput"&gt;第六部：必要標題&lt;/label&gt;&lt;/div&gt;</v>
      </c>
    </row>
    <row r="94" spans="1:1" ht="13" x14ac:dyDescent="0.15">
      <c r="A94" s="12" t="str">
        <f ca="1">IFERROR(__xludf.DUMMYFUNCTION("""COMPUTED_VALUE"""),"&lt;div id=""topics""&gt;&lt;button class=""topic"" onclick=""showResult('94')""&gt;☯︎ 風水怖置&lt;/button&gt;&lt;/div&gt;")</f>
        <v>&lt;div id="topics"&gt;&lt;button class="topic" onclick="showResult('94')"&gt;☯︎ 風水怖置&lt;/button&gt;&lt;/div&gt;</v>
      </c>
    </row>
    <row r="95" spans="1:1" ht="13" x14ac:dyDescent="0.15">
      <c r="A95" s="12" t="str">
        <f ca="1">IFERROR(__xludf.DUMMYFUNCTION("""COMPUTED_VALUE"""),"&lt;div id=""topics""&gt;&lt;label for=""nameInput""&gt;🔸加強/補救：風水造局錦上添花&lt;/label&gt;&lt;/div&gt;")</f>
        <v>&lt;div id="topics"&gt;&lt;label for="nameInput"&gt;🔸加強/補救：風水造局錦上添花&lt;/label&gt;&lt;/div&gt;</v>
      </c>
    </row>
    <row r="96" spans="1:1" ht="13" x14ac:dyDescent="0.15">
      <c r="A96" s="12" t="str">
        <f ca="1">IFERROR(__xludf.DUMMYFUNCTION("""COMPUTED_VALUE"""),"&lt;div id=""topics""&gt;&lt;button class=""topic"" onclick=""showResult('96')""&gt;流年事業空亡&lt;/button&gt;")</f>
        <v>&lt;div id="topics"&gt;&lt;button class="topic" onclick="showResult('96')"&gt;流年事業空亡&lt;/button&gt;</v>
      </c>
    </row>
    <row r="97" spans="1:1" ht="13" x14ac:dyDescent="0.15">
      <c r="A97" s="12" t="str">
        <f ca="1">IFERROR(__xludf.DUMMYFUNCTION("""COMPUTED_VALUE"""),"&lt;button class=""topic"" onclick=""showResult('97')""&gt;流年夫妻空亡&lt;/button&gt;")</f>
        <v>&lt;button class="topic" onclick="showResult('97')"&gt;流年夫妻空亡&lt;/button&gt;</v>
      </c>
    </row>
    <row r="98" spans="1:1" ht="13" x14ac:dyDescent="0.15">
      <c r="A98" s="12" t="str">
        <f ca="1">IFERROR(__xludf.DUMMYFUNCTION("""COMPUTED_VALUE"""),"&lt;button class=""topic"" onclick=""showResult('98')""&gt;流年內心空亡&lt;/button&gt;&lt;/div&gt;")</f>
        <v>&lt;button class="topic" onclick="showResult('98')"&gt;流年內心空亡&lt;/button&gt;&lt;/div&gt;</v>
      </c>
    </row>
    <row r="99" spans="1:1" ht="13" x14ac:dyDescent="0.15">
      <c r="A99" s="12" t="str">
        <f ca="1">IFERROR(__xludf.DUMMYFUNCTION("""COMPUTED_VALUE"""),"&lt;div id=""topics""&gt;&lt;button class=""topic"" onclick=""showResult('99')""&gt;流年情侶空亡&lt;/button&gt;")</f>
        <v>&lt;div id="topics"&gt;&lt;button class="topic" onclick="showResult('99')"&gt;流年情侶空亡&lt;/button&gt;</v>
      </c>
    </row>
    <row r="100" spans="1:1" ht="13" x14ac:dyDescent="0.15">
      <c r="A100" s="12" t="str">
        <f ca="1">IFERROR(__xludf.DUMMYFUNCTION("""COMPUTED_VALUE"""),"&lt;button class=""topic"" onclick=""showResult('100')""&gt;命盤夫妻宮空亡&lt;/button&gt;")</f>
        <v>&lt;button class="topic" onclick="showResult('100')"&gt;命盤夫妻宮空亡&lt;/button&gt;</v>
      </c>
    </row>
    <row r="101" spans="1:1" ht="13" x14ac:dyDescent="0.15">
      <c r="A101" s="12" t="str">
        <f ca="1">IFERROR(__xludf.DUMMYFUNCTION("""COMPUTED_VALUE"""),"&lt;button class=""topic"" onclick=""showResult('101')""&gt;命盤事業空亡&lt;/button&gt;&lt;/div&gt;")</f>
        <v>&lt;button class="topic" onclick="showResult('101')"&gt;命盤事業空亡&lt;/button&gt;&lt;/div&gt;</v>
      </c>
    </row>
    <row r="102" spans="1:1" ht="13" x14ac:dyDescent="0.15">
      <c r="A102" s="12" t="str">
        <f ca="1">IFERROR(__xludf.DUMMYFUNCTION("""COMPUTED_VALUE"""),"&lt;div id=""topics""&gt;&lt;button class=""topic"" onclick=""showResult('102')""&gt;命盤年柱空亡&lt;/button&gt;")</f>
        <v>&lt;div id="topics"&gt;&lt;button class="topic" onclick="showResult('102')"&gt;命盤年柱空亡&lt;/button&gt;</v>
      </c>
    </row>
    <row r="103" spans="1:1" ht="13" x14ac:dyDescent="0.15">
      <c r="A103" s="12" t="str">
        <f ca="1">IFERROR(__xludf.DUMMYFUNCTION("""COMPUTED_VALUE"""),"&lt;button class=""topic"" onclick=""showResult('103')""&gt;命盤內心空亡&lt;/button&gt;")</f>
        <v>&lt;button class="topic" onclick="showResult('103')"&gt;命盤內心空亡&lt;/button&gt;</v>
      </c>
    </row>
    <row r="104" spans="1:1" ht="13" x14ac:dyDescent="0.15">
      <c r="A104" s="12" t="str">
        <f ca="1">IFERROR(__xludf.DUMMYFUNCTION("""COMPUTED_VALUE"""),"&lt;button class=""topic"" onclick=""showResult('104')""&gt;無法造祿神&lt;/button&gt;&lt;/div&gt;")</f>
        <v>&lt;button class="topic" onclick="showResult('104')"&gt;無法造祿神&lt;/button&gt;&lt;/div&gt;</v>
      </c>
    </row>
    <row r="105" spans="1:1" ht="13" x14ac:dyDescent="0.15">
      <c r="A105" s="12" t="str">
        <f ca="1">IFERROR(__xludf.DUMMYFUNCTION("""COMPUTED_VALUE"""),"&lt;div id=""topics""&gt;&lt;button class=""topic"" onclick=""showResult('105')""&gt;無法造帝旺&lt;/button&gt;")</f>
        <v>&lt;div id="topics"&gt;&lt;button class="topic" onclick="showResult('105')"&gt;無法造帝旺&lt;/button&gt;</v>
      </c>
    </row>
    <row r="106" spans="1:1" ht="13" x14ac:dyDescent="0.15">
      <c r="A106" s="12" t="str">
        <f ca="1">IFERROR(__xludf.DUMMYFUNCTION("""COMPUTED_VALUE"""),"&lt;button class=""topic"" onclick=""showResult('106')""&gt;製造祿神&lt;/button&gt;")</f>
        <v>&lt;button class="topic" onclick="showResult('106')"&gt;製造祿神&lt;/button&gt;</v>
      </c>
    </row>
    <row r="107" spans="1:1" ht="13" x14ac:dyDescent="0.15">
      <c r="A107" s="12" t="str">
        <f ca="1">IFERROR(__xludf.DUMMYFUNCTION("""COMPUTED_VALUE"""),"&lt;button class=""topic"" onclick=""showResult('107')""&gt;製造帝旺&lt;/button&gt;&lt;/div&gt;")</f>
        <v>&lt;button class="topic" onclick="showResult('107')"&gt;製造帝旺&lt;/button&gt;&lt;/div&gt;</v>
      </c>
    </row>
    <row r="108" spans="1:1" ht="13" x14ac:dyDescent="0.15">
      <c r="A108" s="12" t="str">
        <f ca="1">IFERROR(__xludf.DUMMYFUNCTION("""COMPUTED_VALUE"""),"&lt;div id=""topics""&gt;&lt;button class=""topic"" onclick=""showResult('108')""&gt;製造本命桃花方位（夫妻）&lt;/button&gt;&lt;/div&gt;")</f>
        <v>&lt;div id="topics"&gt;&lt;button class="topic" onclick="showResult('108')"&gt;製造本命桃花方位（夫妻）&lt;/button&gt;&lt;/div&gt;</v>
      </c>
    </row>
    <row r="109" spans="1:1" ht="13" x14ac:dyDescent="0.15">
      <c r="A109" s="12" t="str">
        <f ca="1">IFERROR(__xludf.DUMMYFUNCTION("""COMPUTED_VALUE"""),"&lt;div id=""topics""&gt;&lt;button class=""topic"" onclick=""showResult('109')""&gt;製造本命桃花方位（情侶）&lt;/button&gt;&lt;/div&gt;")</f>
        <v>&lt;div id="topics"&gt;&lt;button class="topic" onclick="showResult('109')"&gt;製造本命桃花方位（情侶）&lt;/button&gt;&lt;/div&gt;</v>
      </c>
    </row>
    <row r="110" spans="1:1" ht="13" x14ac:dyDescent="0.15">
      <c r="A110" s="12" t="str">
        <f ca="1">IFERROR(__xludf.DUMMYFUNCTION("""COMPUTED_VALUE"""),"&lt;div id=""topics""&gt;&lt;button class=""topic"" onclick=""showResult('110')""&gt;製造本命桃花方位（單身）&lt;/button&gt;&lt;/div&gt;")</f>
        <v>&lt;div id="topics"&gt;&lt;button class="topic" onclick="showResult('110')"&gt;製造本命桃花方位（單身）&lt;/button&gt;&lt;/div&gt;</v>
      </c>
    </row>
    <row r="111" spans="1:1" ht="13" x14ac:dyDescent="0.15">
      <c r="A111" s="12" t="str">
        <f ca="1">IFERROR(__xludf.DUMMYFUNCTION("""COMPUTED_VALUE"""),"&lt;div id=""topics""&gt;&lt;button class=""topic"" onclick=""showResult('111')""&gt;增強客緣&lt;/button&gt;")</f>
        <v>&lt;div id="topics"&gt;&lt;button class="topic" onclick="showResult('111')"&gt;增強客緣&lt;/button&gt;</v>
      </c>
    </row>
    <row r="112" spans="1:1" ht="13" x14ac:dyDescent="0.15">
      <c r="A112" s="12" t="str">
        <f ca="1">IFERROR(__xludf.DUMMYFUNCTION("""COMPUTED_VALUE"""),"&lt;button class=""topic"" onclick=""showResult('112')""&gt;增強事業&lt;/button&gt;")</f>
        <v>&lt;button class="topic" onclick="showResult('112')"&gt;增強事業&lt;/button&gt;</v>
      </c>
    </row>
    <row r="113" spans="1:1" ht="13" x14ac:dyDescent="0.15">
      <c r="A113" s="12" t="str">
        <f ca="1">IFERROR(__xludf.DUMMYFUNCTION("""COMPUTED_VALUE"""),"&lt;button class=""topic"" onclick=""showResult('113')""&gt;增強財運&lt;/button&gt;&lt;/div&gt;")</f>
        <v>&lt;button class="topic" onclick="showResult('113')"&gt;增強財運&lt;/button&gt;&lt;/div&gt;</v>
      </c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3"/>
  <sheetViews>
    <sheetView workbookViewId="0"/>
  </sheetViews>
  <sheetFormatPr baseColWidth="10" defaultColWidth="12.6640625" defaultRowHeight="15.75" customHeight="1" x14ac:dyDescent="0.15"/>
  <cols>
    <col min="1" max="1" width="33.33203125" customWidth="1"/>
    <col min="2" max="2" width="92.6640625" customWidth="1"/>
  </cols>
  <sheetData>
    <row r="1" spans="1:26" ht="14" x14ac:dyDescent="0.15">
      <c r="A1" s="36" t="s">
        <v>824</v>
      </c>
      <c r="B1" s="37" t="s">
        <v>4</v>
      </c>
      <c r="C1" s="38" t="s">
        <v>5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26.25" customHeight="1" x14ac:dyDescent="0.15">
      <c r="A2" s="39" t="s">
        <v>825</v>
      </c>
      <c r="B2" s="40" t="s">
        <v>826</v>
      </c>
      <c r="C2" s="38" t="s">
        <v>8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26.25" customHeight="1" x14ac:dyDescent="0.15">
      <c r="A3" s="39" t="s">
        <v>827</v>
      </c>
      <c r="B3" s="40" t="s">
        <v>828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26.25" customHeight="1" x14ac:dyDescent="0.15">
      <c r="A4" s="39" t="s">
        <v>694</v>
      </c>
      <c r="B4" s="40" t="s">
        <v>829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26.25" customHeight="1" x14ac:dyDescent="0.15">
      <c r="A5" s="39" t="s">
        <v>830</v>
      </c>
      <c r="B5" s="40" t="s">
        <v>831</v>
      </c>
      <c r="C5" s="38" t="s">
        <v>11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26.25" customHeight="1" x14ac:dyDescent="0.15">
      <c r="A6" s="39" t="s">
        <v>832</v>
      </c>
      <c r="B6" s="40" t="s">
        <v>833</v>
      </c>
      <c r="C6" s="38" t="s">
        <v>8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26.25" customHeight="1" x14ac:dyDescent="0.15">
      <c r="A7" s="39" t="s">
        <v>834</v>
      </c>
      <c r="B7" s="40" t="s">
        <v>835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26.25" customHeight="1" x14ac:dyDescent="0.15">
      <c r="A8" s="39" t="s">
        <v>836</v>
      </c>
      <c r="B8" s="40" t="s">
        <v>837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26.25" customHeight="1" x14ac:dyDescent="0.15">
      <c r="A9" s="39" t="s">
        <v>838</v>
      </c>
      <c r="B9" s="40" t="s">
        <v>839</v>
      </c>
      <c r="C9" s="38" t="s">
        <v>11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26.25" customHeight="1" x14ac:dyDescent="0.15">
      <c r="A10" s="39" t="s">
        <v>840</v>
      </c>
      <c r="B10" s="40" t="s">
        <v>841</v>
      </c>
      <c r="C10" s="38" t="s">
        <v>8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26.25" customHeight="1" x14ac:dyDescent="0.15">
      <c r="A11" s="39" t="s">
        <v>842</v>
      </c>
      <c r="B11" s="40" t="s">
        <v>843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6.25" customHeight="1" x14ac:dyDescent="0.15">
      <c r="A12" s="39" t="s">
        <v>844</v>
      </c>
      <c r="B12" s="40" t="s">
        <v>845</v>
      </c>
      <c r="C12" s="38" t="s">
        <v>11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4" x14ac:dyDescent="0.15">
      <c r="A13" s="36" t="s">
        <v>846</v>
      </c>
      <c r="B13" s="37" t="s">
        <v>4</v>
      </c>
      <c r="C13" s="38" t="s">
        <v>5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26.25" customHeight="1" x14ac:dyDescent="0.15">
      <c r="A14" s="39" t="s">
        <v>825</v>
      </c>
      <c r="B14" s="40" t="s">
        <v>847</v>
      </c>
      <c r="C14" s="38" t="s">
        <v>8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26.25" customHeight="1" x14ac:dyDescent="0.15">
      <c r="A15" s="39" t="s">
        <v>827</v>
      </c>
      <c r="B15" s="40" t="s">
        <v>848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26.25" customHeight="1" x14ac:dyDescent="0.15">
      <c r="A16" s="39" t="s">
        <v>694</v>
      </c>
      <c r="B16" s="40" t="s">
        <v>849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26.25" customHeight="1" x14ac:dyDescent="0.15">
      <c r="A17" s="39" t="s">
        <v>830</v>
      </c>
      <c r="B17" s="40" t="s">
        <v>850</v>
      </c>
      <c r="C17" s="38" t="s">
        <v>11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26.25" customHeight="1" x14ac:dyDescent="0.15">
      <c r="A18" s="39" t="s">
        <v>832</v>
      </c>
      <c r="B18" s="40" t="s">
        <v>851</v>
      </c>
      <c r="C18" s="38" t="s">
        <v>8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26.25" customHeight="1" x14ac:dyDescent="0.15">
      <c r="A19" s="39" t="s">
        <v>834</v>
      </c>
      <c r="B19" s="40" t="s">
        <v>852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26.25" customHeight="1" x14ac:dyDescent="0.15">
      <c r="A20" s="39" t="s">
        <v>836</v>
      </c>
      <c r="B20" s="40" t="s">
        <v>853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26.25" customHeight="1" x14ac:dyDescent="0.15">
      <c r="A21" s="39" t="s">
        <v>838</v>
      </c>
      <c r="B21" s="40" t="s">
        <v>854</v>
      </c>
      <c r="C21" s="38" t="s">
        <v>11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26.25" customHeight="1" x14ac:dyDescent="0.15">
      <c r="A22" s="39" t="s">
        <v>840</v>
      </c>
      <c r="B22" s="40" t="s">
        <v>855</v>
      </c>
      <c r="C22" s="38" t="s">
        <v>8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26.25" customHeight="1" x14ac:dyDescent="0.15">
      <c r="A23" s="39" t="s">
        <v>842</v>
      </c>
      <c r="B23" s="40" t="s">
        <v>856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26.25" customHeight="1" x14ac:dyDescent="0.15">
      <c r="A24" s="39" t="s">
        <v>844</v>
      </c>
      <c r="B24" s="40" t="s">
        <v>857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26.25" customHeight="1" x14ac:dyDescent="0.15">
      <c r="A25" s="39" t="s">
        <v>858</v>
      </c>
      <c r="B25" s="40" t="s">
        <v>859</v>
      </c>
      <c r="C25" s="38" t="s">
        <v>11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4" x14ac:dyDescent="0.15">
      <c r="A26" s="36" t="s">
        <v>860</v>
      </c>
      <c r="B26" s="37" t="s">
        <v>4</v>
      </c>
      <c r="C26" s="38" t="s">
        <v>5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6.25" customHeight="1" x14ac:dyDescent="0.15">
      <c r="A27" s="39" t="s">
        <v>861</v>
      </c>
      <c r="B27" s="40" t="s">
        <v>862</v>
      </c>
      <c r="C27" s="38" t="s">
        <v>8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26.25" customHeight="1" x14ac:dyDescent="0.15">
      <c r="A28" s="39" t="s">
        <v>863</v>
      </c>
      <c r="B28" s="40" t="s">
        <v>864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26.25" customHeight="1" x14ac:dyDescent="0.15">
      <c r="A29" s="39" t="s">
        <v>865</v>
      </c>
      <c r="B29" s="40" t="s">
        <v>866</v>
      </c>
      <c r="C29" s="38" t="s">
        <v>11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26.25" customHeight="1" x14ac:dyDescent="0.15">
      <c r="A30" s="39" t="s">
        <v>867</v>
      </c>
      <c r="B30" s="40" t="s">
        <v>868</v>
      </c>
      <c r="C30" s="38" t="s">
        <v>8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26.25" customHeight="1" x14ac:dyDescent="0.15">
      <c r="A31" s="39" t="s">
        <v>869</v>
      </c>
      <c r="B31" s="40" t="s">
        <v>870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26.25" customHeight="1" x14ac:dyDescent="0.15">
      <c r="A32" s="39" t="s">
        <v>871</v>
      </c>
      <c r="B32" s="40" t="s">
        <v>872</v>
      </c>
      <c r="C32" s="38" t="s">
        <v>11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4" x14ac:dyDescent="0.15">
      <c r="A33" s="36" t="s">
        <v>873</v>
      </c>
      <c r="B33" s="37" t="s">
        <v>4</v>
      </c>
      <c r="C33" s="38" t="s">
        <v>5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26.25" customHeight="1" x14ac:dyDescent="0.15">
      <c r="A34" s="39" t="s">
        <v>874</v>
      </c>
      <c r="B34" s="40" t="s">
        <v>875</v>
      </c>
      <c r="C34" s="38" t="s">
        <v>8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26.25" customHeight="1" x14ac:dyDescent="0.15">
      <c r="A35" s="39" t="s">
        <v>876</v>
      </c>
      <c r="B35" s="40" t="s">
        <v>877</v>
      </c>
      <c r="C35" s="38" t="s">
        <v>11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26.25" customHeight="1" x14ac:dyDescent="0.15">
      <c r="A36" s="39" t="s">
        <v>878</v>
      </c>
      <c r="B36" s="40" t="s">
        <v>879</v>
      </c>
      <c r="C36" s="38" t="s">
        <v>8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26.25" customHeight="1" x14ac:dyDescent="0.15">
      <c r="A37" s="39" t="s">
        <v>880</v>
      </c>
      <c r="B37" s="40" t="s">
        <v>881</v>
      </c>
      <c r="C37" s="38" t="s">
        <v>11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4" x14ac:dyDescent="0.15">
      <c r="A38" s="36" t="s">
        <v>882</v>
      </c>
      <c r="B38" s="37" t="s">
        <v>4</v>
      </c>
      <c r="C38" s="38" t="s">
        <v>5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26.25" customHeight="1" x14ac:dyDescent="0.15">
      <c r="A39" s="39" t="s">
        <v>460</v>
      </c>
      <c r="B39" s="40" t="s">
        <v>883</v>
      </c>
      <c r="C39" s="38" t="s">
        <v>8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26.25" customHeight="1" x14ac:dyDescent="0.15">
      <c r="A40" s="39" t="s">
        <v>884</v>
      </c>
      <c r="B40" s="40" t="s">
        <v>885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26.25" customHeight="1" x14ac:dyDescent="0.15">
      <c r="A41" s="39" t="s">
        <v>886</v>
      </c>
      <c r="B41" s="40" t="s">
        <v>887</v>
      </c>
      <c r="C41" s="38" t="s">
        <v>11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26.25" customHeight="1" x14ac:dyDescent="0.15">
      <c r="A42" s="39" t="s">
        <v>888</v>
      </c>
      <c r="B42" s="40" t="s">
        <v>889</v>
      </c>
      <c r="C42" s="38" t="s">
        <v>8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26.25" customHeight="1" x14ac:dyDescent="0.15">
      <c r="A43" s="39" t="s">
        <v>890</v>
      </c>
      <c r="B43" s="40" t="s">
        <v>891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26.25" customHeight="1" x14ac:dyDescent="0.15">
      <c r="A44" s="39" t="s">
        <v>892</v>
      </c>
      <c r="B44" s="40" t="s">
        <v>893</v>
      </c>
      <c r="C44" s="38" t="s">
        <v>11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26.25" customHeight="1" x14ac:dyDescent="0.15">
      <c r="A45" s="39" t="s">
        <v>894</v>
      </c>
      <c r="B45" s="40" t="s">
        <v>895</v>
      </c>
      <c r="C45" s="38" t="s">
        <v>8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26.25" customHeight="1" x14ac:dyDescent="0.15">
      <c r="A46" s="39" t="s">
        <v>896</v>
      </c>
      <c r="B46" s="40" t="s">
        <v>897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26.25" customHeight="1" x14ac:dyDescent="0.15">
      <c r="A47" s="39" t="s">
        <v>898</v>
      </c>
      <c r="B47" s="40" t="s">
        <v>899</v>
      </c>
      <c r="C47" s="38" t="s">
        <v>11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26.25" customHeight="1" x14ac:dyDescent="0.15">
      <c r="A48" s="39" t="s">
        <v>900</v>
      </c>
      <c r="B48" s="40" t="s">
        <v>901</v>
      </c>
      <c r="C48" s="38" t="s">
        <v>8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26.25" customHeight="1" x14ac:dyDescent="0.15">
      <c r="A49" s="39" t="s">
        <v>902</v>
      </c>
      <c r="B49" s="40" t="s">
        <v>903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26.25" customHeight="1" x14ac:dyDescent="0.15">
      <c r="A50" s="39" t="s">
        <v>904</v>
      </c>
      <c r="B50" s="40" t="s">
        <v>905</v>
      </c>
      <c r="C50" s="38" t="s">
        <v>11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26.25" customHeight="1" x14ac:dyDescent="0.15">
      <c r="A51" s="39" t="s">
        <v>906</v>
      </c>
      <c r="B51" s="40" t="s">
        <v>907</v>
      </c>
      <c r="C51" s="38" t="s">
        <v>8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26.25" customHeight="1" x14ac:dyDescent="0.15">
      <c r="A52" s="39" t="s">
        <v>908</v>
      </c>
      <c r="B52" s="40" t="s">
        <v>909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26.25" customHeight="1" x14ac:dyDescent="0.15">
      <c r="A53" s="39" t="s">
        <v>910</v>
      </c>
      <c r="B53" s="40" t="s">
        <v>911</v>
      </c>
      <c r="C53" s="38" t="s">
        <v>11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4" x14ac:dyDescent="0.15">
      <c r="A54" s="36" t="s">
        <v>912</v>
      </c>
      <c r="B54" s="37" t="s">
        <v>4</v>
      </c>
      <c r="C54" s="38" t="s">
        <v>5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26.25" customHeight="1" x14ac:dyDescent="0.15">
      <c r="A55" s="39" t="s">
        <v>460</v>
      </c>
      <c r="B55" s="40" t="s">
        <v>913</v>
      </c>
      <c r="C55" s="38" t="s">
        <v>8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26.25" customHeight="1" x14ac:dyDescent="0.15">
      <c r="A56" s="39" t="s">
        <v>884</v>
      </c>
      <c r="B56" s="40" t="s">
        <v>914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26.25" customHeight="1" x14ac:dyDescent="0.15">
      <c r="A57" s="39" t="s">
        <v>886</v>
      </c>
      <c r="B57" s="40" t="s">
        <v>915</v>
      </c>
      <c r="C57" s="38" t="s">
        <v>11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26.25" customHeight="1" x14ac:dyDescent="0.15">
      <c r="A58" s="39" t="s">
        <v>888</v>
      </c>
      <c r="B58" s="40" t="s">
        <v>916</v>
      </c>
      <c r="C58" s="38" t="s">
        <v>8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26.25" customHeight="1" x14ac:dyDescent="0.15">
      <c r="A59" s="39" t="s">
        <v>890</v>
      </c>
      <c r="B59" s="40" t="s">
        <v>917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26.25" customHeight="1" x14ac:dyDescent="0.15">
      <c r="A60" s="39" t="s">
        <v>892</v>
      </c>
      <c r="B60" s="40" t="s">
        <v>918</v>
      </c>
      <c r="C60" s="38" t="s">
        <v>11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26.25" customHeight="1" x14ac:dyDescent="0.15">
      <c r="A61" s="39" t="s">
        <v>894</v>
      </c>
      <c r="B61" s="40" t="s">
        <v>919</v>
      </c>
      <c r="C61" s="38" t="s">
        <v>8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26.25" customHeight="1" x14ac:dyDescent="0.15">
      <c r="A62" s="39" t="s">
        <v>896</v>
      </c>
      <c r="B62" s="40" t="s">
        <v>920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26.25" customHeight="1" x14ac:dyDescent="0.15">
      <c r="A63" s="39" t="s">
        <v>898</v>
      </c>
      <c r="B63" s="40" t="s">
        <v>921</v>
      </c>
      <c r="C63" s="38" t="s">
        <v>11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26.25" customHeight="1" x14ac:dyDescent="0.15">
      <c r="A64" s="39" t="s">
        <v>900</v>
      </c>
      <c r="B64" s="40" t="s">
        <v>922</v>
      </c>
      <c r="C64" s="38" t="s">
        <v>8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26.25" customHeight="1" x14ac:dyDescent="0.15">
      <c r="A65" s="39" t="s">
        <v>902</v>
      </c>
      <c r="B65" s="40" t="s">
        <v>923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26.25" customHeight="1" x14ac:dyDescent="0.15">
      <c r="A66" s="39" t="s">
        <v>904</v>
      </c>
      <c r="B66" s="40" t="s">
        <v>924</v>
      </c>
      <c r="C66" s="38" t="s">
        <v>11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26.25" customHeight="1" x14ac:dyDescent="0.15">
      <c r="A67" s="39" t="s">
        <v>906</v>
      </c>
      <c r="B67" s="40" t="s">
        <v>925</v>
      </c>
      <c r="C67" s="38" t="s">
        <v>8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26.25" customHeight="1" x14ac:dyDescent="0.15">
      <c r="A68" s="39" t="s">
        <v>908</v>
      </c>
      <c r="B68" s="40" t="s">
        <v>926</v>
      </c>
      <c r="C68" s="38" t="s">
        <v>11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4" x14ac:dyDescent="0.15">
      <c r="A69" s="36" t="s">
        <v>927</v>
      </c>
      <c r="B69" s="37" t="s">
        <v>4</v>
      </c>
      <c r="C69" s="38" t="s">
        <v>5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3" x14ac:dyDescent="0.15">
      <c r="A70" s="41" t="s">
        <v>928</v>
      </c>
      <c r="B70" s="41" t="s">
        <v>927</v>
      </c>
      <c r="C70" s="38" t="s">
        <v>5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3" x14ac:dyDescent="0.15">
      <c r="A71" s="42"/>
      <c r="B71" s="39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4" x14ac:dyDescent="0.15">
      <c r="A72" s="36" t="s">
        <v>929</v>
      </c>
      <c r="B72" s="37" t="s">
        <v>4</v>
      </c>
      <c r="C72" s="38" t="s">
        <v>5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3" x14ac:dyDescent="0.15">
      <c r="A73" s="41" t="s">
        <v>930</v>
      </c>
      <c r="B73" s="41" t="s">
        <v>929</v>
      </c>
      <c r="C73" s="38" t="s">
        <v>5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3" x14ac:dyDescent="0.15">
      <c r="A74" s="41"/>
      <c r="B74" s="41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4" x14ac:dyDescent="0.15">
      <c r="A75" s="36" t="s">
        <v>931</v>
      </c>
      <c r="B75" s="37" t="s">
        <v>4</v>
      </c>
      <c r="C75" s="38" t="s">
        <v>5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3" x14ac:dyDescent="0.15">
      <c r="A76" s="43" t="s">
        <v>931</v>
      </c>
      <c r="B76" s="38" t="s">
        <v>931</v>
      </c>
      <c r="C76" s="38" t="s">
        <v>5</v>
      </c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3" x14ac:dyDescent="0.15">
      <c r="A77" s="42"/>
      <c r="B77" s="3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4" x14ac:dyDescent="0.15">
      <c r="A78" s="36" t="s">
        <v>932</v>
      </c>
      <c r="B78" s="37" t="s">
        <v>4</v>
      </c>
      <c r="C78" s="38" t="s">
        <v>5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26.25" customHeight="1" x14ac:dyDescent="0.15">
      <c r="A79" s="39" t="s">
        <v>460</v>
      </c>
      <c r="B79" s="40" t="s">
        <v>933</v>
      </c>
      <c r="C79" s="38" t="s">
        <v>8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26.25" customHeight="1" x14ac:dyDescent="0.15">
      <c r="A80" s="39" t="s">
        <v>884</v>
      </c>
      <c r="B80" s="40" t="s">
        <v>933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26.25" customHeight="1" x14ac:dyDescent="0.15">
      <c r="A81" s="39" t="s">
        <v>886</v>
      </c>
      <c r="B81" s="40" t="s">
        <v>933</v>
      </c>
      <c r="C81" s="38" t="s">
        <v>11</v>
      </c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26.25" customHeight="1" x14ac:dyDescent="0.15">
      <c r="A82" s="39" t="s">
        <v>888</v>
      </c>
      <c r="B82" s="40" t="s">
        <v>933</v>
      </c>
      <c r="C82" s="38" t="s">
        <v>8</v>
      </c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26.25" customHeight="1" x14ac:dyDescent="0.15">
      <c r="A83" s="39" t="s">
        <v>890</v>
      </c>
      <c r="B83" s="40" t="s">
        <v>934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26.25" customHeight="1" x14ac:dyDescent="0.15">
      <c r="A84" s="39" t="s">
        <v>892</v>
      </c>
      <c r="B84" s="40" t="s">
        <v>934</v>
      </c>
      <c r="C84" s="38" t="s">
        <v>11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26.25" customHeight="1" x14ac:dyDescent="0.15">
      <c r="A85" s="39" t="s">
        <v>894</v>
      </c>
      <c r="B85" s="40" t="s">
        <v>934</v>
      </c>
      <c r="C85" s="38" t="s">
        <v>8</v>
      </c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26.25" customHeight="1" x14ac:dyDescent="0.15">
      <c r="A86" s="39" t="s">
        <v>896</v>
      </c>
      <c r="B86" s="40" t="s">
        <v>934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26.25" customHeight="1" x14ac:dyDescent="0.15">
      <c r="A87" s="39" t="s">
        <v>898</v>
      </c>
      <c r="B87" s="40" t="s">
        <v>935</v>
      </c>
      <c r="C87" s="38" t="s">
        <v>11</v>
      </c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26.25" customHeight="1" x14ac:dyDescent="0.15">
      <c r="A88" s="39" t="s">
        <v>900</v>
      </c>
      <c r="B88" s="40" t="s">
        <v>935</v>
      </c>
      <c r="C88" s="38" t="s">
        <v>8</v>
      </c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26.25" customHeight="1" x14ac:dyDescent="0.15">
      <c r="A89" s="39" t="s">
        <v>902</v>
      </c>
      <c r="B89" s="40" t="s">
        <v>935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26.25" customHeight="1" x14ac:dyDescent="0.15">
      <c r="A90" s="39" t="s">
        <v>904</v>
      </c>
      <c r="B90" s="40" t="s">
        <v>936</v>
      </c>
      <c r="C90" s="38" t="s">
        <v>11</v>
      </c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26.25" customHeight="1" x14ac:dyDescent="0.15">
      <c r="A91" s="39" t="s">
        <v>906</v>
      </c>
      <c r="B91" s="40" t="s">
        <v>936</v>
      </c>
      <c r="C91" s="38" t="s">
        <v>8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26.25" customHeight="1" x14ac:dyDescent="0.15">
      <c r="A92" s="39" t="s">
        <v>908</v>
      </c>
      <c r="B92" s="40" t="s">
        <v>936</v>
      </c>
      <c r="C92" s="38" t="s">
        <v>11</v>
      </c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4" x14ac:dyDescent="0.15">
      <c r="A93" s="44" t="s">
        <v>937</v>
      </c>
      <c r="B93" s="45" t="s">
        <v>4</v>
      </c>
      <c r="C93" s="38" t="s">
        <v>5</v>
      </c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3" x14ac:dyDescent="0.15">
      <c r="A94" s="40" t="s">
        <v>460</v>
      </c>
      <c r="B94" s="39" t="s">
        <v>938</v>
      </c>
      <c r="C94" s="38" t="s">
        <v>8</v>
      </c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3" x14ac:dyDescent="0.15">
      <c r="A95" s="38" t="s">
        <v>884</v>
      </c>
      <c r="B95" s="38" t="s">
        <v>939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3" x14ac:dyDescent="0.15">
      <c r="A96" s="38" t="s">
        <v>886</v>
      </c>
      <c r="B96" s="38" t="s">
        <v>940</v>
      </c>
      <c r="C96" s="38" t="s">
        <v>11</v>
      </c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3" x14ac:dyDescent="0.15">
      <c r="A97" s="38" t="s">
        <v>888</v>
      </c>
      <c r="B97" s="38" t="s">
        <v>941</v>
      </c>
      <c r="C97" s="38" t="s">
        <v>8</v>
      </c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3" x14ac:dyDescent="0.15">
      <c r="A98" s="40" t="s">
        <v>890</v>
      </c>
      <c r="B98" s="38" t="s">
        <v>942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3" x14ac:dyDescent="0.15">
      <c r="A99" s="38" t="s">
        <v>892</v>
      </c>
      <c r="B99" s="38" t="s">
        <v>943</v>
      </c>
      <c r="C99" s="38" t="s">
        <v>11</v>
      </c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3" x14ac:dyDescent="0.15">
      <c r="A100" s="38" t="s">
        <v>894</v>
      </c>
      <c r="B100" s="38" t="s">
        <v>944</v>
      </c>
      <c r="C100" s="38" t="s">
        <v>8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3" x14ac:dyDescent="0.15">
      <c r="A101" s="38" t="s">
        <v>896</v>
      </c>
      <c r="B101" s="38" t="s">
        <v>945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3" x14ac:dyDescent="0.15">
      <c r="A102" s="40" t="s">
        <v>898</v>
      </c>
      <c r="B102" s="38" t="s">
        <v>946</v>
      </c>
      <c r="C102" s="38" t="s">
        <v>11</v>
      </c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3" x14ac:dyDescent="0.15">
      <c r="A103" s="38" t="s">
        <v>900</v>
      </c>
      <c r="B103" s="38" t="s">
        <v>947</v>
      </c>
      <c r="C103" s="38" t="s">
        <v>8</v>
      </c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3" x14ac:dyDescent="0.15">
      <c r="A104" s="38" t="s">
        <v>902</v>
      </c>
      <c r="B104" s="38" t="s">
        <v>948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3" x14ac:dyDescent="0.15">
      <c r="A105" s="38" t="s">
        <v>904</v>
      </c>
      <c r="B105" s="38" t="s">
        <v>949</v>
      </c>
      <c r="C105" s="38" t="s">
        <v>11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3" x14ac:dyDescent="0.15">
      <c r="A106" s="38" t="s">
        <v>906</v>
      </c>
      <c r="B106" s="38" t="s">
        <v>950</v>
      </c>
      <c r="C106" s="38" t="s">
        <v>8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3" x14ac:dyDescent="0.15">
      <c r="A107" s="38" t="s">
        <v>908</v>
      </c>
      <c r="B107" s="38" t="s">
        <v>951</v>
      </c>
      <c r="C107" s="38" t="s">
        <v>11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4" x14ac:dyDescent="0.15">
      <c r="A108" s="44" t="s">
        <v>952</v>
      </c>
      <c r="B108" s="45" t="s">
        <v>4</v>
      </c>
      <c r="C108" s="38" t="s">
        <v>5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3" x14ac:dyDescent="0.15">
      <c r="A109" s="38" t="s">
        <v>953</v>
      </c>
      <c r="B109" s="38" t="s">
        <v>954</v>
      </c>
      <c r="C109" s="38" t="s">
        <v>5</v>
      </c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3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3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3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3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3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3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3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3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3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3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3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3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3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3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3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3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3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3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3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3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3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3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3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3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3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3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3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3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3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3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3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3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3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3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3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3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3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3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3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3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3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3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3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3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3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3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3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3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3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3" x14ac:dyDescent="0.1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3" x14ac:dyDescent="0.1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3" x14ac:dyDescent="0.1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3" x14ac:dyDescent="0.1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3" x14ac:dyDescent="0.1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3" x14ac:dyDescent="0.1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3" x14ac:dyDescent="0.1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3" x14ac:dyDescent="0.1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3" x14ac:dyDescent="0.1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3" x14ac:dyDescent="0.1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3" x14ac:dyDescent="0.1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3" x14ac:dyDescent="0.1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3" x14ac:dyDescent="0.1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3" x14ac:dyDescent="0.1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3" x14ac:dyDescent="0.1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3" x14ac:dyDescent="0.1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3" x14ac:dyDescent="0.1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3" x14ac:dyDescent="0.1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3" x14ac:dyDescent="0.1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3" x14ac:dyDescent="0.1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3" x14ac:dyDescent="0.1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3" x14ac:dyDescent="0.1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3" x14ac:dyDescent="0.1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3" x14ac:dyDescent="0.1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3" x14ac:dyDescent="0.1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3" x14ac:dyDescent="0.1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3" x14ac:dyDescent="0.1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3" x14ac:dyDescent="0.1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3" x14ac:dyDescent="0.1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3" x14ac:dyDescent="0.1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3" x14ac:dyDescent="0.1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3" x14ac:dyDescent="0.1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3" x14ac:dyDescent="0.1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3" x14ac:dyDescent="0.1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3" x14ac:dyDescent="0.1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3" x14ac:dyDescent="0.1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3" x14ac:dyDescent="0.1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3" x14ac:dyDescent="0.1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3" x14ac:dyDescent="0.1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3" x14ac:dyDescent="0.1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3" x14ac:dyDescent="0.1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3" x14ac:dyDescent="0.1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3" x14ac:dyDescent="0.1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3" x14ac:dyDescent="0.1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3" x14ac:dyDescent="0.1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3" x14ac:dyDescent="0.1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3" x14ac:dyDescent="0.1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3" x14ac:dyDescent="0.1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3" x14ac:dyDescent="0.1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3" x14ac:dyDescent="0.1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3" x14ac:dyDescent="0.1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3" x14ac:dyDescent="0.1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3" x14ac:dyDescent="0.1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3" x14ac:dyDescent="0.1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3" x14ac:dyDescent="0.1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3" x14ac:dyDescent="0.1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3" x14ac:dyDescent="0.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3" x14ac:dyDescent="0.1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3" x14ac:dyDescent="0.1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3" x14ac:dyDescent="0.1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3" x14ac:dyDescent="0.1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3" x14ac:dyDescent="0.1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3" x14ac:dyDescent="0.1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3" x14ac:dyDescent="0.1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3" x14ac:dyDescent="0.1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3" x14ac:dyDescent="0.1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3" x14ac:dyDescent="0.1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3" x14ac:dyDescent="0.1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3" x14ac:dyDescent="0.1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3" x14ac:dyDescent="0.1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3" x14ac:dyDescent="0.1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3" x14ac:dyDescent="0.1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3" x14ac:dyDescent="0.1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3" x14ac:dyDescent="0.1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3" x14ac:dyDescent="0.1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3" x14ac:dyDescent="0.1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3" x14ac:dyDescent="0.1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3" x14ac:dyDescent="0.1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3" x14ac:dyDescent="0.1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3" x14ac:dyDescent="0.1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3" x14ac:dyDescent="0.1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3" x14ac:dyDescent="0.1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3" x14ac:dyDescent="0.1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3" x14ac:dyDescent="0.1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3" x14ac:dyDescent="0.1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3" x14ac:dyDescent="0.1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3" x14ac:dyDescent="0.1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3" x14ac:dyDescent="0.1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3" x14ac:dyDescent="0.1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3" x14ac:dyDescent="0.1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3" x14ac:dyDescent="0.1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3" x14ac:dyDescent="0.1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3" x14ac:dyDescent="0.1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3" x14ac:dyDescent="0.1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3" x14ac:dyDescent="0.1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3" x14ac:dyDescent="0.1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3" x14ac:dyDescent="0.1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3" x14ac:dyDescent="0.1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3" x14ac:dyDescent="0.1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3" x14ac:dyDescent="0.1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3" x14ac:dyDescent="0.1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3" x14ac:dyDescent="0.1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3" x14ac:dyDescent="0.1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3" x14ac:dyDescent="0.1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3" x14ac:dyDescent="0.1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3" x14ac:dyDescent="0.1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3" x14ac:dyDescent="0.1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3" x14ac:dyDescent="0.1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3" x14ac:dyDescent="0.1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3" x14ac:dyDescent="0.1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3" x14ac:dyDescent="0.1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3" x14ac:dyDescent="0.1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3" x14ac:dyDescent="0.1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3" x14ac:dyDescent="0.1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3" x14ac:dyDescent="0.1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3" x14ac:dyDescent="0.1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3" x14ac:dyDescent="0.1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3" x14ac:dyDescent="0.1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3" x14ac:dyDescent="0.1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3" x14ac:dyDescent="0.1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3" x14ac:dyDescent="0.1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3" x14ac:dyDescent="0.1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3" x14ac:dyDescent="0.1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3" x14ac:dyDescent="0.1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3" x14ac:dyDescent="0.1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3" x14ac:dyDescent="0.1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3" x14ac:dyDescent="0.1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3" x14ac:dyDescent="0.1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3" x14ac:dyDescent="0.1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3" x14ac:dyDescent="0.1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3" x14ac:dyDescent="0.1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3" x14ac:dyDescent="0.1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3" x14ac:dyDescent="0.1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3" x14ac:dyDescent="0.1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3" x14ac:dyDescent="0.1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3" x14ac:dyDescent="0.1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3" x14ac:dyDescent="0.1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3" x14ac:dyDescent="0.1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3" x14ac:dyDescent="0.1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3" x14ac:dyDescent="0.1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3" x14ac:dyDescent="0.1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3" x14ac:dyDescent="0.1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3" x14ac:dyDescent="0.1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3" x14ac:dyDescent="0.1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3" x14ac:dyDescent="0.1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3" x14ac:dyDescent="0.1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3" x14ac:dyDescent="0.1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3" x14ac:dyDescent="0.1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3" x14ac:dyDescent="0.1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3" x14ac:dyDescent="0.1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3" x14ac:dyDescent="0.1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3" x14ac:dyDescent="0.1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3" x14ac:dyDescent="0.1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3" x14ac:dyDescent="0.1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3" x14ac:dyDescent="0.1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3" x14ac:dyDescent="0.1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3" x14ac:dyDescent="0.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3" x14ac:dyDescent="0.1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3" x14ac:dyDescent="0.1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3" x14ac:dyDescent="0.1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3" x14ac:dyDescent="0.1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3" x14ac:dyDescent="0.1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3" x14ac:dyDescent="0.1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3" x14ac:dyDescent="0.1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3" x14ac:dyDescent="0.1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3" x14ac:dyDescent="0.1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3" x14ac:dyDescent="0.1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3" x14ac:dyDescent="0.1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3" x14ac:dyDescent="0.1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3" x14ac:dyDescent="0.1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3" x14ac:dyDescent="0.1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3" x14ac:dyDescent="0.1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3" x14ac:dyDescent="0.1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3" x14ac:dyDescent="0.1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3" x14ac:dyDescent="0.1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3" x14ac:dyDescent="0.1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3" x14ac:dyDescent="0.1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3" x14ac:dyDescent="0.1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3" x14ac:dyDescent="0.1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3" x14ac:dyDescent="0.1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3" x14ac:dyDescent="0.1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3" x14ac:dyDescent="0.1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3" x14ac:dyDescent="0.1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3" x14ac:dyDescent="0.1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3" x14ac:dyDescent="0.1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3" x14ac:dyDescent="0.1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3" x14ac:dyDescent="0.1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3" x14ac:dyDescent="0.1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3" x14ac:dyDescent="0.1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3" x14ac:dyDescent="0.1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3" x14ac:dyDescent="0.1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3" x14ac:dyDescent="0.1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3" x14ac:dyDescent="0.1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3" x14ac:dyDescent="0.1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3" x14ac:dyDescent="0.1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3" x14ac:dyDescent="0.1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3" x14ac:dyDescent="0.1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3" x14ac:dyDescent="0.1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3" x14ac:dyDescent="0.1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3" x14ac:dyDescent="0.1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3" x14ac:dyDescent="0.1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3" x14ac:dyDescent="0.1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3" x14ac:dyDescent="0.1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3" x14ac:dyDescent="0.1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3" x14ac:dyDescent="0.1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3" x14ac:dyDescent="0.1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3" x14ac:dyDescent="0.1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3" x14ac:dyDescent="0.1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3" x14ac:dyDescent="0.1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3" x14ac:dyDescent="0.1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3" x14ac:dyDescent="0.1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3" x14ac:dyDescent="0.1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3" x14ac:dyDescent="0.1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3" x14ac:dyDescent="0.1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3" x14ac:dyDescent="0.1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3" x14ac:dyDescent="0.1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3" x14ac:dyDescent="0.1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3" x14ac:dyDescent="0.1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3" x14ac:dyDescent="0.1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3" x14ac:dyDescent="0.1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3" x14ac:dyDescent="0.1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3" x14ac:dyDescent="0.1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3" x14ac:dyDescent="0.1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3" x14ac:dyDescent="0.1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3" x14ac:dyDescent="0.1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3" x14ac:dyDescent="0.1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3" x14ac:dyDescent="0.1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3" x14ac:dyDescent="0.1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3" x14ac:dyDescent="0.1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3" x14ac:dyDescent="0.1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3" x14ac:dyDescent="0.1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3" x14ac:dyDescent="0.1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3" x14ac:dyDescent="0.1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3" x14ac:dyDescent="0.1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3" x14ac:dyDescent="0.1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3" x14ac:dyDescent="0.1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3" x14ac:dyDescent="0.1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3" x14ac:dyDescent="0.1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3" x14ac:dyDescent="0.1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3" x14ac:dyDescent="0.1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3" x14ac:dyDescent="0.1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3" x14ac:dyDescent="0.1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3" x14ac:dyDescent="0.1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3" x14ac:dyDescent="0.1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3" x14ac:dyDescent="0.1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3" x14ac:dyDescent="0.1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3" x14ac:dyDescent="0.1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3" x14ac:dyDescent="0.1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3" x14ac:dyDescent="0.1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3" x14ac:dyDescent="0.1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3" x14ac:dyDescent="0.1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3" x14ac:dyDescent="0.1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3" x14ac:dyDescent="0.1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3" x14ac:dyDescent="0.1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3" x14ac:dyDescent="0.1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3" x14ac:dyDescent="0.1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3" x14ac:dyDescent="0.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3" x14ac:dyDescent="0.1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3" x14ac:dyDescent="0.1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3" x14ac:dyDescent="0.1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3" x14ac:dyDescent="0.1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3" x14ac:dyDescent="0.1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3" x14ac:dyDescent="0.1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3" x14ac:dyDescent="0.1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3" x14ac:dyDescent="0.1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3" x14ac:dyDescent="0.1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3" x14ac:dyDescent="0.1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3" x14ac:dyDescent="0.1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3" x14ac:dyDescent="0.1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3" x14ac:dyDescent="0.1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3" x14ac:dyDescent="0.1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3" x14ac:dyDescent="0.1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3" x14ac:dyDescent="0.1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3" x14ac:dyDescent="0.1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3" x14ac:dyDescent="0.1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3" x14ac:dyDescent="0.1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3" x14ac:dyDescent="0.1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3" x14ac:dyDescent="0.1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3" x14ac:dyDescent="0.1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3" x14ac:dyDescent="0.1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3" x14ac:dyDescent="0.1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3" x14ac:dyDescent="0.1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3" x14ac:dyDescent="0.1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3" x14ac:dyDescent="0.1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3" x14ac:dyDescent="0.1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3" x14ac:dyDescent="0.1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3" x14ac:dyDescent="0.1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3" x14ac:dyDescent="0.1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3" x14ac:dyDescent="0.1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3" x14ac:dyDescent="0.1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3" x14ac:dyDescent="0.1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3" x14ac:dyDescent="0.1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3" x14ac:dyDescent="0.1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3" x14ac:dyDescent="0.1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3" x14ac:dyDescent="0.1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3" x14ac:dyDescent="0.1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3" x14ac:dyDescent="0.1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3" x14ac:dyDescent="0.1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3" x14ac:dyDescent="0.1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3" x14ac:dyDescent="0.1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3" x14ac:dyDescent="0.1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3" x14ac:dyDescent="0.1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3" x14ac:dyDescent="0.1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3" x14ac:dyDescent="0.1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3" x14ac:dyDescent="0.1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3" x14ac:dyDescent="0.1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3" x14ac:dyDescent="0.1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3" x14ac:dyDescent="0.1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3" x14ac:dyDescent="0.1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3" x14ac:dyDescent="0.1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3" x14ac:dyDescent="0.1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3" x14ac:dyDescent="0.1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3" x14ac:dyDescent="0.1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3" x14ac:dyDescent="0.1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3" x14ac:dyDescent="0.1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3" x14ac:dyDescent="0.1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3" x14ac:dyDescent="0.1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3" x14ac:dyDescent="0.1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3" x14ac:dyDescent="0.1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3" x14ac:dyDescent="0.1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3" x14ac:dyDescent="0.1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3" x14ac:dyDescent="0.1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3" x14ac:dyDescent="0.1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3" x14ac:dyDescent="0.1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3" x14ac:dyDescent="0.1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3" x14ac:dyDescent="0.1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3" x14ac:dyDescent="0.1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3" x14ac:dyDescent="0.1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3" x14ac:dyDescent="0.1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3" x14ac:dyDescent="0.1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3" x14ac:dyDescent="0.1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3" x14ac:dyDescent="0.1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3" x14ac:dyDescent="0.1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3" x14ac:dyDescent="0.1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3" x14ac:dyDescent="0.1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3" x14ac:dyDescent="0.1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3" x14ac:dyDescent="0.1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3" x14ac:dyDescent="0.1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3" x14ac:dyDescent="0.1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3" x14ac:dyDescent="0.1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3" x14ac:dyDescent="0.1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3" x14ac:dyDescent="0.1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3" x14ac:dyDescent="0.1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3" x14ac:dyDescent="0.1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3" x14ac:dyDescent="0.1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3" x14ac:dyDescent="0.1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3" x14ac:dyDescent="0.1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3" x14ac:dyDescent="0.1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3" x14ac:dyDescent="0.1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3" x14ac:dyDescent="0.1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3" x14ac:dyDescent="0.1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3" x14ac:dyDescent="0.1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3" x14ac:dyDescent="0.1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3" x14ac:dyDescent="0.1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3" x14ac:dyDescent="0.1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3" x14ac:dyDescent="0.1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3" x14ac:dyDescent="0.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3" x14ac:dyDescent="0.1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3" x14ac:dyDescent="0.1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3" x14ac:dyDescent="0.1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3" x14ac:dyDescent="0.1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3" x14ac:dyDescent="0.1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3" x14ac:dyDescent="0.1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3" x14ac:dyDescent="0.1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3" x14ac:dyDescent="0.1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3" x14ac:dyDescent="0.1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3" x14ac:dyDescent="0.1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3" x14ac:dyDescent="0.1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3" x14ac:dyDescent="0.1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3" x14ac:dyDescent="0.1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3" x14ac:dyDescent="0.1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3" x14ac:dyDescent="0.1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3" x14ac:dyDescent="0.1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3" x14ac:dyDescent="0.1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3" x14ac:dyDescent="0.1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3" x14ac:dyDescent="0.1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3" x14ac:dyDescent="0.1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3" x14ac:dyDescent="0.1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3" x14ac:dyDescent="0.1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3" x14ac:dyDescent="0.1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3" x14ac:dyDescent="0.1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3" x14ac:dyDescent="0.1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3" x14ac:dyDescent="0.1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3" x14ac:dyDescent="0.1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3" x14ac:dyDescent="0.1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3" x14ac:dyDescent="0.1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3" x14ac:dyDescent="0.1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3" x14ac:dyDescent="0.1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3" x14ac:dyDescent="0.1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3" x14ac:dyDescent="0.1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3" x14ac:dyDescent="0.1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3" x14ac:dyDescent="0.1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3" x14ac:dyDescent="0.1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3" x14ac:dyDescent="0.1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3" x14ac:dyDescent="0.1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3" x14ac:dyDescent="0.1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3" x14ac:dyDescent="0.1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3" x14ac:dyDescent="0.1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3" x14ac:dyDescent="0.1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3" x14ac:dyDescent="0.1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3" x14ac:dyDescent="0.1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3" x14ac:dyDescent="0.1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3" x14ac:dyDescent="0.1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3" x14ac:dyDescent="0.1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3" x14ac:dyDescent="0.1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3" x14ac:dyDescent="0.1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3" x14ac:dyDescent="0.1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3" x14ac:dyDescent="0.1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3" x14ac:dyDescent="0.1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3" x14ac:dyDescent="0.1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3" x14ac:dyDescent="0.1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3" x14ac:dyDescent="0.1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3" x14ac:dyDescent="0.1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3" x14ac:dyDescent="0.1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3" x14ac:dyDescent="0.1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3" x14ac:dyDescent="0.1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3" x14ac:dyDescent="0.1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3" x14ac:dyDescent="0.1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3" x14ac:dyDescent="0.1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3" x14ac:dyDescent="0.1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3" x14ac:dyDescent="0.1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3" x14ac:dyDescent="0.1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3" x14ac:dyDescent="0.1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3" x14ac:dyDescent="0.1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3" x14ac:dyDescent="0.1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3" x14ac:dyDescent="0.1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3" x14ac:dyDescent="0.1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3" x14ac:dyDescent="0.1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3" x14ac:dyDescent="0.1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3" x14ac:dyDescent="0.1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3" x14ac:dyDescent="0.1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3" x14ac:dyDescent="0.1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3" x14ac:dyDescent="0.1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3" x14ac:dyDescent="0.1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3" x14ac:dyDescent="0.1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3" x14ac:dyDescent="0.1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3" x14ac:dyDescent="0.1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3" x14ac:dyDescent="0.1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3" x14ac:dyDescent="0.1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3" x14ac:dyDescent="0.1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3" x14ac:dyDescent="0.1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3" x14ac:dyDescent="0.1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3" x14ac:dyDescent="0.1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3" x14ac:dyDescent="0.1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3" x14ac:dyDescent="0.1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3" x14ac:dyDescent="0.1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3" x14ac:dyDescent="0.1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3" x14ac:dyDescent="0.1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3" x14ac:dyDescent="0.1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3" x14ac:dyDescent="0.1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3" x14ac:dyDescent="0.1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3" x14ac:dyDescent="0.1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3" x14ac:dyDescent="0.1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3" x14ac:dyDescent="0.1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3" x14ac:dyDescent="0.1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3" x14ac:dyDescent="0.1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3" x14ac:dyDescent="0.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3" x14ac:dyDescent="0.1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3" x14ac:dyDescent="0.1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3" x14ac:dyDescent="0.1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3" x14ac:dyDescent="0.1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3" x14ac:dyDescent="0.1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3" x14ac:dyDescent="0.1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3" x14ac:dyDescent="0.1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3" x14ac:dyDescent="0.1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3" x14ac:dyDescent="0.1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3" x14ac:dyDescent="0.1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3" x14ac:dyDescent="0.1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3" x14ac:dyDescent="0.1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3" x14ac:dyDescent="0.1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3" x14ac:dyDescent="0.1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3" x14ac:dyDescent="0.1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3" x14ac:dyDescent="0.1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3" x14ac:dyDescent="0.1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3" x14ac:dyDescent="0.1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3" x14ac:dyDescent="0.1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3" x14ac:dyDescent="0.1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3" x14ac:dyDescent="0.1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3" x14ac:dyDescent="0.1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3" x14ac:dyDescent="0.1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3" x14ac:dyDescent="0.1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3" x14ac:dyDescent="0.1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3" x14ac:dyDescent="0.1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3" x14ac:dyDescent="0.1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3" x14ac:dyDescent="0.1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3" x14ac:dyDescent="0.1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3" x14ac:dyDescent="0.1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3" x14ac:dyDescent="0.1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3" x14ac:dyDescent="0.1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3" x14ac:dyDescent="0.1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3" x14ac:dyDescent="0.1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3" x14ac:dyDescent="0.1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3" x14ac:dyDescent="0.1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3" x14ac:dyDescent="0.1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3" x14ac:dyDescent="0.1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3" x14ac:dyDescent="0.1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3" x14ac:dyDescent="0.1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3" x14ac:dyDescent="0.1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3" x14ac:dyDescent="0.1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3" x14ac:dyDescent="0.1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3" x14ac:dyDescent="0.1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3" x14ac:dyDescent="0.1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3" x14ac:dyDescent="0.1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3" x14ac:dyDescent="0.1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3" x14ac:dyDescent="0.1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3" x14ac:dyDescent="0.1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3" x14ac:dyDescent="0.1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3" x14ac:dyDescent="0.1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3" x14ac:dyDescent="0.1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3" x14ac:dyDescent="0.1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3" x14ac:dyDescent="0.1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3" x14ac:dyDescent="0.1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3" x14ac:dyDescent="0.1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3" x14ac:dyDescent="0.1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3" x14ac:dyDescent="0.1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3" x14ac:dyDescent="0.1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3" x14ac:dyDescent="0.1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3" x14ac:dyDescent="0.1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3" x14ac:dyDescent="0.1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3" x14ac:dyDescent="0.1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3" x14ac:dyDescent="0.1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3" x14ac:dyDescent="0.1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3" x14ac:dyDescent="0.1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3" x14ac:dyDescent="0.1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3" x14ac:dyDescent="0.1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3" x14ac:dyDescent="0.1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3" x14ac:dyDescent="0.1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3" x14ac:dyDescent="0.1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3" x14ac:dyDescent="0.1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3" x14ac:dyDescent="0.1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3" x14ac:dyDescent="0.1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3" x14ac:dyDescent="0.1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3" x14ac:dyDescent="0.1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3" x14ac:dyDescent="0.1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3" x14ac:dyDescent="0.1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3" x14ac:dyDescent="0.1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3" x14ac:dyDescent="0.1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3" x14ac:dyDescent="0.1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3" x14ac:dyDescent="0.1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3" x14ac:dyDescent="0.1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3" x14ac:dyDescent="0.1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3" x14ac:dyDescent="0.1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3" x14ac:dyDescent="0.1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3" x14ac:dyDescent="0.1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3" x14ac:dyDescent="0.1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3" x14ac:dyDescent="0.1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3" x14ac:dyDescent="0.1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3" x14ac:dyDescent="0.1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3" x14ac:dyDescent="0.1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3" x14ac:dyDescent="0.1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3" x14ac:dyDescent="0.1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3" x14ac:dyDescent="0.1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3" x14ac:dyDescent="0.1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3" x14ac:dyDescent="0.1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3" x14ac:dyDescent="0.1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3" x14ac:dyDescent="0.1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3" x14ac:dyDescent="0.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3" x14ac:dyDescent="0.1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3" x14ac:dyDescent="0.1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3" x14ac:dyDescent="0.1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3" x14ac:dyDescent="0.1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3" x14ac:dyDescent="0.1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3" x14ac:dyDescent="0.1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3" x14ac:dyDescent="0.1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3" x14ac:dyDescent="0.1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3" x14ac:dyDescent="0.1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3" x14ac:dyDescent="0.1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3" x14ac:dyDescent="0.1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3" x14ac:dyDescent="0.1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3" x14ac:dyDescent="0.1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3" x14ac:dyDescent="0.1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3" x14ac:dyDescent="0.1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3" x14ac:dyDescent="0.1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3" x14ac:dyDescent="0.1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3" x14ac:dyDescent="0.1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3" x14ac:dyDescent="0.1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3" x14ac:dyDescent="0.1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3" x14ac:dyDescent="0.1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3" x14ac:dyDescent="0.1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3" x14ac:dyDescent="0.1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3" x14ac:dyDescent="0.1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3" x14ac:dyDescent="0.1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3" x14ac:dyDescent="0.1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3" x14ac:dyDescent="0.1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3" x14ac:dyDescent="0.1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3" x14ac:dyDescent="0.1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3" x14ac:dyDescent="0.1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3" x14ac:dyDescent="0.1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3" x14ac:dyDescent="0.1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3" x14ac:dyDescent="0.1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3" x14ac:dyDescent="0.1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3" x14ac:dyDescent="0.1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3" x14ac:dyDescent="0.1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3" x14ac:dyDescent="0.1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3" x14ac:dyDescent="0.1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3" x14ac:dyDescent="0.1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3" x14ac:dyDescent="0.1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3" x14ac:dyDescent="0.1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3" x14ac:dyDescent="0.1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3" x14ac:dyDescent="0.1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3" x14ac:dyDescent="0.1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3" x14ac:dyDescent="0.1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3" x14ac:dyDescent="0.1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3" x14ac:dyDescent="0.1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3" x14ac:dyDescent="0.1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3" x14ac:dyDescent="0.1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3" x14ac:dyDescent="0.1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3" x14ac:dyDescent="0.1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3" x14ac:dyDescent="0.1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3" x14ac:dyDescent="0.1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3" x14ac:dyDescent="0.1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3" x14ac:dyDescent="0.1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3" x14ac:dyDescent="0.1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3" x14ac:dyDescent="0.1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3" x14ac:dyDescent="0.1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3" x14ac:dyDescent="0.1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3" x14ac:dyDescent="0.1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3" x14ac:dyDescent="0.1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3" x14ac:dyDescent="0.1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3" x14ac:dyDescent="0.1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3" x14ac:dyDescent="0.1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3" x14ac:dyDescent="0.1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3" x14ac:dyDescent="0.1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3" x14ac:dyDescent="0.1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3" x14ac:dyDescent="0.1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3" x14ac:dyDescent="0.1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3" x14ac:dyDescent="0.1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3" x14ac:dyDescent="0.1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3" x14ac:dyDescent="0.1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3" x14ac:dyDescent="0.1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3" x14ac:dyDescent="0.1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3" x14ac:dyDescent="0.1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3" x14ac:dyDescent="0.1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3" x14ac:dyDescent="0.1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3" x14ac:dyDescent="0.1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3" x14ac:dyDescent="0.1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3" x14ac:dyDescent="0.1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3" x14ac:dyDescent="0.1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3" x14ac:dyDescent="0.1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3" x14ac:dyDescent="0.1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3" x14ac:dyDescent="0.1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3" x14ac:dyDescent="0.1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3" x14ac:dyDescent="0.1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3" x14ac:dyDescent="0.1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3" x14ac:dyDescent="0.1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3" x14ac:dyDescent="0.1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3" x14ac:dyDescent="0.1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3" x14ac:dyDescent="0.1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3" x14ac:dyDescent="0.1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3" x14ac:dyDescent="0.1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3" x14ac:dyDescent="0.1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3" x14ac:dyDescent="0.1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3" x14ac:dyDescent="0.1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3" x14ac:dyDescent="0.1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3" x14ac:dyDescent="0.1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3" x14ac:dyDescent="0.1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3" x14ac:dyDescent="0.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3" x14ac:dyDescent="0.1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3" x14ac:dyDescent="0.1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3" x14ac:dyDescent="0.1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3" x14ac:dyDescent="0.1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3" x14ac:dyDescent="0.1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3" x14ac:dyDescent="0.1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3" x14ac:dyDescent="0.1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3" x14ac:dyDescent="0.1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3" x14ac:dyDescent="0.1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3" x14ac:dyDescent="0.1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3" x14ac:dyDescent="0.1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3" x14ac:dyDescent="0.1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3" x14ac:dyDescent="0.1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3" x14ac:dyDescent="0.1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3" x14ac:dyDescent="0.1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3" x14ac:dyDescent="0.1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3" x14ac:dyDescent="0.1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3" x14ac:dyDescent="0.1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3" x14ac:dyDescent="0.1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3" x14ac:dyDescent="0.1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3" x14ac:dyDescent="0.1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3" x14ac:dyDescent="0.1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3" x14ac:dyDescent="0.1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3" x14ac:dyDescent="0.1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3" x14ac:dyDescent="0.1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3" x14ac:dyDescent="0.1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3" x14ac:dyDescent="0.1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3" x14ac:dyDescent="0.1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3" x14ac:dyDescent="0.1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3" x14ac:dyDescent="0.1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3" x14ac:dyDescent="0.1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3" x14ac:dyDescent="0.1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3" x14ac:dyDescent="0.1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3" x14ac:dyDescent="0.1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3" x14ac:dyDescent="0.1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3" x14ac:dyDescent="0.1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3" x14ac:dyDescent="0.1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3" x14ac:dyDescent="0.1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3" x14ac:dyDescent="0.1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3" x14ac:dyDescent="0.1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3" x14ac:dyDescent="0.1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3" x14ac:dyDescent="0.1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3" x14ac:dyDescent="0.1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3" x14ac:dyDescent="0.1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3" x14ac:dyDescent="0.1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3" x14ac:dyDescent="0.1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3" x14ac:dyDescent="0.1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3" x14ac:dyDescent="0.1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3" x14ac:dyDescent="0.1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3" x14ac:dyDescent="0.1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3" x14ac:dyDescent="0.1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3" x14ac:dyDescent="0.1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3" x14ac:dyDescent="0.1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3" x14ac:dyDescent="0.1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3" x14ac:dyDescent="0.1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3" x14ac:dyDescent="0.1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3" x14ac:dyDescent="0.1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3" x14ac:dyDescent="0.1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3" x14ac:dyDescent="0.1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3" x14ac:dyDescent="0.1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3" x14ac:dyDescent="0.1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3" x14ac:dyDescent="0.1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3" x14ac:dyDescent="0.1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3" x14ac:dyDescent="0.1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3" x14ac:dyDescent="0.1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3" x14ac:dyDescent="0.1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3" x14ac:dyDescent="0.1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3" x14ac:dyDescent="0.1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3" x14ac:dyDescent="0.1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3" x14ac:dyDescent="0.1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3" x14ac:dyDescent="0.1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3" x14ac:dyDescent="0.1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3" x14ac:dyDescent="0.1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3" x14ac:dyDescent="0.1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3" x14ac:dyDescent="0.1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3" x14ac:dyDescent="0.1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3" x14ac:dyDescent="0.1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3" x14ac:dyDescent="0.1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3" x14ac:dyDescent="0.1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3" x14ac:dyDescent="0.1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3" x14ac:dyDescent="0.1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3" x14ac:dyDescent="0.1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3" x14ac:dyDescent="0.1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3" x14ac:dyDescent="0.1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3" x14ac:dyDescent="0.1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3" x14ac:dyDescent="0.1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3" x14ac:dyDescent="0.1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3" x14ac:dyDescent="0.1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3" x14ac:dyDescent="0.1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3" x14ac:dyDescent="0.1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3" x14ac:dyDescent="0.1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3" x14ac:dyDescent="0.1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3" x14ac:dyDescent="0.1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3" x14ac:dyDescent="0.1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3" x14ac:dyDescent="0.1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3" x14ac:dyDescent="0.1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3" x14ac:dyDescent="0.1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3" x14ac:dyDescent="0.1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3" x14ac:dyDescent="0.1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3" x14ac:dyDescent="0.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3" x14ac:dyDescent="0.1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3" x14ac:dyDescent="0.1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3" x14ac:dyDescent="0.1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3" x14ac:dyDescent="0.1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3" x14ac:dyDescent="0.1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3" x14ac:dyDescent="0.1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3" x14ac:dyDescent="0.1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3" x14ac:dyDescent="0.1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3" x14ac:dyDescent="0.1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3" x14ac:dyDescent="0.1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3" x14ac:dyDescent="0.1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3" x14ac:dyDescent="0.1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3" x14ac:dyDescent="0.1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3" x14ac:dyDescent="0.1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3" x14ac:dyDescent="0.1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3" x14ac:dyDescent="0.1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3" x14ac:dyDescent="0.1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3" x14ac:dyDescent="0.1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3" x14ac:dyDescent="0.1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3" x14ac:dyDescent="0.1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3" x14ac:dyDescent="0.1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3" x14ac:dyDescent="0.1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3" x14ac:dyDescent="0.1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3" x14ac:dyDescent="0.1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3" x14ac:dyDescent="0.1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3" x14ac:dyDescent="0.1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3" x14ac:dyDescent="0.1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3" x14ac:dyDescent="0.1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3" x14ac:dyDescent="0.1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3" x14ac:dyDescent="0.1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3" x14ac:dyDescent="0.1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3" x14ac:dyDescent="0.1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3" x14ac:dyDescent="0.1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3" x14ac:dyDescent="0.1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3" x14ac:dyDescent="0.1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3" x14ac:dyDescent="0.1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3" x14ac:dyDescent="0.1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3" x14ac:dyDescent="0.1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3" x14ac:dyDescent="0.1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3" x14ac:dyDescent="0.1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3" x14ac:dyDescent="0.1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3" x14ac:dyDescent="0.1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3" x14ac:dyDescent="0.1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3" x14ac:dyDescent="0.1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3" x14ac:dyDescent="0.1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3" x14ac:dyDescent="0.1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3" x14ac:dyDescent="0.1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3" x14ac:dyDescent="0.1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3" x14ac:dyDescent="0.1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3" x14ac:dyDescent="0.1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3" x14ac:dyDescent="0.1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3" x14ac:dyDescent="0.1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3" x14ac:dyDescent="0.1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3" x14ac:dyDescent="0.1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3" x14ac:dyDescent="0.1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3" x14ac:dyDescent="0.1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3" x14ac:dyDescent="0.1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3" x14ac:dyDescent="0.1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3" x14ac:dyDescent="0.1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3" x14ac:dyDescent="0.1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3" x14ac:dyDescent="0.1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3" x14ac:dyDescent="0.1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3" x14ac:dyDescent="0.1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3" x14ac:dyDescent="0.1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3" x14ac:dyDescent="0.1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3" x14ac:dyDescent="0.1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3" x14ac:dyDescent="0.1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3" x14ac:dyDescent="0.1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3" x14ac:dyDescent="0.1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3" x14ac:dyDescent="0.1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3" x14ac:dyDescent="0.1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3" x14ac:dyDescent="0.1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3" x14ac:dyDescent="0.1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3" x14ac:dyDescent="0.1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3" x14ac:dyDescent="0.1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3" x14ac:dyDescent="0.1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3" x14ac:dyDescent="0.1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3" x14ac:dyDescent="0.1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3" x14ac:dyDescent="0.1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3" x14ac:dyDescent="0.1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3" x14ac:dyDescent="0.1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3" x14ac:dyDescent="0.1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3" x14ac:dyDescent="0.1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3" x14ac:dyDescent="0.1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3" x14ac:dyDescent="0.15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 ht="13" x14ac:dyDescent="0.15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spans="1:26" ht="13" x14ac:dyDescent="0.15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 spans="1:26" ht="13" x14ac:dyDescent="0.15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</sheetData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06"/>
  <sheetViews>
    <sheetView workbookViewId="0"/>
  </sheetViews>
  <sheetFormatPr baseColWidth="10" defaultColWidth="12.6640625" defaultRowHeight="15.75" customHeight="1" x14ac:dyDescent="0.15"/>
  <cols>
    <col min="1" max="1" width="76.33203125" customWidth="1"/>
    <col min="2" max="2" width="44.1640625" customWidth="1"/>
  </cols>
  <sheetData>
    <row r="1" spans="1:2" ht="15.75" customHeight="1" x14ac:dyDescent="0.15">
      <c r="A1" s="12" t="str">
        <f ca="1">IFERROR(__xludf.DUMMYFUNCTION("FILTER(if('教練分析Data'!B1:B815=""內容"",if(LEFT('教練分析Data'!C1:C815,1)=""s"",""&lt;div id=""""topics""""&gt;"","""")&amp;""&lt;label for=""""nameInput""""&gt;""&amp;'教練分析Data'!A1:A815&amp;""&lt;/label&gt;""&amp;if(RIGHT('教練分析Data'!C1:C815,1)=""e"",""&lt;/div&gt;"",""""),if(LEFT('教練分析Data'!C1:C815,1)"&amp;"=""s"",""&lt;div id=""""topics""""&gt;"","""")&amp;""&lt;button class=""""topic"""" onclick=""""showResult('""&amp;ROW('教練分析Data'!A1:A815)&amp;""')""""&gt;""&amp;'教練分析Data'!A1:A815&amp;""&lt;/button&gt;""&amp;if(RIGHT('教練分析Data'!C1:C815,1)=""e"",""&lt;/div&gt;"","""")),'教練分析Data'!A1:A815&lt;&gt;"""")"),"&lt;div id=""topics""&gt;&lt;label for=""nameInput""&gt;投入回報的位置（福報）：&lt;/label&gt;&lt;/div&gt;")</f>
        <v>&lt;div id="topics"&gt;&lt;label for="nameInput"&gt;投入回報的位置（福報）：&lt;/label&gt;&lt;/div&gt;</v>
      </c>
      <c r="B1" s="13" t="str">
        <f ca="1">IFERROR(__xludf.DUMMYFUNCTION("""if(topic &gt;= ""&amp;FILTER(ROW('教練分析Data'!A1:A815),'教練分析Data'!A1:A815=""投入回報的位置（福報）："")&amp;"" &amp;&amp; topic &lt; ""&amp;FILTER(ROW('教練分析Data'!A1:A815),'教練分析Data'!A1:A815=""人生意義："")&amp;""){var id ='result'}else if(topic &gt;= ""&amp;FILTER(ROW('教練分析Data'!A1:A815),'教練分析Data'!A1:A815="&amp;"""人生意義："")&amp;"" &amp;&amp; topic &lt; ""&amp;FILTER(ROW('教練分析Data'!A1:A815),'教練分析Data'!A1:A815=""天生的財富來源"")&amp;""){var id ='result2'}else if(topic &gt;= ""&amp;FILTER(ROW('教練分析Data'!A1:A815),'教練分析Data'!A1:A815=""天生的財富來源"")&amp;"" &amp;&amp; topic &lt; ""&amp;FILTER(ROW('教練分析Data'!A1:A815),'教練分析Data'!"&amp;"A1:A815=""賺錢的動力："")&amp;""){var id ='result3'}else if(topic &gt;= ""&amp;FILTER(ROW('教練分析Data'!A1:A815),'教練分析Data'!A1:A815=""賺錢的動力："")&amp;"" &amp;&amp; topic &lt; ""&amp;FILTER(ROW('教練分析Data'!A1:A815),'教練分析Data'!A1:A815=""調整盲點："")&amp;""){var id ='result4'}else if(topic &gt;= ""&amp;FILTER(ROW("&amp;"'教練分析Data'!A1:A815),'教練分析Data'!A1:A815=""調整盲點："")&amp;"" &amp;&amp; topic &lt; ""&amp;FILTER(ROW('教練分析Data'!A1:A815),'教練分析Data'!A1:A815=""實際問題："")&amp;""){var id ='result5'}else if(topic &gt;= ""&amp;FILTER(ROW('教練分析Data'!A1:A815),'教練分析Data'!A1:A815=""實際問題："")&amp;""){var id ='result6'}"""),"if(topic &gt;= 1 &amp;&amp; topic &lt; 26){var id ='result'}else if(topic &gt;= 26 &amp;&amp; topic &lt; 38){var id ='result2'}else if(topic &gt;= 38 &amp;&amp; topic &lt; 54){var id ='result3'}else if(topic &gt;= 54 &amp;&amp; topic &lt; 78){var id ='result4'}else if(topic &gt;= 78 &amp;&amp; topic &lt; 93){var id ='result"&amp;"5'}else if(topic &gt;= 93){var id ='result6'}")</f>
        <v>if(topic &gt;= 1 &amp;&amp; topic &lt; 26){var id ='result'}else if(topic &gt;= 26 &amp;&amp; topic &lt; 38){var id ='result2'}else if(topic &gt;= 38 &amp;&amp; topic &lt; 54){var id ='result3'}else if(topic &gt;= 54 &amp;&amp; topic &lt; 78){var id ='result4'}else if(topic &gt;= 78 &amp;&amp; topic &lt; 93){var id ='result5'}else if(topic &gt;= 93){var id ='result6'}</v>
      </c>
    </row>
    <row r="2" spans="1:2" ht="15.75" customHeight="1" x14ac:dyDescent="0.15">
      <c r="A2" s="12" t="str">
        <f ca="1">IFERROR(__xludf.DUMMYFUNCTION("""COMPUTED_VALUE"""),"&lt;div id=""topics""&gt;&lt;button class=""topic"" onclick=""showResult('2')""&gt;命宮&lt;/button&gt;")</f>
        <v>&lt;div id="topics"&gt;&lt;button class="topic" onclick="showResult('2')"&gt;命宮&lt;/button&gt;</v>
      </c>
      <c r="B2" s="13"/>
    </row>
    <row r="3" spans="1:2" ht="15.75" customHeight="1" x14ac:dyDescent="0.15">
      <c r="A3" s="12" t="str">
        <f ca="1">IFERROR(__xludf.DUMMYFUNCTION("""COMPUTED_VALUE"""),"&lt;button class=""topic"" onclick=""showResult('3')""&gt;兄弟宮&lt;/button&gt;")</f>
        <v>&lt;button class="topic" onclick="showResult('3')"&gt;兄弟宮&lt;/button&gt;</v>
      </c>
      <c r="B3" s="13"/>
    </row>
    <row r="4" spans="1:2" ht="15.75" customHeight="1" x14ac:dyDescent="0.15">
      <c r="A4" s="12" t="str">
        <f ca="1">IFERROR(__xludf.DUMMYFUNCTION("""COMPUTED_VALUE"""),"&lt;button class=""topic"" onclick=""showResult('4')""&gt;夫妻宮&lt;/button&gt;")</f>
        <v>&lt;button class="topic" onclick="showResult('4')"&gt;夫妻宮&lt;/button&gt;</v>
      </c>
      <c r="B4" s="13"/>
    </row>
    <row r="5" spans="1:2" ht="15.75" customHeight="1" x14ac:dyDescent="0.15">
      <c r="A5" s="12" t="str">
        <f ca="1">IFERROR(__xludf.DUMMYFUNCTION("""COMPUTED_VALUE"""),"&lt;button class=""topic"" onclick=""showResult('5')""&gt;子女宮&lt;/button&gt;&lt;/div&gt;")</f>
        <v>&lt;button class="topic" onclick="showResult('5')"&gt;子女宮&lt;/button&gt;&lt;/div&gt;</v>
      </c>
      <c r="B5" s="13"/>
    </row>
    <row r="6" spans="1:2" ht="15.75" customHeight="1" x14ac:dyDescent="0.15">
      <c r="A6" s="12" t="str">
        <f ca="1">IFERROR(__xludf.DUMMYFUNCTION("""COMPUTED_VALUE"""),"&lt;div id=""topics""&gt;&lt;button class=""topic"" onclick=""showResult('6')""&gt;財帛宮&lt;/button&gt;")</f>
        <v>&lt;div id="topics"&gt;&lt;button class="topic" onclick="showResult('6')"&gt;財帛宮&lt;/button&gt;</v>
      </c>
      <c r="B6" s="13"/>
    </row>
    <row r="7" spans="1:2" ht="15.75" customHeight="1" x14ac:dyDescent="0.15">
      <c r="A7" s="12" t="str">
        <f ca="1">IFERROR(__xludf.DUMMYFUNCTION("""COMPUTED_VALUE"""),"&lt;button class=""topic"" onclick=""showResult('7')""&gt;疾厄宮&lt;/button&gt;")</f>
        <v>&lt;button class="topic" onclick="showResult('7')"&gt;疾厄宮&lt;/button&gt;</v>
      </c>
      <c r="B7" s="13"/>
    </row>
    <row r="8" spans="1:2" ht="15.75" customHeight="1" x14ac:dyDescent="0.15">
      <c r="A8" s="12" t="str">
        <f ca="1">IFERROR(__xludf.DUMMYFUNCTION("""COMPUTED_VALUE"""),"&lt;button class=""topic"" onclick=""showResult('8')""&gt;遷移宮&lt;/button&gt;")</f>
        <v>&lt;button class="topic" onclick="showResult('8')"&gt;遷移宮&lt;/button&gt;</v>
      </c>
      <c r="B8" s="13"/>
    </row>
    <row r="9" spans="1:2" ht="15.75" customHeight="1" x14ac:dyDescent="0.15">
      <c r="A9" s="12" t="str">
        <f ca="1">IFERROR(__xludf.DUMMYFUNCTION("""COMPUTED_VALUE"""),"&lt;button class=""topic"" onclick=""showResult('9')""&gt;官祿宮&lt;/button&gt;&lt;/div&gt;")</f>
        <v>&lt;button class="topic" onclick="showResult('9')"&gt;官祿宮&lt;/button&gt;&lt;/div&gt;</v>
      </c>
      <c r="B9" s="13"/>
    </row>
    <row r="10" spans="1:2" ht="15.75" customHeight="1" x14ac:dyDescent="0.15">
      <c r="A10" s="12" t="str">
        <f ca="1">IFERROR(__xludf.DUMMYFUNCTION("""COMPUTED_VALUE"""),"&lt;div id=""topics""&gt;&lt;button class=""topic"" onclick=""showResult('10')""&gt;福德宮&lt;/button&gt;")</f>
        <v>&lt;div id="topics"&gt;&lt;button class="topic" onclick="showResult('10')"&gt;福德宮&lt;/button&gt;</v>
      </c>
      <c r="B10" s="13"/>
    </row>
    <row r="11" spans="1:2" ht="15.75" customHeight="1" x14ac:dyDescent="0.15">
      <c r="A11" s="12" t="str">
        <f ca="1">IFERROR(__xludf.DUMMYFUNCTION("""COMPUTED_VALUE"""),"&lt;button class=""topic"" onclick=""showResult('11')""&gt;父母宮&lt;/button&gt;")</f>
        <v>&lt;button class="topic" onclick="showResult('11')"&gt;父母宮&lt;/button&gt;</v>
      </c>
    </row>
    <row r="12" spans="1:2" ht="15.75" customHeight="1" x14ac:dyDescent="0.15">
      <c r="A12" s="12" t="str">
        <f ca="1">IFERROR(__xludf.DUMMYFUNCTION("""COMPUTED_VALUE"""),"&lt;button class=""topic"" onclick=""showResult('12')""&gt;田宅宮&lt;/button&gt;&lt;/div&gt;")</f>
        <v>&lt;button class="topic" onclick="showResult('12')"&gt;田宅宮&lt;/button&gt;&lt;/div&gt;</v>
      </c>
    </row>
    <row r="13" spans="1:2" ht="15.75" customHeight="1" x14ac:dyDescent="0.15">
      <c r="A13" s="12" t="str">
        <f ca="1">IFERROR(__xludf.DUMMYFUNCTION("""COMPUTED_VALUE"""),"&lt;div id=""topics""&gt;&lt;label for=""nameInput""&gt;一生拉址的位置（業力）：&lt;/label&gt;&lt;/div&gt;")</f>
        <v>&lt;div id="topics"&gt;&lt;label for="nameInput"&gt;一生拉址的位置（業力）：&lt;/label&gt;&lt;/div&gt;</v>
      </c>
    </row>
    <row r="14" spans="1:2" ht="15.75" customHeight="1" x14ac:dyDescent="0.15">
      <c r="A14" s="12" t="str">
        <f ca="1">IFERROR(__xludf.DUMMYFUNCTION("""COMPUTED_VALUE"""),"&lt;div id=""topics""&gt;&lt;button class=""topic"" onclick=""showResult('14')""&gt;命宮&lt;/button&gt;")</f>
        <v>&lt;div id="topics"&gt;&lt;button class="topic" onclick="showResult('14')"&gt;命宮&lt;/button&gt;</v>
      </c>
    </row>
    <row r="15" spans="1:2" ht="15.75" customHeight="1" x14ac:dyDescent="0.15">
      <c r="A15" s="12" t="str">
        <f ca="1">IFERROR(__xludf.DUMMYFUNCTION("""COMPUTED_VALUE"""),"&lt;button class=""topic"" onclick=""showResult('15')""&gt;兄弟宮&lt;/button&gt;")</f>
        <v>&lt;button class="topic" onclick="showResult('15')"&gt;兄弟宮&lt;/button&gt;</v>
      </c>
    </row>
    <row r="16" spans="1:2" ht="15.75" customHeight="1" x14ac:dyDescent="0.15">
      <c r="A16" s="12" t="str">
        <f ca="1">IFERROR(__xludf.DUMMYFUNCTION("""COMPUTED_VALUE"""),"&lt;button class=""topic"" onclick=""showResult('16')""&gt;夫妻宮&lt;/button&gt;")</f>
        <v>&lt;button class="topic" onclick="showResult('16')"&gt;夫妻宮&lt;/button&gt;</v>
      </c>
    </row>
    <row r="17" spans="1:1" ht="15.75" customHeight="1" x14ac:dyDescent="0.15">
      <c r="A17" s="12" t="str">
        <f ca="1">IFERROR(__xludf.DUMMYFUNCTION("""COMPUTED_VALUE"""),"&lt;button class=""topic"" onclick=""showResult('17')""&gt;子女宮&lt;/button&gt;&lt;/div&gt;")</f>
        <v>&lt;button class="topic" onclick="showResult('17')"&gt;子女宮&lt;/button&gt;&lt;/div&gt;</v>
      </c>
    </row>
    <row r="18" spans="1:1" ht="15.75" customHeight="1" x14ac:dyDescent="0.15">
      <c r="A18" s="12" t="str">
        <f ca="1">IFERROR(__xludf.DUMMYFUNCTION("""COMPUTED_VALUE"""),"&lt;div id=""topics""&gt;&lt;button class=""topic"" onclick=""showResult('18')""&gt;財帛宮&lt;/button&gt;")</f>
        <v>&lt;div id="topics"&gt;&lt;button class="topic" onclick="showResult('18')"&gt;財帛宮&lt;/button&gt;</v>
      </c>
    </row>
    <row r="19" spans="1:1" ht="15.75" customHeight="1" x14ac:dyDescent="0.15">
      <c r="A19" s="12" t="str">
        <f ca="1">IFERROR(__xludf.DUMMYFUNCTION("""COMPUTED_VALUE"""),"&lt;button class=""topic"" onclick=""showResult('19')""&gt;疾厄宮&lt;/button&gt;")</f>
        <v>&lt;button class="topic" onclick="showResult('19')"&gt;疾厄宮&lt;/button&gt;</v>
      </c>
    </row>
    <row r="20" spans="1:1" ht="15.75" customHeight="1" x14ac:dyDescent="0.15">
      <c r="A20" s="12" t="str">
        <f ca="1">IFERROR(__xludf.DUMMYFUNCTION("""COMPUTED_VALUE"""),"&lt;button class=""topic"" onclick=""showResult('20')""&gt;遷移宮&lt;/button&gt;")</f>
        <v>&lt;button class="topic" onclick="showResult('20')"&gt;遷移宮&lt;/button&gt;</v>
      </c>
    </row>
    <row r="21" spans="1:1" ht="15.75" customHeight="1" x14ac:dyDescent="0.15">
      <c r="A21" s="12" t="str">
        <f ca="1">IFERROR(__xludf.DUMMYFUNCTION("""COMPUTED_VALUE"""),"&lt;button class=""topic"" onclick=""showResult('21')""&gt;官祿宮&lt;/button&gt;&lt;/div&gt;")</f>
        <v>&lt;button class="topic" onclick="showResult('21')"&gt;官祿宮&lt;/button&gt;&lt;/div&gt;</v>
      </c>
    </row>
    <row r="22" spans="1:1" ht="15.75" customHeight="1" x14ac:dyDescent="0.15">
      <c r="A22" s="12" t="str">
        <f ca="1">IFERROR(__xludf.DUMMYFUNCTION("""COMPUTED_VALUE"""),"&lt;div id=""topics""&gt;&lt;button class=""topic"" onclick=""showResult('22')""&gt;福德宮&lt;/button&gt;")</f>
        <v>&lt;div id="topics"&gt;&lt;button class="topic" onclick="showResult('22')"&gt;福德宮&lt;/button&gt;</v>
      </c>
    </row>
    <row r="23" spans="1:1" ht="15.75" customHeight="1" x14ac:dyDescent="0.15">
      <c r="A23" s="12" t="str">
        <f ca="1">IFERROR(__xludf.DUMMYFUNCTION("""COMPUTED_VALUE"""),"&lt;button class=""topic"" onclick=""showResult('23')""&gt;父母宮&lt;/button&gt;")</f>
        <v>&lt;button class="topic" onclick="showResult('23')"&gt;父母宮&lt;/button&gt;</v>
      </c>
    </row>
    <row r="24" spans="1:1" ht="15.75" customHeight="1" x14ac:dyDescent="0.15">
      <c r="A24" s="12" t="str">
        <f ca="1">IFERROR(__xludf.DUMMYFUNCTION("""COMPUTED_VALUE"""),"&lt;button class=""topic"" onclick=""showResult('24')""&gt;田宅宮&lt;/button&gt;")</f>
        <v>&lt;button class="topic" onclick="showResult('24')"&gt;田宅宮&lt;/button&gt;</v>
      </c>
    </row>
    <row r="25" spans="1:1" ht="15.75" customHeight="1" x14ac:dyDescent="0.15">
      <c r="A25" s="12" t="str">
        <f ca="1">IFERROR(__xludf.DUMMYFUNCTION("""COMPUTED_VALUE"""),"&lt;button class=""topic"" onclick=""showResult('25')""&gt;交友宮&lt;/button&gt;&lt;/div&gt;")</f>
        <v>&lt;button class="topic" onclick="showResult('25')"&gt;交友宮&lt;/button&gt;&lt;/div&gt;</v>
      </c>
    </row>
    <row r="26" spans="1:1" ht="15.75" customHeight="1" x14ac:dyDescent="0.15">
      <c r="A26" s="12" t="str">
        <f ca="1">IFERROR(__xludf.DUMMYFUNCTION("""COMPUTED_VALUE"""),"&lt;div id=""topics""&gt;&lt;label for=""nameInput""&gt;人生意義：&lt;/label&gt;&lt;/div&gt;")</f>
        <v>&lt;div id="topics"&gt;&lt;label for="nameInput"&gt;人生意義：&lt;/label&gt;&lt;/div&gt;</v>
      </c>
    </row>
    <row r="27" spans="1:1" ht="15.75" customHeight="1" x14ac:dyDescent="0.15">
      <c r="A27" s="12" t="str">
        <f ca="1">IFERROR(__xludf.DUMMYFUNCTION("""COMPUTED_VALUE"""),"&lt;div id=""topics""&gt;&lt;button class=""topic"" onclick=""showResult('27')""&gt;子午：命宮&lt;/button&gt;")</f>
        <v>&lt;div id="topics"&gt;&lt;button class="topic" onclick="showResult('27')"&gt;子午：命宮&lt;/button&gt;</v>
      </c>
    </row>
    <row r="28" spans="1:1" ht="15.75" customHeight="1" x14ac:dyDescent="0.15">
      <c r="A28" s="12" t="str">
        <f ca="1">IFERROR(__xludf.DUMMYFUNCTION("""COMPUTED_VALUE"""),"&lt;button class=""topic"" onclick=""showResult('28')""&gt;卯酉：遷移宮&lt;/button&gt;")</f>
        <v>&lt;button class="topic" onclick="showResult('28')"&gt;卯酉：遷移宮&lt;/button&gt;</v>
      </c>
    </row>
    <row r="29" spans="1:1" ht="15.75" customHeight="1" x14ac:dyDescent="0.15">
      <c r="A29" s="12" t="str">
        <f ca="1">IFERROR(__xludf.DUMMYFUNCTION("""COMPUTED_VALUE"""),"&lt;button class=""topic"" onclick=""showResult('29')""&gt;巳亥：夫妻宮&lt;/button&gt;&lt;/div&gt;")</f>
        <v>&lt;button class="topic" onclick="showResult('29')"&gt;巳亥：夫妻宮&lt;/button&gt;&lt;/div&gt;</v>
      </c>
    </row>
    <row r="30" spans="1:1" ht="15.75" customHeight="1" x14ac:dyDescent="0.15">
      <c r="A30" s="12" t="str">
        <f ca="1">IFERROR(__xludf.DUMMYFUNCTION("""COMPUTED_VALUE"""),"&lt;div id=""topics""&gt;&lt;button class=""topic"" onclick=""showResult('30')""&gt;寅申：官祿宮&lt;/button&gt;")</f>
        <v>&lt;div id="topics"&gt;&lt;button class="topic" onclick="showResult('30')"&gt;寅申：官祿宮&lt;/button&gt;</v>
      </c>
    </row>
    <row r="31" spans="1:1" ht="15.75" customHeight="1" x14ac:dyDescent="0.15">
      <c r="A31" s="12" t="str">
        <f ca="1">IFERROR(__xludf.DUMMYFUNCTION("""COMPUTED_VALUE"""),"&lt;button class=""topic"" onclick=""showResult('31')""&gt;丑未：福德宮&lt;/button&gt;")</f>
        <v>&lt;button class="topic" onclick="showResult('31')"&gt;丑未：福德宮&lt;/button&gt;</v>
      </c>
    </row>
    <row r="32" spans="1:1" ht="15.75" customHeight="1" x14ac:dyDescent="0.15">
      <c r="A32" s="12" t="str">
        <f ca="1">IFERROR(__xludf.DUMMYFUNCTION("""COMPUTED_VALUE"""),"&lt;button class=""topic"" onclick=""showResult('32')""&gt;辰戍：財帛宮&lt;/button&gt;&lt;/div&gt;")</f>
        <v>&lt;button class="topic" onclick="showResult('32')"&gt;辰戍：財帛宮&lt;/button&gt;&lt;/div&gt;</v>
      </c>
    </row>
    <row r="33" spans="1:1" ht="15.75" customHeight="1" x14ac:dyDescent="0.15">
      <c r="A33" s="12" t="str">
        <f ca="1">IFERROR(__xludf.DUMMYFUNCTION("""COMPUTED_VALUE"""),"&lt;div id=""topics""&gt;&lt;label for=""nameInput""&gt;工作能力&lt;/label&gt;&lt;/div&gt;")</f>
        <v>&lt;div id="topics"&gt;&lt;label for="nameInput"&gt;工作能力&lt;/label&gt;&lt;/div&gt;</v>
      </c>
    </row>
    <row r="34" spans="1:1" ht="15.75" customHeight="1" x14ac:dyDescent="0.15">
      <c r="A34" s="12" t="str">
        <f ca="1">IFERROR(__xludf.DUMMYFUNCTION("""COMPUTED_VALUE"""),"&lt;div id=""topics""&gt;&lt;button class=""topic"" onclick=""showResult('34')""&gt;七殺、破軍、貪狼、廉貞&lt;/button&gt;")</f>
        <v>&lt;div id="topics"&gt;&lt;button class="topic" onclick="showResult('34')"&gt;七殺、破軍、貪狼、廉貞&lt;/button&gt;</v>
      </c>
    </row>
    <row r="35" spans="1:1" ht="15.75" customHeight="1" x14ac:dyDescent="0.15">
      <c r="A35" s="12" t="str">
        <f ca="1">IFERROR(__xludf.DUMMYFUNCTION("""COMPUTED_VALUE"""),"&lt;button class=""topic"" onclick=""showResult('35')""&gt;紫微、天府、武曲、天相&lt;/button&gt;&lt;/div&gt;")</f>
        <v>&lt;button class="topic" onclick="showResult('35')"&gt;紫微、天府、武曲、天相&lt;/button&gt;&lt;/div&gt;</v>
      </c>
    </row>
    <row r="36" spans="1:1" ht="15.75" customHeight="1" x14ac:dyDescent="0.15">
      <c r="A36" s="12" t="str">
        <f ca="1">IFERROR(__xludf.DUMMYFUNCTION("""COMPUTED_VALUE"""),"&lt;div id=""topics""&gt;&lt;button class=""topic"" onclick=""showResult('36')""&gt;太陽、巨門、天機&lt;/button&gt;")</f>
        <v>&lt;div id="topics"&gt;&lt;button class="topic" onclick="showResult('36')"&gt;太陽、巨門、天機&lt;/button&gt;</v>
      </c>
    </row>
    <row r="37" spans="1:1" ht="15.75" customHeight="1" x14ac:dyDescent="0.15">
      <c r="A37" s="12" t="str">
        <f ca="1">IFERROR(__xludf.DUMMYFUNCTION("""COMPUTED_VALUE"""),"&lt;button class=""topic"" onclick=""showResult('37')""&gt;太陰、天同、天梁&lt;/button&gt;&lt;/div&gt;")</f>
        <v>&lt;button class="topic" onclick="showResult('37')"&gt;太陰、天同、天梁&lt;/button&gt;&lt;/div&gt;</v>
      </c>
    </row>
    <row r="38" spans="1:1" ht="15.75" customHeight="1" x14ac:dyDescent="0.15">
      <c r="A38" s="12" t="str">
        <f ca="1">IFERROR(__xludf.DUMMYFUNCTION("""COMPUTED_VALUE"""),"&lt;div id=""topics""&gt;&lt;label for=""nameInput""&gt;天生的財富來源&lt;/label&gt;&lt;/div&gt;")</f>
        <v>&lt;div id="topics"&gt;&lt;label for="nameInput"&gt;天生的財富來源&lt;/label&gt;&lt;/div&gt;</v>
      </c>
    </row>
    <row r="39" spans="1:1" ht="15.75" customHeight="1" x14ac:dyDescent="0.15">
      <c r="A39" s="12" t="str">
        <f ca="1">IFERROR(__xludf.DUMMYFUNCTION("""COMPUTED_VALUE"""),"&lt;div id=""topics""&gt;&lt;button class=""topic"" onclick=""showResult('39')""&gt;七殺&lt;/button&gt;")</f>
        <v>&lt;div id="topics"&gt;&lt;button class="topic" onclick="showResult('39')"&gt;七殺&lt;/button&gt;</v>
      </c>
    </row>
    <row r="40" spans="1:1" ht="15.75" customHeight="1" x14ac:dyDescent="0.15">
      <c r="A40" s="12" t="str">
        <f ca="1">IFERROR(__xludf.DUMMYFUNCTION("""COMPUTED_VALUE"""),"&lt;button class=""topic"" onclick=""showResult('40')""&gt;破軍&lt;/button&gt;")</f>
        <v>&lt;button class="topic" onclick="showResult('40')"&gt;破軍&lt;/button&gt;</v>
      </c>
    </row>
    <row r="41" spans="1:1" ht="15.75" customHeight="1" x14ac:dyDescent="0.15">
      <c r="A41" s="12" t="str">
        <f ca="1">IFERROR(__xludf.DUMMYFUNCTION("""COMPUTED_VALUE"""),"&lt;button class=""topic"" onclick=""showResult('41')""&gt;貪狼&lt;/button&gt;&lt;/div&gt;")</f>
        <v>&lt;button class="topic" onclick="showResult('41')"&gt;貪狼&lt;/button&gt;&lt;/div&gt;</v>
      </c>
    </row>
    <row r="42" spans="1:1" ht="15.75" customHeight="1" x14ac:dyDescent="0.15">
      <c r="A42" s="12" t="str">
        <f ca="1">IFERROR(__xludf.DUMMYFUNCTION("""COMPUTED_VALUE"""),"&lt;div id=""topics""&gt;&lt;button class=""topic"" onclick=""showResult('42')""&gt;廉貞&lt;/button&gt;")</f>
        <v>&lt;div id="topics"&gt;&lt;button class="topic" onclick="showResult('42')"&gt;廉貞&lt;/button&gt;</v>
      </c>
    </row>
    <row r="43" spans="1:1" ht="15.75" customHeight="1" x14ac:dyDescent="0.15">
      <c r="A43" s="12" t="str">
        <f ca="1">IFERROR(__xludf.DUMMYFUNCTION("""COMPUTED_VALUE"""),"&lt;button class=""topic"" onclick=""showResult('43')""&gt;紫微&lt;/button&gt;")</f>
        <v>&lt;button class="topic" onclick="showResult('43')"&gt;紫微&lt;/button&gt;</v>
      </c>
    </row>
    <row r="44" spans="1:1" ht="15.75" customHeight="1" x14ac:dyDescent="0.15">
      <c r="A44" s="12" t="str">
        <f ca="1">IFERROR(__xludf.DUMMYFUNCTION("""COMPUTED_VALUE"""),"&lt;button class=""topic"" onclick=""showResult('44')""&gt;天府&lt;/button&gt;&lt;/div&gt;")</f>
        <v>&lt;button class="topic" onclick="showResult('44')"&gt;天府&lt;/button&gt;&lt;/div&gt;</v>
      </c>
    </row>
    <row r="45" spans="1:1" ht="15.75" customHeight="1" x14ac:dyDescent="0.15">
      <c r="A45" s="12" t="str">
        <f ca="1">IFERROR(__xludf.DUMMYFUNCTION("""COMPUTED_VALUE"""),"&lt;div id=""topics""&gt;&lt;button class=""topic"" onclick=""showResult('45')""&gt;武曲&lt;/button&gt;")</f>
        <v>&lt;div id="topics"&gt;&lt;button class="topic" onclick="showResult('45')"&gt;武曲&lt;/button&gt;</v>
      </c>
    </row>
    <row r="46" spans="1:1" ht="15.75" customHeight="1" x14ac:dyDescent="0.15">
      <c r="A46" s="12" t="str">
        <f ca="1">IFERROR(__xludf.DUMMYFUNCTION("""COMPUTED_VALUE"""),"&lt;button class=""topic"" onclick=""showResult('46')""&gt;天相&lt;/button&gt;")</f>
        <v>&lt;button class="topic" onclick="showResult('46')"&gt;天相&lt;/button&gt;</v>
      </c>
    </row>
    <row r="47" spans="1:1" ht="15.75" customHeight="1" x14ac:dyDescent="0.15">
      <c r="A47" s="12" t="str">
        <f ca="1">IFERROR(__xludf.DUMMYFUNCTION("""COMPUTED_VALUE"""),"&lt;button class=""topic"" onclick=""showResult('47')""&gt;太陽&lt;/button&gt;&lt;/div&gt;")</f>
        <v>&lt;button class="topic" onclick="showResult('47')"&gt;太陽&lt;/button&gt;&lt;/div&gt;</v>
      </c>
    </row>
    <row r="48" spans="1:1" ht="15.75" customHeight="1" x14ac:dyDescent="0.15">
      <c r="A48" s="12" t="str">
        <f ca="1">IFERROR(__xludf.DUMMYFUNCTION("""COMPUTED_VALUE"""),"&lt;div id=""topics""&gt;&lt;button class=""topic"" onclick=""showResult('48')""&gt;巨門&lt;/button&gt;")</f>
        <v>&lt;div id="topics"&gt;&lt;button class="topic" onclick="showResult('48')"&gt;巨門&lt;/button&gt;</v>
      </c>
    </row>
    <row r="49" spans="1:1" ht="15.75" customHeight="1" x14ac:dyDescent="0.15">
      <c r="A49" s="12" t="str">
        <f ca="1">IFERROR(__xludf.DUMMYFUNCTION("""COMPUTED_VALUE"""),"&lt;button class=""topic"" onclick=""showResult('49')""&gt;天機&lt;/button&gt;")</f>
        <v>&lt;button class="topic" onclick="showResult('49')"&gt;天機&lt;/button&gt;</v>
      </c>
    </row>
    <row r="50" spans="1:1" ht="15.75" customHeight="1" x14ac:dyDescent="0.15">
      <c r="A50" s="12" t="str">
        <f ca="1">IFERROR(__xludf.DUMMYFUNCTION("""COMPUTED_VALUE"""),"&lt;button class=""topic"" onclick=""showResult('50')""&gt;太陰&lt;/button&gt;&lt;/div&gt;")</f>
        <v>&lt;button class="topic" onclick="showResult('50')"&gt;太陰&lt;/button&gt;&lt;/div&gt;</v>
      </c>
    </row>
    <row r="51" spans="1:1" ht="15.75" customHeight="1" x14ac:dyDescent="0.15">
      <c r="A51" s="12" t="str">
        <f ca="1">IFERROR(__xludf.DUMMYFUNCTION("""COMPUTED_VALUE"""),"&lt;div id=""topics""&gt;&lt;button class=""topic"" onclick=""showResult('51')""&gt;天同&lt;/button&gt;")</f>
        <v>&lt;div id="topics"&gt;&lt;button class="topic" onclick="showResult('51')"&gt;天同&lt;/button&gt;</v>
      </c>
    </row>
    <row r="52" spans="1:1" ht="15.75" customHeight="1" x14ac:dyDescent="0.15">
      <c r="A52" s="12" t="str">
        <f ca="1">IFERROR(__xludf.DUMMYFUNCTION("""COMPUTED_VALUE"""),"&lt;button class=""topic"" onclick=""showResult('52')""&gt;天梁&lt;/button&gt;")</f>
        <v>&lt;button class="topic" onclick="showResult('52')"&gt;天梁&lt;/button&gt;</v>
      </c>
    </row>
    <row r="53" spans="1:1" ht="15.75" customHeight="1" x14ac:dyDescent="0.15">
      <c r="A53" s="12" t="str">
        <f ca="1">IFERROR(__xludf.DUMMYFUNCTION("""COMPUTED_VALUE"""),"&lt;button class=""topic"" onclick=""showResult('53')""&gt;空宫&lt;/button&gt;&lt;/div&gt;")</f>
        <v>&lt;button class="topic" onclick="showResult('53')"&gt;空宫&lt;/button&gt;&lt;/div&gt;</v>
      </c>
    </row>
    <row r="54" spans="1:1" ht="15.75" customHeight="1" x14ac:dyDescent="0.15">
      <c r="A54" s="12" t="str">
        <f ca="1">IFERROR(__xludf.DUMMYFUNCTION("""COMPUTED_VALUE"""),"&lt;div id=""topics""&gt;&lt;label for=""nameInput""&gt;賺錢的動力：&lt;/label&gt;&lt;/div&gt;")</f>
        <v>&lt;div id="topics"&gt;&lt;label for="nameInput"&gt;賺錢的動力：&lt;/label&gt;&lt;/div&gt;</v>
      </c>
    </row>
    <row r="55" spans="1:1" ht="15.75" customHeight="1" x14ac:dyDescent="0.15">
      <c r="A55" s="12" t="str">
        <f ca="1">IFERROR(__xludf.DUMMYFUNCTION("""COMPUTED_VALUE"""),"&lt;div id=""topics""&gt;&lt;button class=""topic"" onclick=""showResult('55')""&gt;七殺&lt;/button&gt;")</f>
        <v>&lt;div id="topics"&gt;&lt;button class="topic" onclick="showResult('55')"&gt;七殺&lt;/button&gt;</v>
      </c>
    </row>
    <row r="56" spans="1:1" ht="15.75" customHeight="1" x14ac:dyDescent="0.15">
      <c r="A56" s="12" t="str">
        <f ca="1">IFERROR(__xludf.DUMMYFUNCTION("""COMPUTED_VALUE"""),"&lt;button class=""topic"" onclick=""showResult('56')""&gt;破軍&lt;/button&gt;")</f>
        <v>&lt;button class="topic" onclick="showResult('56')"&gt;破軍&lt;/button&gt;</v>
      </c>
    </row>
    <row r="57" spans="1:1" ht="15.75" customHeight="1" x14ac:dyDescent="0.15">
      <c r="A57" s="12" t="str">
        <f ca="1">IFERROR(__xludf.DUMMYFUNCTION("""COMPUTED_VALUE"""),"&lt;button class=""topic"" onclick=""showResult('57')""&gt;貪狼&lt;/button&gt;&lt;/div&gt;")</f>
        <v>&lt;button class="topic" onclick="showResult('57')"&gt;貪狼&lt;/button&gt;&lt;/div&gt;</v>
      </c>
    </row>
    <row r="58" spans="1:1" ht="15.75" customHeight="1" x14ac:dyDescent="0.15">
      <c r="A58" s="12" t="str">
        <f ca="1">IFERROR(__xludf.DUMMYFUNCTION("""COMPUTED_VALUE"""),"&lt;div id=""topics""&gt;&lt;button class=""topic"" onclick=""showResult('58')""&gt;廉貞&lt;/button&gt;")</f>
        <v>&lt;div id="topics"&gt;&lt;button class="topic" onclick="showResult('58')"&gt;廉貞&lt;/button&gt;</v>
      </c>
    </row>
    <row r="59" spans="1:1" ht="15.75" customHeight="1" x14ac:dyDescent="0.15">
      <c r="A59" s="12" t="str">
        <f ca="1">IFERROR(__xludf.DUMMYFUNCTION("""COMPUTED_VALUE"""),"&lt;button class=""topic"" onclick=""showResult('59')""&gt;紫微&lt;/button&gt;")</f>
        <v>&lt;button class="topic" onclick="showResult('59')"&gt;紫微&lt;/button&gt;</v>
      </c>
    </row>
    <row r="60" spans="1:1" ht="13" x14ac:dyDescent="0.15">
      <c r="A60" s="12" t="str">
        <f ca="1">IFERROR(__xludf.DUMMYFUNCTION("""COMPUTED_VALUE"""),"&lt;button class=""topic"" onclick=""showResult('60')""&gt;天府&lt;/button&gt;&lt;/div&gt;")</f>
        <v>&lt;button class="topic" onclick="showResult('60')"&gt;天府&lt;/button&gt;&lt;/div&gt;</v>
      </c>
    </row>
    <row r="61" spans="1:1" ht="13" x14ac:dyDescent="0.15">
      <c r="A61" s="12" t="str">
        <f ca="1">IFERROR(__xludf.DUMMYFUNCTION("""COMPUTED_VALUE"""),"&lt;div id=""topics""&gt;&lt;button class=""topic"" onclick=""showResult('61')""&gt;武曲&lt;/button&gt;")</f>
        <v>&lt;div id="topics"&gt;&lt;button class="topic" onclick="showResult('61')"&gt;武曲&lt;/button&gt;</v>
      </c>
    </row>
    <row r="62" spans="1:1" ht="13" x14ac:dyDescent="0.15">
      <c r="A62" s="12" t="str">
        <f ca="1">IFERROR(__xludf.DUMMYFUNCTION("""COMPUTED_VALUE"""),"&lt;button class=""topic"" onclick=""showResult('62')""&gt;天相&lt;/button&gt;")</f>
        <v>&lt;button class="topic" onclick="showResult('62')"&gt;天相&lt;/button&gt;</v>
      </c>
    </row>
    <row r="63" spans="1:1" ht="13" x14ac:dyDescent="0.15">
      <c r="A63" s="12" t="str">
        <f ca="1">IFERROR(__xludf.DUMMYFUNCTION("""COMPUTED_VALUE"""),"&lt;button class=""topic"" onclick=""showResult('63')""&gt;太陽&lt;/button&gt;&lt;/div&gt;")</f>
        <v>&lt;button class="topic" onclick="showResult('63')"&gt;太陽&lt;/button&gt;&lt;/div&gt;</v>
      </c>
    </row>
    <row r="64" spans="1:1" ht="13" x14ac:dyDescent="0.15">
      <c r="A64" s="12" t="str">
        <f ca="1">IFERROR(__xludf.DUMMYFUNCTION("""COMPUTED_VALUE"""),"&lt;div id=""topics""&gt;&lt;button class=""topic"" onclick=""showResult('64')""&gt;巨門&lt;/button&gt;")</f>
        <v>&lt;div id="topics"&gt;&lt;button class="topic" onclick="showResult('64')"&gt;巨門&lt;/button&gt;</v>
      </c>
    </row>
    <row r="65" spans="1:1" ht="13" x14ac:dyDescent="0.15">
      <c r="A65" s="12" t="str">
        <f ca="1">IFERROR(__xludf.DUMMYFUNCTION("""COMPUTED_VALUE"""),"&lt;button class=""topic"" onclick=""showResult('65')""&gt;天機&lt;/button&gt;")</f>
        <v>&lt;button class="topic" onclick="showResult('65')"&gt;天機&lt;/button&gt;</v>
      </c>
    </row>
    <row r="66" spans="1:1" ht="13" x14ac:dyDescent="0.15">
      <c r="A66" s="12" t="str">
        <f ca="1">IFERROR(__xludf.DUMMYFUNCTION("""COMPUTED_VALUE"""),"&lt;button class=""topic"" onclick=""showResult('66')""&gt;太陰&lt;/button&gt;&lt;/div&gt;")</f>
        <v>&lt;button class="topic" onclick="showResult('66')"&gt;太陰&lt;/button&gt;&lt;/div&gt;</v>
      </c>
    </row>
    <row r="67" spans="1:1" ht="13" x14ac:dyDescent="0.15">
      <c r="A67" s="12" t="str">
        <f ca="1">IFERROR(__xludf.DUMMYFUNCTION("""COMPUTED_VALUE"""),"&lt;div id=""topics""&gt;&lt;button class=""topic"" onclick=""showResult('67')""&gt;天同&lt;/button&gt;")</f>
        <v>&lt;div id="topics"&gt;&lt;button class="topic" onclick="showResult('67')"&gt;天同&lt;/button&gt;</v>
      </c>
    </row>
    <row r="68" spans="1:1" ht="13" x14ac:dyDescent="0.15">
      <c r="A68" s="12" t="str">
        <f ca="1">IFERROR(__xludf.DUMMYFUNCTION("""COMPUTED_VALUE"""),"&lt;button class=""topic"" onclick=""showResult('68')""&gt;天梁&lt;/button&gt;&lt;/div&gt;")</f>
        <v>&lt;button class="topic" onclick="showResult('68')"&gt;天梁&lt;/button&gt;&lt;/div&gt;</v>
      </c>
    </row>
    <row r="69" spans="1:1" ht="13" x14ac:dyDescent="0.15">
      <c r="A69" s="12" t="str">
        <f ca="1">IFERROR(__xludf.DUMMYFUNCTION("""COMPUTED_VALUE"""),"&lt;div id=""topics""&gt;&lt;label for=""nameInput""&gt;真正為你賺錢的方法：&lt;/label&gt;&lt;/div&gt;")</f>
        <v>&lt;div id="topics"&gt;&lt;label for="nameInput"&gt;真正為你賺錢的方法：&lt;/label&gt;&lt;/div&gt;</v>
      </c>
    </row>
    <row r="70" spans="1:1" ht="13" x14ac:dyDescent="0.15">
      <c r="A70" s="12" t="str">
        <f ca="1">IFERROR(__xludf.DUMMYFUNCTION("""COMPUTED_VALUE"""),"&lt;div id=""topics""&gt;&lt;button class=""topic"" onclick=""showResult('70')""&gt;真正為你賺錢的方法&lt;/button&gt;&lt;/div&gt;")</f>
        <v>&lt;div id="topics"&gt;&lt;button class="topic" onclick="showResult('70')"&gt;真正為你賺錢的方法&lt;/button&gt;&lt;/div&gt;</v>
      </c>
    </row>
    <row r="71" spans="1:1" ht="13" x14ac:dyDescent="0.15">
      <c r="A71" s="12" t="str">
        <f ca="1">IFERROR(__xludf.DUMMYFUNCTION("""COMPUTED_VALUE"""),"&lt;div id=""topics""&gt;&lt;label for=""nameInput""&gt;工作成就感：&lt;/label&gt;&lt;/div&gt;")</f>
        <v>&lt;div id="topics"&gt;&lt;label for="nameInput"&gt;工作成就感：&lt;/label&gt;&lt;/div&gt;</v>
      </c>
    </row>
    <row r="72" spans="1:1" ht="13" x14ac:dyDescent="0.15">
      <c r="A72" s="12" t="str">
        <f ca="1">IFERROR(__xludf.DUMMYFUNCTION("""COMPUTED_VALUE"""),"&lt;div id=""topics""&gt;&lt;button class=""topic"" onclick=""showResult('73')""&gt;工作成就感&lt;/button&gt;&lt;/div&gt;")</f>
        <v>&lt;div id="topics"&gt;&lt;button class="topic" onclick="showResult('73')"&gt;工作成就感&lt;/button&gt;&lt;/div&gt;</v>
      </c>
    </row>
    <row r="73" spans="1:1" ht="13" x14ac:dyDescent="0.15">
      <c r="A73" s="12" t="str">
        <f ca="1">IFERROR(__xludf.DUMMYFUNCTION("""COMPUTED_VALUE"""),"&lt;div id=""topics""&gt;&lt;label for=""nameInput""&gt;適合賺錢的模式：&lt;/label&gt;&lt;/div&gt;")</f>
        <v>&lt;div id="topics"&gt;&lt;label for="nameInput"&gt;適合賺錢的模式：&lt;/label&gt;&lt;/div&gt;</v>
      </c>
    </row>
    <row r="74" spans="1:1" ht="13" x14ac:dyDescent="0.15">
      <c r="A74" s="12" t="str">
        <f ca="1">IFERROR(__xludf.DUMMYFUNCTION("""COMPUTED_VALUE"""),"&lt;div id=""topics""&gt;&lt;button class=""topic"" onclick=""showResult('76')""&gt;適合賺錢的模式：&lt;/button&gt;&lt;/div&gt;")</f>
        <v>&lt;div id="topics"&gt;&lt;button class="topic" onclick="showResult('76')"&gt;適合賺錢的模式：&lt;/button&gt;&lt;/div&gt;</v>
      </c>
    </row>
    <row r="75" spans="1:1" ht="13" x14ac:dyDescent="0.15">
      <c r="A75" s="12" t="str">
        <f ca="1">IFERROR(__xludf.DUMMYFUNCTION("""COMPUTED_VALUE"""),"&lt;div id=""topics""&gt;&lt;label for=""nameInput""&gt;調整盲點：&lt;/label&gt;&lt;/div&gt;")</f>
        <v>&lt;div id="topics"&gt;&lt;label for="nameInput"&gt;調整盲點：&lt;/label&gt;&lt;/div&gt;</v>
      </c>
    </row>
    <row r="76" spans="1:1" ht="13" x14ac:dyDescent="0.15">
      <c r="A76" s="12" t="str">
        <f ca="1">IFERROR(__xludf.DUMMYFUNCTION("""COMPUTED_VALUE"""),"&lt;div id=""topics""&gt;&lt;button class=""topic"" onclick=""showResult('79')""&gt;七殺&lt;/button&gt;")</f>
        <v>&lt;div id="topics"&gt;&lt;button class="topic" onclick="showResult('79')"&gt;七殺&lt;/button&gt;</v>
      </c>
    </row>
    <row r="77" spans="1:1" ht="13" x14ac:dyDescent="0.15">
      <c r="A77" s="12" t="str">
        <f ca="1">IFERROR(__xludf.DUMMYFUNCTION("""COMPUTED_VALUE"""),"&lt;button class=""topic"" onclick=""showResult('80')""&gt;破軍&lt;/button&gt;")</f>
        <v>&lt;button class="topic" onclick="showResult('80')"&gt;破軍&lt;/button&gt;</v>
      </c>
    </row>
    <row r="78" spans="1:1" ht="13" x14ac:dyDescent="0.15">
      <c r="A78" s="12" t="str">
        <f ca="1">IFERROR(__xludf.DUMMYFUNCTION("""COMPUTED_VALUE"""),"&lt;button class=""topic"" onclick=""showResult('81')""&gt;貪狼&lt;/button&gt;&lt;/div&gt;")</f>
        <v>&lt;button class="topic" onclick="showResult('81')"&gt;貪狼&lt;/button&gt;&lt;/div&gt;</v>
      </c>
    </row>
    <row r="79" spans="1:1" ht="13" x14ac:dyDescent="0.15">
      <c r="A79" s="12" t="str">
        <f ca="1">IFERROR(__xludf.DUMMYFUNCTION("""COMPUTED_VALUE"""),"&lt;div id=""topics""&gt;&lt;button class=""topic"" onclick=""showResult('82')""&gt;廉貞&lt;/button&gt;")</f>
        <v>&lt;div id="topics"&gt;&lt;button class="topic" onclick="showResult('82')"&gt;廉貞&lt;/button&gt;</v>
      </c>
    </row>
    <row r="80" spans="1:1" ht="13" x14ac:dyDescent="0.15">
      <c r="A80" s="12" t="str">
        <f ca="1">IFERROR(__xludf.DUMMYFUNCTION("""COMPUTED_VALUE"""),"&lt;button class=""topic"" onclick=""showResult('83')""&gt;紫微&lt;/button&gt;")</f>
        <v>&lt;button class="topic" onclick="showResult('83')"&gt;紫微&lt;/button&gt;</v>
      </c>
    </row>
    <row r="81" spans="1:1" ht="13" x14ac:dyDescent="0.15">
      <c r="A81" s="12" t="str">
        <f ca="1">IFERROR(__xludf.DUMMYFUNCTION("""COMPUTED_VALUE"""),"&lt;button class=""topic"" onclick=""showResult('84')""&gt;天府&lt;/button&gt;&lt;/div&gt;")</f>
        <v>&lt;button class="topic" onclick="showResult('84')"&gt;天府&lt;/button&gt;&lt;/div&gt;</v>
      </c>
    </row>
    <row r="82" spans="1:1" ht="13" x14ac:dyDescent="0.15">
      <c r="A82" s="12" t="str">
        <f ca="1">IFERROR(__xludf.DUMMYFUNCTION("""COMPUTED_VALUE"""),"&lt;div id=""topics""&gt;&lt;button class=""topic"" onclick=""showResult('85')""&gt;武曲&lt;/button&gt;")</f>
        <v>&lt;div id="topics"&gt;&lt;button class="topic" onclick="showResult('85')"&gt;武曲&lt;/button&gt;</v>
      </c>
    </row>
    <row r="83" spans="1:1" ht="13" x14ac:dyDescent="0.15">
      <c r="A83" s="12" t="str">
        <f ca="1">IFERROR(__xludf.DUMMYFUNCTION("""COMPUTED_VALUE"""),"&lt;button class=""topic"" onclick=""showResult('86')""&gt;天相&lt;/button&gt;")</f>
        <v>&lt;button class="topic" onclick="showResult('86')"&gt;天相&lt;/button&gt;</v>
      </c>
    </row>
    <row r="84" spans="1:1" ht="13" x14ac:dyDescent="0.15">
      <c r="A84" s="12" t="str">
        <f ca="1">IFERROR(__xludf.DUMMYFUNCTION("""COMPUTED_VALUE"""),"&lt;button class=""topic"" onclick=""showResult('87')""&gt;太陽&lt;/button&gt;&lt;/div&gt;")</f>
        <v>&lt;button class="topic" onclick="showResult('87')"&gt;太陽&lt;/button&gt;&lt;/div&gt;</v>
      </c>
    </row>
    <row r="85" spans="1:1" ht="13" x14ac:dyDescent="0.15">
      <c r="A85" s="12" t="str">
        <f ca="1">IFERROR(__xludf.DUMMYFUNCTION("""COMPUTED_VALUE"""),"&lt;div id=""topics""&gt;&lt;button class=""topic"" onclick=""showResult('88')""&gt;巨門&lt;/button&gt;")</f>
        <v>&lt;div id="topics"&gt;&lt;button class="topic" onclick="showResult('88')"&gt;巨門&lt;/button&gt;</v>
      </c>
    </row>
    <row r="86" spans="1:1" ht="13" x14ac:dyDescent="0.15">
      <c r="A86" s="12" t="str">
        <f ca="1">IFERROR(__xludf.DUMMYFUNCTION("""COMPUTED_VALUE"""),"&lt;button class=""topic"" onclick=""showResult('89')""&gt;天機&lt;/button&gt;")</f>
        <v>&lt;button class="topic" onclick="showResult('89')"&gt;天機&lt;/button&gt;</v>
      </c>
    </row>
    <row r="87" spans="1:1" ht="13" x14ac:dyDescent="0.15">
      <c r="A87" s="12" t="str">
        <f ca="1">IFERROR(__xludf.DUMMYFUNCTION("""COMPUTED_VALUE"""),"&lt;button class=""topic"" onclick=""showResult('90')""&gt;太陰&lt;/button&gt;&lt;/div&gt;")</f>
        <v>&lt;button class="topic" onclick="showResult('90')"&gt;太陰&lt;/button&gt;&lt;/div&gt;</v>
      </c>
    </row>
    <row r="88" spans="1:1" ht="13" x14ac:dyDescent="0.15">
      <c r="A88" s="12" t="str">
        <f ca="1">IFERROR(__xludf.DUMMYFUNCTION("""COMPUTED_VALUE"""),"&lt;div id=""topics""&gt;&lt;button class=""topic"" onclick=""showResult('91')""&gt;天同&lt;/button&gt;")</f>
        <v>&lt;div id="topics"&gt;&lt;button class="topic" onclick="showResult('91')"&gt;天同&lt;/button&gt;</v>
      </c>
    </row>
    <row r="89" spans="1:1" ht="13" x14ac:dyDescent="0.15">
      <c r="A89" s="12" t="str">
        <f ca="1">IFERROR(__xludf.DUMMYFUNCTION("""COMPUTED_VALUE"""),"&lt;button class=""topic"" onclick=""showResult('92')""&gt;天梁&lt;/button&gt;&lt;/div&gt;")</f>
        <v>&lt;button class="topic" onclick="showResult('92')"&gt;天梁&lt;/button&gt;&lt;/div&gt;</v>
      </c>
    </row>
    <row r="90" spans="1:1" ht="13" x14ac:dyDescent="0.15">
      <c r="A90" s="12" t="str">
        <f ca="1">IFERROR(__xludf.DUMMYFUNCTION("""COMPUTED_VALUE"""),"&lt;div id=""topics""&gt;&lt;label for=""nameInput""&gt;實際問題：&lt;/label&gt;&lt;/div&gt;")</f>
        <v>&lt;div id="topics"&gt;&lt;label for="nameInput"&gt;實際問題：&lt;/label&gt;&lt;/div&gt;</v>
      </c>
    </row>
    <row r="91" spans="1:1" ht="13" x14ac:dyDescent="0.15">
      <c r="A91" s="12" t="str">
        <f ca="1">IFERROR(__xludf.DUMMYFUNCTION("""COMPUTED_VALUE"""),"&lt;div id=""topics""&gt;&lt;button class=""topic"" onclick=""showResult('94')""&gt;七殺&lt;/button&gt;")</f>
        <v>&lt;div id="topics"&gt;&lt;button class="topic" onclick="showResult('94')"&gt;七殺&lt;/button&gt;</v>
      </c>
    </row>
    <row r="92" spans="1:1" ht="13" x14ac:dyDescent="0.15">
      <c r="A92" s="12" t="str">
        <f ca="1">IFERROR(__xludf.DUMMYFUNCTION("""COMPUTED_VALUE"""),"&lt;button class=""topic"" onclick=""showResult('95')""&gt;破軍&lt;/button&gt;")</f>
        <v>&lt;button class="topic" onclick="showResult('95')"&gt;破軍&lt;/button&gt;</v>
      </c>
    </row>
    <row r="93" spans="1:1" ht="13" x14ac:dyDescent="0.15">
      <c r="A93" s="12" t="str">
        <f ca="1">IFERROR(__xludf.DUMMYFUNCTION("""COMPUTED_VALUE"""),"&lt;button class=""topic"" onclick=""showResult('96')""&gt;貪狼&lt;/button&gt;&lt;/div&gt;")</f>
        <v>&lt;button class="topic" onclick="showResult('96')"&gt;貪狼&lt;/button&gt;&lt;/div&gt;</v>
      </c>
    </row>
    <row r="94" spans="1:1" ht="13" x14ac:dyDescent="0.15">
      <c r="A94" s="12" t="str">
        <f ca="1">IFERROR(__xludf.DUMMYFUNCTION("""COMPUTED_VALUE"""),"&lt;div id=""topics""&gt;&lt;button class=""topic"" onclick=""showResult('97')""&gt;廉貞&lt;/button&gt;")</f>
        <v>&lt;div id="topics"&gt;&lt;button class="topic" onclick="showResult('97')"&gt;廉貞&lt;/button&gt;</v>
      </c>
    </row>
    <row r="95" spans="1:1" ht="13" x14ac:dyDescent="0.15">
      <c r="A95" s="12" t="str">
        <f ca="1">IFERROR(__xludf.DUMMYFUNCTION("""COMPUTED_VALUE"""),"&lt;button class=""topic"" onclick=""showResult('98')""&gt;紫微&lt;/button&gt;")</f>
        <v>&lt;button class="topic" onclick="showResult('98')"&gt;紫微&lt;/button&gt;</v>
      </c>
    </row>
    <row r="96" spans="1:1" ht="13" x14ac:dyDescent="0.15">
      <c r="A96" s="12" t="str">
        <f ca="1">IFERROR(__xludf.DUMMYFUNCTION("""COMPUTED_VALUE"""),"&lt;button class=""topic"" onclick=""showResult('99')""&gt;天府&lt;/button&gt;&lt;/div&gt;")</f>
        <v>&lt;button class="topic" onclick="showResult('99')"&gt;天府&lt;/button&gt;&lt;/div&gt;</v>
      </c>
    </row>
    <row r="97" spans="1:1" ht="13" x14ac:dyDescent="0.15">
      <c r="A97" s="12" t="str">
        <f ca="1">IFERROR(__xludf.DUMMYFUNCTION("""COMPUTED_VALUE"""),"&lt;div id=""topics""&gt;&lt;button class=""topic"" onclick=""showResult('100')""&gt;武曲&lt;/button&gt;")</f>
        <v>&lt;div id="topics"&gt;&lt;button class="topic" onclick="showResult('100')"&gt;武曲&lt;/button&gt;</v>
      </c>
    </row>
    <row r="98" spans="1:1" ht="13" x14ac:dyDescent="0.15">
      <c r="A98" s="12" t="str">
        <f ca="1">IFERROR(__xludf.DUMMYFUNCTION("""COMPUTED_VALUE"""),"&lt;button class=""topic"" onclick=""showResult('101')""&gt;天相&lt;/button&gt;")</f>
        <v>&lt;button class="topic" onclick="showResult('101')"&gt;天相&lt;/button&gt;</v>
      </c>
    </row>
    <row r="99" spans="1:1" ht="13" x14ac:dyDescent="0.15">
      <c r="A99" s="12" t="str">
        <f ca="1">IFERROR(__xludf.DUMMYFUNCTION("""COMPUTED_VALUE"""),"&lt;button class=""topic"" onclick=""showResult('102')""&gt;太陽&lt;/button&gt;&lt;/div&gt;")</f>
        <v>&lt;button class="topic" onclick="showResult('102')"&gt;太陽&lt;/button&gt;&lt;/div&gt;</v>
      </c>
    </row>
    <row r="100" spans="1:1" ht="13" x14ac:dyDescent="0.15">
      <c r="A100" s="12" t="str">
        <f ca="1">IFERROR(__xludf.DUMMYFUNCTION("""COMPUTED_VALUE"""),"&lt;div id=""topics""&gt;&lt;button class=""topic"" onclick=""showResult('103')""&gt;巨門&lt;/button&gt;")</f>
        <v>&lt;div id="topics"&gt;&lt;button class="topic" onclick="showResult('103')"&gt;巨門&lt;/button&gt;</v>
      </c>
    </row>
    <row r="101" spans="1:1" ht="13" x14ac:dyDescent="0.15">
      <c r="A101" s="12" t="str">
        <f ca="1">IFERROR(__xludf.DUMMYFUNCTION("""COMPUTED_VALUE"""),"&lt;button class=""topic"" onclick=""showResult('104')""&gt;天機&lt;/button&gt;")</f>
        <v>&lt;button class="topic" onclick="showResult('104')"&gt;天機&lt;/button&gt;</v>
      </c>
    </row>
    <row r="102" spans="1:1" ht="13" x14ac:dyDescent="0.15">
      <c r="A102" s="12" t="str">
        <f ca="1">IFERROR(__xludf.DUMMYFUNCTION("""COMPUTED_VALUE"""),"&lt;button class=""topic"" onclick=""showResult('105')""&gt;太陰&lt;/button&gt;&lt;/div&gt;")</f>
        <v>&lt;button class="topic" onclick="showResult('105')"&gt;太陰&lt;/button&gt;&lt;/div&gt;</v>
      </c>
    </row>
    <row r="103" spans="1:1" ht="13" x14ac:dyDescent="0.15">
      <c r="A103" s="12" t="str">
        <f ca="1">IFERROR(__xludf.DUMMYFUNCTION("""COMPUTED_VALUE"""),"&lt;div id=""topics""&gt;&lt;button class=""topic"" onclick=""showResult('106')""&gt;天同&lt;/button&gt;")</f>
        <v>&lt;div id="topics"&gt;&lt;button class="topic" onclick="showResult('106')"&gt;天同&lt;/button&gt;</v>
      </c>
    </row>
    <row r="104" spans="1:1" ht="13" x14ac:dyDescent="0.15">
      <c r="A104" s="12" t="str">
        <f ca="1">IFERROR(__xludf.DUMMYFUNCTION("""COMPUTED_VALUE"""),"&lt;button class=""topic"" onclick=""showResult('107')""&gt;天梁&lt;/button&gt;&lt;/div&gt;")</f>
        <v>&lt;button class="topic" onclick="showResult('107')"&gt;天梁&lt;/button&gt;&lt;/div&gt;</v>
      </c>
    </row>
    <row r="105" spans="1:1" ht="13" x14ac:dyDescent="0.15">
      <c r="A105" s="12" t="str">
        <f ca="1">IFERROR(__xludf.DUMMYFUNCTION("""COMPUTED_VALUE"""),"&lt;div id=""topics""&gt;&lt;label for=""nameInput""&gt;總結：&lt;/label&gt;&lt;/div&gt;")</f>
        <v>&lt;div id="topics"&gt;&lt;label for="nameInput"&gt;總結：&lt;/label&gt;&lt;/div&gt;</v>
      </c>
    </row>
    <row r="106" spans="1:1" ht="13" x14ac:dyDescent="0.15">
      <c r="A106" s="12" t="str">
        <f ca="1">IFERROR(__xludf.DUMMYFUNCTION("""COMPUTED_VALUE"""),"&lt;div id=""topics""&gt;&lt;button class=""topic"" onclick=""showResult('109')""&gt;總結&lt;/button&gt;&lt;/div&gt;")</f>
        <v>&lt;div id="topics"&gt;&lt;button class="topic" onclick="showResult('109')"&gt;總結&lt;/button&gt;&lt;/div&gt;</v>
      </c>
    </row>
  </sheetData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合盤Data</vt:lpstr>
      <vt:lpstr>合盤trans</vt:lpstr>
      <vt:lpstr>診斷Data</vt:lpstr>
      <vt:lpstr>診斷trans</vt:lpstr>
      <vt:lpstr>教練分析Data</vt:lpstr>
      <vt:lpstr>教練分析trans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chunhua</cp:lastModifiedBy>
  <dcterms:created xsi:type="dcterms:W3CDTF">2024-10-15T01:25:17Z</dcterms:created>
  <dcterms:modified xsi:type="dcterms:W3CDTF">2024-10-15T01:25:17Z</dcterms:modified>
</cp:coreProperties>
</file>