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dell-my.sharepoint.com/personal/olvy_sevilla_dell_com/Documents/Projects/Active/. Gov of Canada/CANSOFCOM (2023)/Technical/Site2BuildFiles/"/>
    </mc:Choice>
  </mc:AlternateContent>
  <xr:revisionPtr revIDLastSave="2" documentId="8_{5CD5DA6B-F3BF-4738-984A-1A6D264F911B}" xr6:coauthVersionLast="47" xr6:coauthVersionMax="47" xr10:uidLastSave="{AE90D0F5-AD78-4B11-9620-E1F84DA5CBB0}"/>
  <bookViews>
    <workbookView xWindow="780" yWindow="780" windowWidth="15960" windowHeight="12510" tabRatio="500" activeTab="2" xr2:uid="{00000000-000D-0000-FFFF-FFFF00000000}"/>
  </bookViews>
  <sheets>
    <sheet name="Introduction" sheetId="1" r:id="rId1"/>
    <sheet name="Credentials" sheetId="2" r:id="rId2"/>
    <sheet name="Hosts and Networks" sheetId="3" r:id="rId3"/>
    <sheet name="Lookup_Lists" sheetId="4" state="hidden" r:id="rId4"/>
    <sheet name="Deploy Parameters" sheetId="5" r:id="rId5"/>
    <sheet name="Config_File_Build" sheetId="6" r:id="rId6"/>
    <sheet name="Change Log" sheetId="7" state="hidden" r:id="rId7"/>
  </sheets>
  <externalReferences>
    <externalReference r:id="rId8"/>
    <externalReference r:id="rId9"/>
    <externalReference r:id="rId10"/>
  </externalReferences>
  <definedNames>
    <definedName name="Authentication" localSheetId="0">#REF!</definedName>
    <definedName name="Authentication">#REF!</definedName>
    <definedName name="CLUSTER_SIZE_COMPONENT_M1C1">'Deploy Parameters'!$B$18</definedName>
    <definedName name="Configuration_Mode" localSheetId="0">#REF!</definedName>
    <definedName name="Database_Type" localSheetId="0">#REF!</definedName>
    <definedName name="DYNAMIC_NAME_M1C1">[1]LISTS!$U$5</definedName>
    <definedName name="esx_license_std">'[2]Deploy Parameters'!$F$12</definedName>
    <definedName name="EVC_Settings" localSheetId="0">[3]Lookup_Lists!$A$2:$A$20</definedName>
    <definedName name="EVC_Settings">Lookup_Lists!$A$2:$A$22</definedName>
    <definedName name="GLOBAL_PREFIX">[1]Global!$C$63</definedName>
    <definedName name="_xlnm.Print_Area" localSheetId="1">Credentials!$B$1</definedName>
    <definedName name="_xlnm.Print_Area" localSheetId="4">'Deploy Parameters'!$B$1:$D$38</definedName>
    <definedName name="Print_Area_0" localSheetId="1">Credentials!$B$1:$B$1</definedName>
    <definedName name="SRM_Certificates" localSheetId="0">#REF!</definedName>
    <definedName name="SSL_Policy" localSheetId="0">#REF!</definedName>
    <definedName name="System_Type" localSheetId="0">#REF!</definedName>
    <definedName name="Timezone_Index">#REF!</definedName>
    <definedName name="valuevx">42.314159</definedName>
    <definedName name="vds_Profiles">Lookup_Lists!$C$1:$C$6</definedName>
    <definedName name="VR_Database_Type" localSheetId="0">#REF!</definedName>
    <definedName name="vRB_Currenci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22" i="5" l="1"/>
  <c r="B26" i="5" l="1"/>
  <c r="A6" i="6"/>
  <c r="I14" i="5"/>
  <c r="A90" i="6"/>
  <c r="A89" i="6"/>
  <c r="A88" i="6"/>
  <c r="A91" i="6"/>
  <c r="A193" i="6"/>
  <c r="A192" i="6"/>
  <c r="A191" i="6"/>
  <c r="A190" i="6"/>
  <c r="A189" i="6"/>
  <c r="A188" i="6"/>
  <c r="A187" i="6"/>
  <c r="A183" i="6"/>
  <c r="A182" i="6"/>
  <c r="A181" i="6"/>
  <c r="A180" i="6"/>
  <c r="A178" i="6"/>
  <c r="A177" i="6"/>
  <c r="A176" i="6"/>
  <c r="A174" i="6"/>
  <c r="A173" i="6"/>
  <c r="A172" i="6"/>
  <c r="A171" i="6"/>
  <c r="A170" i="6"/>
  <c r="A169" i="6"/>
  <c r="A168" i="6"/>
  <c r="A167" i="6"/>
  <c r="A163" i="6"/>
  <c r="A162" i="6"/>
  <c r="A161" i="6"/>
  <c r="A159" i="6"/>
  <c r="A157" i="6"/>
  <c r="A153" i="6"/>
  <c r="A152" i="6"/>
  <c r="A151" i="6"/>
  <c r="A150" i="6"/>
  <c r="A149" i="6"/>
  <c r="A148" i="6"/>
  <c r="A147" i="6"/>
  <c r="A146" i="6"/>
  <c r="A145" i="6"/>
  <c r="A144" i="6"/>
  <c r="A143" i="6"/>
  <c r="A142" i="6"/>
  <c r="A139" i="6"/>
  <c r="A138" i="6"/>
  <c r="A136" i="6"/>
  <c r="A135" i="6"/>
  <c r="A133" i="6"/>
  <c r="A132" i="6"/>
  <c r="A129" i="6"/>
  <c r="A128" i="6"/>
  <c r="A127" i="6"/>
  <c r="A124" i="6"/>
  <c r="A123" i="6"/>
  <c r="A122" i="6"/>
  <c r="A121" i="6"/>
  <c r="A120" i="6"/>
  <c r="A119" i="6"/>
  <c r="A118" i="6"/>
  <c r="A117" i="6"/>
  <c r="A116" i="6"/>
  <c r="A115" i="6"/>
  <c r="A112" i="6"/>
  <c r="A111" i="6"/>
  <c r="A110" i="6"/>
  <c r="A109" i="6"/>
  <c r="A108" i="6"/>
  <c r="A105" i="6"/>
  <c r="A104" i="6"/>
  <c r="A103" i="6"/>
  <c r="A102" i="6"/>
  <c r="A101" i="6"/>
  <c r="A98" i="6"/>
  <c r="A97" i="6"/>
  <c r="A96" i="6"/>
  <c r="A95" i="6"/>
  <c r="A94" i="6"/>
  <c r="A87" i="6"/>
  <c r="A86" i="6"/>
  <c r="A83" i="6"/>
  <c r="A82" i="6"/>
  <c r="A81" i="6"/>
  <c r="A80" i="6"/>
  <c r="A79" i="6"/>
  <c r="A77" i="6"/>
  <c r="A76" i="6"/>
  <c r="A73" i="6"/>
  <c r="A72" i="6"/>
  <c r="A70" i="6"/>
  <c r="A69" i="6"/>
  <c r="A68" i="6"/>
  <c r="A67" i="6"/>
  <c r="A66" i="6"/>
  <c r="A65" i="6"/>
  <c r="A63" i="6"/>
  <c r="A60" i="6"/>
  <c r="A59" i="6"/>
  <c r="A58" i="6"/>
  <c r="A57" i="6"/>
  <c r="A56" i="6"/>
  <c r="A55" i="6"/>
  <c r="A54" i="6"/>
  <c r="A53" i="6"/>
  <c r="A51" i="6"/>
  <c r="A50" i="6"/>
  <c r="A48" i="6"/>
  <c r="A44" i="6"/>
  <c r="A43" i="6"/>
  <c r="A40" i="6"/>
  <c r="A39" i="6"/>
  <c r="A38" i="6"/>
  <c r="A37" i="6"/>
  <c r="A33" i="6"/>
  <c r="A32" i="6"/>
  <c r="A30" i="6"/>
  <c r="A29" i="6"/>
  <c r="A28" i="6"/>
  <c r="A27" i="6"/>
  <c r="A24" i="6"/>
  <c r="A23" i="6"/>
  <c r="A22" i="6"/>
  <c r="A21" i="6"/>
  <c r="A20" i="6"/>
  <c r="A19" i="6"/>
  <c r="A16" i="6"/>
  <c r="A15" i="6"/>
  <c r="A14" i="6"/>
  <c r="A13" i="6"/>
  <c r="A11" i="6"/>
  <c r="A10" i="6"/>
  <c r="A5" i="6"/>
  <c r="A4" i="6"/>
  <c r="A3" i="6"/>
  <c r="A2" i="6"/>
  <c r="B39" i="5"/>
  <c r="H35" i="5"/>
  <c r="H33" i="5"/>
  <c r="B32" i="5"/>
  <c r="I28" i="5"/>
  <c r="B27" i="5"/>
  <c r="B25" i="5"/>
  <c r="B24" i="5"/>
  <c r="B23" i="5"/>
  <c r="B22" i="5"/>
  <c r="B16" i="5"/>
  <c r="B12" i="5"/>
  <c r="B7" i="5"/>
  <c r="B6" i="5"/>
  <c r="C6" i="4"/>
  <c r="I21" i="3"/>
  <c r="I19" i="3"/>
  <c r="I18" i="3"/>
  <c r="I17" i="3"/>
  <c r="G17" i="3"/>
  <c r="G18" i="3" s="1"/>
  <c r="I16" i="3"/>
  <c r="I15" i="3"/>
  <c r="I14" i="3"/>
  <c r="G13" i="3"/>
  <c r="G14" i="3" s="1"/>
  <c r="G15" i="3" l="1"/>
  <c r="C5" i="4" s="1"/>
  <c r="C4" i="4"/>
  <c r="C2" i="4"/>
  <c r="G19" i="3"/>
  <c r="C3" i="4" l="1"/>
</calcChain>
</file>

<file path=xl/sharedStrings.xml><?xml version="1.0" encoding="utf-8"?>
<sst xmlns="http://schemas.openxmlformats.org/spreadsheetml/2006/main" count="482" uniqueCount="398">
  <si>
    <t xml:space="preserve">Copyright © 2021 VMware, Inc. All rights reserved. This product is protected by copyright and intellectual property laws in the United States and other countries as well as by international treaties. VMware products are covered by one or more patents listed at http://www.vmware.com/go/patents. VMware is a registered trademark or trademark of VMware, Inc. in the United States and other jurisdictions. All other marks and names mentioned herein may be trademarks of their respective companies. </t>
  </si>
  <si>
    <t>About</t>
  </si>
  <si>
    <r>
      <rPr>
        <sz val="11"/>
        <color rgb="FF000000"/>
        <rFont val="Metropolis Regular"/>
        <charset val="1"/>
      </rPr>
      <t xml:space="preserve">This </t>
    </r>
    <r>
      <rPr>
        <b/>
        <sz val="11"/>
        <color rgb="FF000000"/>
        <rFont val="Metropolis Regular"/>
        <charset val="1"/>
      </rPr>
      <t>Deployment Parameter Workbook</t>
    </r>
    <r>
      <rPr>
        <sz val="11"/>
        <color rgb="FF000000"/>
        <rFont val="Metropolis Regular"/>
        <charset val="1"/>
      </rPr>
      <t xml:space="preserve"> contains worksheets categorizing the information required for deploying </t>
    </r>
    <r>
      <rPr>
        <b/>
        <sz val="11"/>
        <color rgb="FF000000"/>
        <rFont val="Metropolis Regular"/>
        <charset val="1"/>
      </rPr>
      <t>VMware Cloud Foundation</t>
    </r>
    <r>
      <rPr>
        <sz val="11"/>
        <color rgb="FF000000"/>
        <rFont val="Metropolis Regular"/>
        <charset val="1"/>
      </rPr>
      <t xml:space="preserve">. The information provided is used to create the management domain using the </t>
    </r>
    <r>
      <rPr>
        <b/>
        <sz val="11"/>
        <color rgb="FF000000"/>
        <rFont val="Metropolis Regular"/>
        <charset val="1"/>
      </rPr>
      <t xml:space="preserve">VMware Cloud Builder </t>
    </r>
    <r>
      <rPr>
        <sz val="11"/>
        <color rgb="FF000000"/>
        <rFont val="Metropolis Regular"/>
        <charset val="1"/>
      </rPr>
      <t xml:space="preserve">appliance.
The fields in </t>
    </r>
    <r>
      <rPr>
        <b/>
        <sz val="11"/>
        <color rgb="FF000000"/>
        <rFont val="Metropolis Regular"/>
        <charset val="1"/>
      </rPr>
      <t>YELLOW</t>
    </r>
    <r>
      <rPr>
        <sz val="11"/>
        <color rgb="FF000000"/>
        <rFont val="Metropolis Regular"/>
        <charset val="1"/>
      </rPr>
      <t xml:space="preserve"> contain sample values that you should replace with the information as it relates to your environment. If a cell turns </t>
    </r>
    <r>
      <rPr>
        <b/>
        <sz val="11"/>
        <color rgb="FF000000"/>
        <rFont val="Metropolis Regular"/>
        <charset val="1"/>
      </rPr>
      <t>RED</t>
    </r>
    <r>
      <rPr>
        <sz val="11"/>
        <color rgb="FF000000"/>
        <rFont val="Metropolis Regular"/>
        <charset val="1"/>
      </rPr>
      <t xml:space="preserve">, the required information is either missing where its required, or some kind of validation input has failed.
The </t>
    </r>
    <r>
      <rPr>
        <b/>
        <sz val="11"/>
        <color rgb="FF000000"/>
        <rFont val="Metropolis Regular"/>
        <charset val="1"/>
      </rPr>
      <t>Deployment Parameters Workbook</t>
    </r>
    <r>
      <rPr>
        <sz val="11"/>
        <color rgb="FF000000"/>
        <rFont val="Metropolis Regular"/>
        <charset val="1"/>
      </rPr>
      <t xml:space="preserve"> is not able to fully validate all inputs due to formula limitations of Excel and so some validation issues may only be picked up once you upload the workbook to the </t>
    </r>
    <r>
      <rPr>
        <b/>
        <sz val="11"/>
        <color rgb="FF000000"/>
        <rFont val="Metropolis Regular"/>
        <charset val="1"/>
      </rPr>
      <t>VMware Cloud Builder</t>
    </r>
    <r>
      <rPr>
        <sz val="11"/>
        <color rgb="FF000000"/>
        <rFont val="Metropolis Regular"/>
        <charset val="1"/>
      </rPr>
      <t xml:space="preserve"> appliance.
</t>
    </r>
    <r>
      <rPr>
        <b/>
        <sz val="11"/>
        <color rgb="FF000000"/>
        <rFont val="Metropolis Regular"/>
        <charset val="1"/>
      </rPr>
      <t>NOTE</t>
    </r>
    <r>
      <rPr>
        <sz val="11"/>
        <color rgb="FF000000"/>
        <rFont val="Metropolis Regular"/>
        <charset val="1"/>
      </rPr>
      <t xml:space="preserve">: Using copy and paste between cells can also create problems so try to avoid, if you do use this capability ensure you select Paste Special &gt; Values only
For further information see the following </t>
    </r>
    <r>
      <rPr>
        <b/>
        <sz val="11"/>
        <color rgb="FF000000"/>
        <rFont val="Metropolis Regular"/>
        <charset val="1"/>
      </rPr>
      <t>VMware Cloud Foundation</t>
    </r>
    <r>
      <rPr>
        <sz val="11"/>
        <color rgb="FF000000"/>
        <rFont val="Metropolis Regular"/>
        <charset val="1"/>
      </rPr>
      <t xml:space="preserve"> documentation ( https://docs.vmware.com/en/VMware-Cloud-Foundation/index.html ) :
     - For information on deploying the management domain, see </t>
    </r>
    <r>
      <rPr>
        <b/>
        <sz val="11"/>
        <color rgb="FF000000"/>
        <rFont val="Metropolis Regular"/>
        <charset val="1"/>
      </rPr>
      <t>VMware Cloud Foundation on Dell EMC VxRail Administration Guide</t>
    </r>
    <r>
      <rPr>
        <sz val="11"/>
        <color rgb="FF000000"/>
        <rFont val="Metropolis Regular"/>
        <charset val="1"/>
      </rPr>
      <t>.</t>
    </r>
  </si>
  <si>
    <t>Worksheet Descriptions</t>
  </si>
  <si>
    <r>
      <rPr>
        <b/>
        <sz val="11"/>
        <color rgb="FF000000"/>
        <rFont val="Metropolis Regular"/>
        <charset val="1"/>
      </rPr>
      <t>Credentials</t>
    </r>
    <r>
      <rPr>
        <sz val="11"/>
        <color rgb="FF000000"/>
        <rFont val="Metropolis Regular"/>
        <charset val="1"/>
      </rPr>
      <t xml:space="preserve"> - Used to input default passwords that will be used for built-in accounts for each component.
</t>
    </r>
    <r>
      <rPr>
        <b/>
        <sz val="11"/>
        <color rgb="FF000000"/>
        <rFont val="Metropolis Regular"/>
        <charset val="1"/>
      </rPr>
      <t>Hosts and Networks</t>
    </r>
    <r>
      <rPr>
        <sz val="11"/>
        <color rgb="FF000000"/>
        <rFont val="Metropolis Regular"/>
        <charset val="1"/>
      </rPr>
      <t xml:space="preserve"> - Used to input network details such as VLAN IDs, CIDR, Gateway, Portgroup Names and MTU, ESXi hostnames, IP Addresses, vMotion and vSAN IP Pool details.
</t>
    </r>
    <r>
      <rPr>
        <b/>
        <sz val="11"/>
        <color rgb="FF000000"/>
        <rFont val="Metropolis Regular"/>
        <charset val="1"/>
      </rPr>
      <t>Deploy Parameters</t>
    </r>
    <r>
      <rPr>
        <sz val="11"/>
        <color rgb="FF000000"/>
        <rFont val="Metropolis Regular"/>
        <charset val="1"/>
      </rPr>
      <t xml:space="preserve"> - Used to input configuration details for infrastructure components and vCenter Server, vSAN, NSX-T Data Center and SDDC Manager.</t>
    </r>
  </si>
  <si>
    <t>Infrastructure Information</t>
  </si>
  <si>
    <t xml:space="preserve">Instructions: Use the Users tab to input the default passwords used for built-in accounts for each component, these will be used to implement the Management Domain. - Grey cells are for information purposes and cannot be modified. - Red cells mean the input data is either missing and required or some type of validation of the input data has failed. Password Policy: Each password has its own password policy typically a minimum number of characters in length and at least one uppercase, lowercase, number and special character (must be of the following @!#$%?^). </t>
  </si>
  <si>
    <t>Users</t>
  </si>
  <si>
    <t>Username</t>
  </si>
  <si>
    <t>Default Password</t>
  </si>
  <si>
    <t>Description</t>
  </si>
  <si>
    <r>
      <rPr>
        <b/>
        <sz val="12"/>
        <rFont val="Metropolis"/>
        <family val="3"/>
        <charset val="1"/>
      </rPr>
      <t xml:space="preserve">VxRail Manager
</t>
    </r>
    <r>
      <rPr>
        <b/>
        <i/>
        <sz val="9"/>
        <rFont val="Metropolis"/>
        <family val="3"/>
        <charset val="1"/>
      </rPr>
      <t>Data from VxRail Configuration</t>
    </r>
  </si>
  <si>
    <t>root</t>
  </si>
  <si>
    <t>VxRail Manager - Root Account</t>
  </si>
  <si>
    <t>mystic</t>
  </si>
  <si>
    <t>VxRail Manager - Service Account</t>
  </si>
  <si>
    <t>ESXi Host Root Account (Same for all ESXi hosts)</t>
  </si>
  <si>
    <t>administrator@vsphere.local</t>
  </si>
  <si>
    <t>Default Single-Sign On Domain Administrator User</t>
  </si>
  <si>
    <t>vCenter Server Virtual Appliances Root Account</t>
  </si>
  <si>
    <t>NSX-T Data Center</t>
  </si>
  <si>
    <t>NSX-T Virtual Appliance Root Account - NSX-T Manager and Edge Nodes</t>
  </si>
  <si>
    <t>admin</t>
  </si>
  <si>
    <t>NSX-T User Interface and Default CLI Admin Account - NSX-T Manager and Edge Nodes</t>
  </si>
  <si>
    <t>audit</t>
  </si>
  <si>
    <t>NSX-T Audit CLI Account - NSX-T Manager and Edge Nodes</t>
  </si>
  <si>
    <t>SDDC Manager</t>
  </si>
  <si>
    <t>SDDC Manager Appliance Root Account</t>
  </si>
  <si>
    <t>vcf</t>
  </si>
  <si>
    <t>SDDC Manager Super User</t>
  </si>
  <si>
    <t>admin@local</t>
  </si>
  <si>
    <t>SDDC Manager Local Account</t>
  </si>
  <si>
    <r>
      <rPr>
        <b/>
        <sz val="10.5"/>
        <rFont val="Metropolis"/>
        <family val="3"/>
        <charset val="1"/>
      </rPr>
      <t xml:space="preserve">Instructions: </t>
    </r>
    <r>
      <rPr>
        <sz val="10.5"/>
        <rFont val="Metropolis"/>
      </rPr>
      <t xml:space="preserve">Use the </t>
    </r>
    <r>
      <rPr>
        <i/>
        <sz val="10.5"/>
        <rFont val="Metropolis"/>
      </rPr>
      <t>Hosts and Networks</t>
    </r>
    <r>
      <rPr>
        <sz val="10.5"/>
        <rFont val="Metropolis"/>
      </rPr>
      <t xml:space="preserve"> tab to input network details, hostname and IPs for the ESXi hosts to be used to implement the Management Domain.
- Grey cells are for information purposes and cannot be modified.
- </t>
    </r>
    <r>
      <rPr>
        <b/>
        <sz val="10.5"/>
        <color rgb="FFFF0000"/>
        <rFont val="Metropolis"/>
      </rPr>
      <t xml:space="preserve">Red cells mean the input data is either missing and mandatory or some type of validation of the input data has failed.
</t>
    </r>
    <r>
      <rPr>
        <sz val="10.5"/>
        <rFont val="Metropolis"/>
      </rPr>
      <t xml:space="preserve">- </t>
    </r>
    <r>
      <rPr>
        <b/>
        <sz val="10.5"/>
        <rFont val="Metropolis"/>
      </rPr>
      <t>Yellow cells indicate input data, default values are included to help illustrate the formatting to be used and align to the VMware documentation.</t>
    </r>
    <r>
      <rPr>
        <sz val="10.5"/>
        <rFont val="Metropolis"/>
      </rPr>
      <t xml:space="preserve"> </t>
    </r>
    <r>
      <rPr>
        <sz val="10.5"/>
        <color rgb="FFFF0000"/>
        <rFont val="Metropolis"/>
      </rPr>
      <t>If a value is not required enter 'n/a', if it turns red then its mandatory.</t>
    </r>
  </si>
  <si>
    <t>Management Domain Networks</t>
  </si>
  <si>
    <t>Management Domain ESXi Hosts</t>
  </si>
  <si>
    <t>Network Type</t>
  </si>
  <si>
    <t>VLAN #</t>
  </si>
  <si>
    <t>Portgroup Name</t>
  </si>
  <si>
    <t>CIDR Notation</t>
  </si>
  <si>
    <t>Gateway</t>
  </si>
  <si>
    <t>MTU</t>
  </si>
  <si>
    <t>Management Network</t>
  </si>
  <si>
    <t>vCenter Server Network-*</t>
  </si>
  <si>
    <t>vMotion Network</t>
  </si>
  <si>
    <t>vSphere vMotion-*</t>
  </si>
  <si>
    <t>n/a</t>
  </si>
  <si>
    <t>vMotion Start IP</t>
  </si>
  <si>
    <t>vMotion End IP</t>
  </si>
  <si>
    <t>vSAN Network</t>
  </si>
  <si>
    <t>Virtual SAN-</t>
  </si>
  <si>
    <t>vSAN Start IP</t>
  </si>
  <si>
    <t>vSAN End IP</t>
  </si>
  <si>
    <t>Yes</t>
  </si>
  <si>
    <t>Security Thumbprints</t>
  </si>
  <si>
    <t xml:space="preserve"> Validate Thumbprints</t>
  </si>
  <si>
    <t>System vSphere Distributed Switch (VxRail Manager Created)</t>
  </si>
  <si>
    <t>Value</t>
  </si>
  <si>
    <t>Hostname</t>
  </si>
  <si>
    <t>SSH RSA Key Fingerprints (SHA256)</t>
  </si>
  <si>
    <t>SSL Thumbprints (SHA256)</t>
  </si>
  <si>
    <t>System vSphere Distributed Switch - Name</t>
  </si>
  <si>
    <t>sfo-m01-cl01-vds01</t>
  </si>
  <si>
    <t>Example Input</t>
  </si>
  <si>
    <t>SHA256:RBA2O5XImupEfJSaoBcYYzc0aR9gWjlkY8VqptIub9w</t>
  </si>
  <si>
    <t>27:09:80:C3:59:00:73:F0:80:93:15:36:7E:5D:C9:72:69:32:EF:99</t>
  </si>
  <si>
    <t>System vSphere Distributed Switch - vmnics to be used for overlay traffic</t>
  </si>
  <si>
    <t>vmnic0,vmnic1</t>
  </si>
  <si>
    <t>No</t>
  </si>
  <si>
    <t>VLAN ID</t>
  </si>
  <si>
    <t>New vSphere Distributed Switch</t>
  </si>
  <si>
    <t>New vSphere Distributed Switch - Name</t>
  </si>
  <si>
    <t>Configure NSX-T Host Overlay Using a Static IP Pool</t>
  </si>
  <si>
    <t>New vSphere Distributed Switch - vmnics</t>
  </si>
  <si>
    <t>Pool Description</t>
  </si>
  <si>
    <t>New vSphere Distributed Switch - MTU Size</t>
  </si>
  <si>
    <t>Pool Name</t>
  </si>
  <si>
    <t>NSX-T Host Overlay Start IP</t>
  </si>
  <si>
    <t>NSX-T Host Overlay End IP</t>
  </si>
  <si>
    <t>EVC_Settings</t>
  </si>
  <si>
    <t>vds_Profiles</t>
  </si>
  <si>
    <t>intel-merom</t>
  </si>
  <si>
    <t>intel-penryn</t>
  </si>
  <si>
    <t>intel-nehalem</t>
  </si>
  <si>
    <t>intel-westmere</t>
  </si>
  <si>
    <t>intel-sandybridge</t>
  </si>
  <si>
    <t>intel-ivybridge</t>
  </si>
  <si>
    <t>intel-haswell</t>
  </si>
  <si>
    <t>intel-broadwell</t>
  </si>
  <si>
    <t>intel-skylake</t>
  </si>
  <si>
    <t>intel-cascadelake</t>
  </si>
  <si>
    <t>intel-icelake</t>
  </si>
  <si>
    <t>amd-rev-e</t>
  </si>
  <si>
    <t>amd-rev-f</t>
  </si>
  <si>
    <t>amd-greyhound-no3dnow</t>
  </si>
  <si>
    <t>amd-greyhound</t>
  </si>
  <si>
    <t>amd-bulldozer</t>
  </si>
  <si>
    <t>amd-piledriver</t>
  </si>
  <si>
    <t>amd-steamroller</t>
  </si>
  <si>
    <t>amd-zen</t>
  </si>
  <si>
    <t>amd-zen2</t>
  </si>
  <si>
    <r>
      <rPr>
        <b/>
        <sz val="10"/>
        <rFont val="Metropolis"/>
        <family val="3"/>
        <charset val="1"/>
      </rPr>
      <t xml:space="preserve">Instructions: </t>
    </r>
    <r>
      <rPr>
        <sz val="10"/>
        <rFont val="Metropolis"/>
      </rPr>
      <t xml:space="preserve">Use the </t>
    </r>
    <r>
      <rPr>
        <i/>
        <sz val="10"/>
        <rFont val="Metropolis"/>
      </rPr>
      <t>Deployment Parameters</t>
    </r>
    <r>
      <rPr>
        <sz val="10"/>
        <rFont val="Metropolis"/>
      </rPr>
      <t xml:space="preserve"> tab to input configuration details for physical infrastructure and the components used to implement the Management Domain.
- Grey cells are for information purposes and cannot be modified.
- </t>
    </r>
    <r>
      <rPr>
        <sz val="10"/>
        <color rgb="FFFF0000"/>
        <rFont val="Metropolis"/>
      </rPr>
      <t xml:space="preserve">Red cells mean the input data is either missing and mandatory or some type of validation of the input data has failed.
</t>
    </r>
    <r>
      <rPr>
        <sz val="10"/>
        <rFont val="Metropolis"/>
      </rPr>
      <t xml:space="preserve">- </t>
    </r>
    <r>
      <rPr>
        <b/>
        <sz val="10"/>
        <rFont val="Metropolis"/>
      </rPr>
      <t>Yellow cells indicate input data, default values are included to help illustrate the formatting to be used and align to the VMware documentation.</t>
    </r>
    <r>
      <rPr>
        <sz val="10"/>
        <rFont val="Metropolis"/>
      </rPr>
      <t xml:space="preserve"> </t>
    </r>
    <r>
      <rPr>
        <sz val="10"/>
        <color rgb="FFFF0000"/>
        <rFont val="Metropolis"/>
      </rPr>
      <t>If a value is not required enter 'n/a', if it turns red then its mandatory.</t>
    </r>
  </si>
  <si>
    <t>Existing Infrastructure Details</t>
  </si>
  <si>
    <t>Infrastructure</t>
  </si>
  <si>
    <t>DNS Zone</t>
  </si>
  <si>
    <t>DNS Server and DNS Zone Defined</t>
  </si>
  <si>
    <t xml:space="preserve">DNS Server #1 </t>
  </si>
  <si>
    <t>DNS Zone Name</t>
  </si>
  <si>
    <t>NTP Servers</t>
  </si>
  <si>
    <t>DNS Server #2</t>
  </si>
  <si>
    <t>NTP Server #1</t>
  </si>
  <si>
    <t>Enable Customer Experience Improvement Program (“CEIP”)</t>
  </si>
  <si>
    <t>NTP Server #2</t>
  </si>
  <si>
    <t>Enable FIPS Security Mode on SDDC Manager</t>
  </si>
  <si>
    <t>VxRail Manager Details</t>
  </si>
  <si>
    <t>VxRail Manager - Hostname and Static IP Defined</t>
  </si>
  <si>
    <t xml:space="preserve">VxRail Manager Details - Management </t>
  </si>
  <si>
    <t>License Keys</t>
  </si>
  <si>
    <t>Licensing</t>
  </si>
  <si>
    <t>License Key</t>
  </si>
  <si>
    <t>Default Password for ESXi Hosts</t>
  </si>
  <si>
    <t>ESXi</t>
  </si>
  <si>
    <t>vSAN</t>
  </si>
  <si>
    <t>vCenter Server</t>
  </si>
  <si>
    <t>vSphere Infrastructure</t>
  </si>
  <si>
    <t>IP Address</t>
  </si>
  <si>
    <t>vCenter Datacenter and Cluster</t>
  </si>
  <si>
    <t>vCenter Server Hostname and IP Address</t>
  </si>
  <si>
    <t>Datacenter Name (VxRail Default)</t>
  </si>
  <si>
    <t>vCenter Server - Hostname and Static IP Defined</t>
  </si>
  <si>
    <t>Cluster Name (VxRail Default)</t>
  </si>
  <si>
    <t>vCenter Datacenter and Cluster Defined</t>
  </si>
  <si>
    <t>Select the VCF Architecture to be deployed:</t>
  </si>
  <si>
    <t>Standard</t>
  </si>
  <si>
    <t>vSphere Resource Pools Defined</t>
  </si>
  <si>
    <t>vSphere Resource Pools</t>
  </si>
  <si>
    <t>vSphere Datastore</t>
  </si>
  <si>
    <t>Virtual Networking Defined</t>
  </si>
  <si>
    <t>Resource Pool SDDC Management</t>
  </si>
  <si>
    <t>sfo-m01-cl01-rp-sddc-mgmt</t>
  </si>
  <si>
    <t>vSAN Datastore Name</t>
  </si>
  <si>
    <t>vSphere Datastores Defined</t>
  </si>
  <si>
    <t>Resource Pool SDDC Edge</t>
  </si>
  <si>
    <t>sfo-m01-cl01-rp-sddc-edge</t>
  </si>
  <si>
    <t>Resource Pool User Edge</t>
  </si>
  <si>
    <t>sfo-m01-cl01-rp-user-edge</t>
  </si>
  <si>
    <t>Resource Pool User VM</t>
  </si>
  <si>
    <t>sfo-m01-cl01-rp-user-vm</t>
  </si>
  <si>
    <t>NSX-T Management Cluster</t>
  </si>
  <si>
    <t>NSX-T Nodes - Hostnames and Static IPs Defined</t>
  </si>
  <si>
    <t>NSX-T Management Cluster VIP</t>
  </si>
  <si>
    <t>NSX-T Virtual Appliance Node #1</t>
  </si>
  <si>
    <t>NSX-T Virtual Appliance Node #2</t>
  </si>
  <si>
    <t>NSX-T Virtual Appliance Node #3</t>
  </si>
  <si>
    <t>NSX-T Virtual Appliance Size (Default Medium)</t>
  </si>
  <si>
    <t>medium</t>
  </si>
  <si>
    <t>SDDC Manager - Hostnames and Static IP Defined</t>
  </si>
  <si>
    <t>SDDC Manager Hostname</t>
  </si>
  <si>
    <t>SDDC Manager IP Address</t>
  </si>
  <si>
    <t>Cloud Foundation Management Domain Name</t>
  </si>
  <si>
    <t># *******************      V C F - E M S  -  M a n a g e m e n t   W o r k l o a d   D o m a i n       *******************</t>
  </si>
  <si>
    <t>"workflowName"</t>
  </si>
  <si>
    <t>"ceipEnabled"</t>
  </si>
  <si>
    <t>"fipsEnabled"</t>
  </si>
  <si>
    <t>"workflowVersion"</t>
  </si>
  <si>
    <t># ******************* E X T E R N A L    I N F R A S T R U C T U R E    C O M P O N E N T S *******************</t>
  </si>
  <si>
    <t># NTP Servers (IP or FQDN supported)</t>
  </si>
  <si>
    <t>"ntpSpec" &gt; "ntpServers"</t>
  </si>
  <si>
    <t># DNS Zones</t>
  </si>
  <si>
    <t>"dnsSpec" &gt; "domain"</t>
  </si>
  <si>
    <t>"dnsSpec" &gt; "nameserver"</t>
  </si>
  <si>
    <t>"dnsSpec" &gt; "subdomain"</t>
  </si>
  <si>
    <t>"dnsSpec" &gt; "secondaryNameserver"</t>
  </si>
  <si>
    <t># ******************* S D D C    M A N A G E R  *******************</t>
  </si>
  <si>
    <t>"sddcManagerSpec" &gt; "rootUserCredentials" &gt; "password"</t>
  </si>
  <si>
    <t>"sddcManagerSpec" &gt; "secondUserCredentials" &gt; "password"</t>
  </si>
  <si>
    <t xml:space="preserve">"sddcManagerSpec" &gt; "localUserPassword </t>
  </si>
  <si>
    <t>"sddcManagerSpec" &gt; "ipAddress"</t>
  </si>
  <si>
    <t>"sddcManagerSpec" &gt; "hostname"</t>
  </si>
  <si>
    <t># ******************* V C E N T E R  S E R V E R  *******************</t>
  </si>
  <si>
    <t>"vCenterSpecs" &gt; "licenseFile"</t>
  </si>
  <si>
    <t>"vCenterSpecs" &gt; "rootVcenterPassword"</t>
  </si>
  <si>
    <t>"vCenterSpecs" &gt; "vcenterIP"</t>
  </si>
  <si>
    <t>"vCenterSpecs" &gt; "vcenterHostname"</t>
  </si>
  <si>
    <t xml:space="preserve"># vSphere Single Sign-On </t>
  </si>
  <si>
    <t>"pscSpecs" &gt; "adminUserSsoPassword"</t>
  </si>
  <si>
    <t>"pscSpecs" &gt; "pscSsoSpec" &gt; "ssoSiteName"</t>
  </si>
  <si>
    <t># *******************  R E M O T E    S P E C *******************</t>
  </si>
  <si>
    <t># Join existing Platform Services Controller SSO Domain from Region A</t>
  </si>
  <si>
    <t>"remoteSiteSpec" &gt; "pscAddress"</t>
  </si>
  <si>
    <t>"remoteSiteSpec" &gt; "vcCredentials" &gt; "userName"</t>
  </si>
  <si>
    <t>"remoteSiteSpec" &gt; "vcCredentials" &gt; "password"</t>
  </si>
  <si>
    <t># ******************* V S A N *******************</t>
  </si>
  <si>
    <t>"vsanSpecs" &gt; "licenseFile"</t>
  </si>
  <si>
    <t>"vsanSpecs" &gt; "datastoreName"</t>
  </si>
  <si>
    <t># ******************* E S X I  H O S T S *******************</t>
  </si>
  <si>
    <t># ESXi Host License Key</t>
  </si>
  <si>
    <t>"esxLicense"</t>
  </si>
  <si>
    <t># Default credentials for all ESXi servers, all installations must have the same user name and password.</t>
  </si>
  <si>
    <t>"esxiHostSpecs" &gt; "esxiCredentials" &gt; "userName"</t>
  </si>
  <si>
    <t>"esxiHostSpecs" &gt; "esxiCredentials" &gt; "password"</t>
  </si>
  <si>
    <t># Hosts needed for the management cluster, this is where we deploy all the solutions. Up to 8 hosts, 2 is the minimum.</t>
  </si>
  <si>
    <t>"esxiHostSpecs" &gt; "ipAddressPrivate" &gt; "ipAddress"</t>
  </si>
  <si>
    <t>"esxiHostSpecs" &gt; "esxiHostname"</t>
  </si>
  <si>
    <t># Security Thumbprints</t>
  </si>
  <si>
    <t>"skipEsxThumbprintValidation"</t>
  </si>
  <si>
    <t># SSH Thumbprints</t>
  </si>
  <si>
    <t># SSL Thumbprints</t>
  </si>
  <si>
    <t># ******************* D A T A C E N T E R   /   C L U S T E R  *******************</t>
  </si>
  <si>
    <t xml:space="preserve">"esxiHostSpecs" &gt; "association"  |  "networkSpecs" &gt; "association" </t>
  </si>
  <si>
    <t>"clusterSpecs" &gt; "clusterId</t>
  </si>
  <si>
    <t># vSphere Resource Pools</t>
  </si>
  <si>
    <t>"clusterSpecs" &gt; "resourcePoolSpecs" &gt; "name"</t>
  </si>
  <si>
    <t># ******************* D I S T R I B U T E D  S W I T C H E S  *******************</t>
  </si>
  <si>
    <t>"dvsSpecs" &gt; "dvsName"</t>
  </si>
  <si>
    <t>"dvsSpecs" &gt; "vmnics"</t>
  </si>
  <si>
    <t>"dvsSpecs" &gt; "mtu"</t>
  </si>
  <si>
    <t># Management Network - Management Domain - "networkType": "MANAGEMENT"</t>
  </si>
  <si>
    <t>"networkSpecs" &gt; "subnet" | "esxiHostSpecs" &gt; "ipAddressPrivate" &gt; "cidr"</t>
  </si>
  <si>
    <t>"networkSpecs" &gt; "gateway" | "esxiHostSpecs" &gt; "ipAddressPrivate" &gt; "gateway"</t>
  </si>
  <si>
    <t>"networkSpecs" &gt; "VLANId"</t>
  </si>
  <si>
    <t>"networkSpecs" &gt; "mtu"</t>
  </si>
  <si>
    <t>"networkSpecs" &gt; "portGroupKey"</t>
  </si>
  <si>
    <t># Management Network - Management Domain - "networkType": "VSAN"</t>
  </si>
  <si>
    <t># Management Network - Management Domain - "networkType": "VMOTION"</t>
  </si>
  <si>
    <t># Network IP Inclusion Ranges</t>
  </si>
  <si>
    <t>"networkSpecs" &gt; "includeIpAddressRanges"</t>
  </si>
  <si>
    <t># Folder Names Mgmt Cluster - Automatically formulated in XLS using sso-site-name@value= + static values</t>
  </si>
  <si>
    <t>"clusterSpecs" &gt; "vmFolders" &gt; "MANAGEMENT"</t>
  </si>
  <si>
    <t>"clusterSpecs" &gt; "vmFolders" &gt; "NETWORKING"</t>
  </si>
  <si>
    <t>"clusterSpecs" &gt; "vmFolders" &gt; "EDGENODES"</t>
  </si>
  <si>
    <t># *******************  V x R A I L    M A N A G E R *******************</t>
  </si>
  <si>
    <t># VxRail Root Account</t>
  </si>
  <si>
    <t># VxRail Service Account</t>
  </si>
  <si>
    <t xml:space="preserve"># VxRail - vCenter Objects for </t>
  </si>
  <si>
    <t># *******************  N S X - T   *******************</t>
  </si>
  <si>
    <t># NSX-T License Key</t>
  </si>
  <si>
    <t>"nsxtSpec" &gt; "nsxtLicense"</t>
  </si>
  <si>
    <t># NSX-T Manager Virtual Appliance Size - Valid values are "small", "medium", "large"</t>
  </si>
  <si>
    <t>"nsxtSpec" &gt; "nsxtManagerSize"</t>
  </si>
  <si>
    <t># NSX-T Credentials</t>
  </si>
  <si>
    <t>"nsxtSpec" &gt; "rootNsxtManagerPassword"</t>
  </si>
  <si>
    <t>"nsxtSpec" &gt; "nsxtAdminPassword"</t>
  </si>
  <si>
    <t>"nsxtSpec" &gt; "nsxtAuditPassword"</t>
  </si>
  <si>
    <t>nsxt-enable-rootLogin=true</t>
  </si>
  <si>
    <t>"nsxtSpec" &gt; "rootLoginEnabledForNsxtManager"</t>
  </si>
  <si>
    <t>nsxt-enable-ssh=true</t>
  </si>
  <si>
    <t>"nsxtSpec" &gt; "sshEnabledForNsxtManager"</t>
  </si>
  <si>
    <t># NSX-T Hostnames and IP Addresses</t>
  </si>
  <si>
    <t>"nsxtSpec" &gt; "vipFqdn"</t>
  </si>
  <si>
    <t>"nsxtSpec" &gt; "vip"</t>
  </si>
  <si>
    <t>"nsxtSpec" &gt; "nsxtManagers"</t>
  </si>
  <si>
    <t># NSX-T Transport Zone</t>
  </si>
  <si>
    <t>"nsxtSpec" &gt; "vlanTransportZones" &gt; "zoneName"</t>
  </si>
  <si>
    <t>nsxt-transport-vlan-networkName=netName-vlan</t>
  </si>
  <si>
    <t>"nsxtSpec" &gt; "vlanTransportZones" &gt; "networkName"</t>
  </si>
  <si>
    <t>"nsxtSpec" &gt; "transportVlanId"</t>
  </si>
  <si>
    <t>"nsxtSpec" &gt; "overLayTransportZones" &gt; "zoneName"</t>
  </si>
  <si>
    <t>nsxt-transport-overlay-networkName=netName-overlay</t>
  </si>
  <si>
    <t>"nsxtSpec" &gt; "overLayTransportZones" &gt; "networkName"</t>
  </si>
  <si>
    <t># NSX-T ESXi Host TEP Static IP Pool</t>
  </si>
  <si>
    <t>"nsxtSpec" &gt; "ipAddressPoolSpec" &gt; "name"</t>
  </si>
  <si>
    <t>"nsxtSpec" &gt; "ipAddressPoolSpec" &gt; "description"</t>
  </si>
  <si>
    <t>"nsxtSpec" &gt; "ipAddressPoolSpec" &gt; "subnets" &gt; "ipAddressPoolRanges" &gt; "start"</t>
  </si>
  <si>
    <t>"nsxtSpec" &gt; "ipAddressPoolSpec" &gt; "subnets" &gt; "ipAddressPoolRanges" &gt; "end"</t>
  </si>
  <si>
    <t>"nsxtSpec" &gt; "ipAddressPoolSpec" &gt; "subnets" &gt; "cidr"</t>
  </si>
  <si>
    <t>"nsxtSpec" &gt; "ipAddressPoolSpec" &gt; "subnets" &gt; "gateway"</t>
  </si>
  <si>
    <t># *******************  E N D   O F   F I L E  *******************</t>
  </si>
  <si>
    <t>Date</t>
  </si>
  <si>
    <t>New XLS file to Support VCF on VxRail - Took VCF Folsom release version as the starting point</t>
  </si>
  <si>
    <t>Addressed PR 2265792 - Clean up non-requiremed items in the XLS file</t>
  </si>
  <si>
    <t>Removed Remote Site Details for PSC pending Password Rotaton issue resolution
Addressed PR 2279664 - Updated NSX Version from 6.4.3 to 6.4.4
Added input validation for segment IDs, valid input between 5000 and 16777215
Addrssed PR 2262205 - Added CEIP setting
Addressed PR 2091769 - Enable vSwitch value to be configurable</t>
  </si>
  <si>
    <t>Addressed PR 2288425 - Update Pre-Requisite checklist, Set VSAN and Vmotion Ips and gateway non editable and n/a, Removed vcenter size, vss portgroup name and host pool name,  set virtula network field n/a and non editable</t>
  </si>
  <si>
    <t>Addressed PR 2298259, removed Yes/No Toggle for vCenter Server CEIP which does not toggle CEIP but advanced settings</t>
  </si>
  <si>
    <t>Addressed PR 2302896, Added multicast range addresses</t>
  </si>
  <si>
    <t>Addressed PR 2317410 - Added VMware Cloud Foundation version number first worksheet and created new key/value pair
Addressed PR 2318346 - Check MTU input is greater than 1500</t>
  </si>
  <si>
    <t xml:space="preserve">Addressed PR 2343757 - Updated Version number to 3.7.2
Addressed PR 2343803 - Updated vCenter/PSC Versions </t>
  </si>
  <si>
    <t>Addressed PR 2354042 - Updated vCenter/PSC, NSX and vRealize Log Insight versions</t>
  </si>
  <si>
    <t>Addeded toggle feature forenabling CEIP across vCenter, VSAN, NSX and vRealize Log Insight</t>
  </si>
  <si>
    <t>Addressed PR 2359629 - Fixed formula error for input validation of root password</t>
  </si>
  <si>
    <t>Addressed PR 2360622 - Unlock Status and Comments columns in Prerequisite Checklist tab
Addressed PR 2360199 - Allow both IP and FQDN as inputs for NTP Servers</t>
  </si>
  <si>
    <t>Updated the VCF Version details to 3.8.0</t>
  </si>
  <si>
    <t>Added Advanced NSX Networking Settings to support Application Virtual Networks
Added NSX Advanced versus Enterprise Deployment Toggle</t>
  </si>
  <si>
    <t>Updated the VCF Version details to 3.9.0</t>
  </si>
  <si>
    <t>Addressed PR 2399375 - Updated the input message for NSX Password Policies</t>
  </si>
  <si>
    <t>Addressed PR 2378593 - Renamed Datacenter, Cluster and vDS Portgroups to match VxRail Defaults. Removed the Virtual Networking section from Deploy Parameters</t>
  </si>
  <si>
    <t>Addressed PR 2416544 - Adding missing MTU for Uplinks</t>
  </si>
  <si>
    <t>Updated for Iowa1 Release</t>
  </si>
  <si>
    <t>Addressed PR 2193648 - Updated 'vRealize Log Insight Node Load Balancer' to 'vRealize Log Insight Load Balancer'</t>
  </si>
  <si>
    <t>Added toggle feature for Embedded PSC</t>
  </si>
  <si>
    <t>Created Jefferson1 Release</t>
  </si>
  <si>
    <t>Added feature toggle for Embedded PSC</t>
  </si>
  <si>
    <t>Updated default values for vRealize Log Insight IP Addresses so they are on the correct Application Virtual Network</t>
  </si>
  <si>
    <t>Updated default values for Resource Pools</t>
  </si>
  <si>
    <t>Updated Cluster Name</t>
  </si>
  <si>
    <t>Added Application Virtual Network ESG VMs to Management Workloads</t>
  </si>
  <si>
    <t>Updated the VCF Version details to 4.0.0
    - Remove Platform Services Controller Hostname and IPs from Deployment Parameters Tab
    - Adjusted the layout to close up the gaps
    - Move the Single-Sign On input into vSphere Infrastructure Section
    - Unlocked Portgroup Name Cells so they can be customized</t>
  </si>
  <si>
    <t>Updated for the following changes:
    - Management Workloads Tab:
        - Removed vRealize Log Insight
        - Set VSAN Defaults to All-Flash and adjusted the layout a little
    - Users and Groups
        - Removed vRealize Log Insight accounts
        - Updated layout to remove hidden not required cells
    - Deploy Parameters Tab
        - Removed vRealize Log Insight Inputs
        - Removed Subnet Mask input from SDDC Manager (auto generated based on Management VLAN CIDR)
        - Relocated vSphere Datastore inputs under vSphere Infrastructure Section
        - Moved CEIP inputs</t>
  </si>
  <si>
    <t xml:space="preserve">    - Replace NSX-V inputs with NSX-T inputs
    - Add vSphere Lifecycle Manager Toggle and Image input
    - Config_File_Build Tab
        - Cleaned up not required inputs</t>
  </si>
  <si>
    <t xml:space="preserve">Updated wording of instructions to remove Grey Cell comment in Deploy Parameters </t>
  </si>
  <si>
    <t>Updated Input Error for NSX-T Passwords</t>
  </si>
  <si>
    <t>Added Conditional Formatting to Check Character Limit for ESXi and vCenter Server Hostnames</t>
  </si>
  <si>
    <t>Added Application Virtual Network Configuration for NSX-T</t>
  </si>
  <si>
    <t>Added Application Virtual Network Toggle
Added Key/Value pair for Folder of Edge Devices
Renamed SSO Site Name to Cloud Foundation Management Domain Name to drive custom domain name (SSO Site Name depreicated in vSphere 7)</t>
  </si>
  <si>
    <t>Fixed Issue with Auto Calculated Name of tier Gateway Names which key off of Doman Name
Added Key/Value Pairs for NXS-T Host Overlay CIDR and Gateway</t>
  </si>
  <si>
    <t>Udated default size of NSX-T Edge Cluster to Medium</t>
  </si>
  <si>
    <t>Updated Resource Numbers in Management Workloads</t>
  </si>
  <si>
    <t>Added Missing key/pairs for Application Virtual Networks to populate networkSpecs</t>
  </si>
  <si>
    <t>Updated calculated names for transport zones under NSX-T</t>
  </si>
  <si>
    <t xml:space="preserve">Addressed PR 2525105 - Added missing key/value pair for VCF Domain Name which is used to generate the sddcId in the JSON
Addressed PR 2525207 - Unlock Datacenter and Cluster Name Cells so they can be modified </t>
  </si>
  <si>
    <t>Added support for intel-cascadelake in the lookup list
Updated hostnames to match VVD Naming Standards by default</t>
  </si>
  <si>
    <t>Updated Heading of Logical Switch to Logical Segment for Application Virtual Networks
Fixed an issue with input for ACTIVE/ACTIVE config for NSX-T should be ACTIVE_ACTIVE</t>
  </si>
  <si>
    <t>Remove Extra Small as a Deployment option for NSX-T Data Center Managers</t>
  </si>
  <si>
    <t>Fixed spelling mistakes
Updated Version for Jefferson2</t>
  </si>
  <si>
    <t>Added conditional Format to black out portgroups not required when AVNs are skipped
Updated versions based on i1u1 Bill of Materials
Updated the instructions for each tab to be more explicit around grey, red and yellow cells</t>
  </si>
  <si>
    <t>Removed validation for 15 char limit of ESXi Hosts and vCenter Server</t>
  </si>
  <si>
    <t>Added multi-pNIC and multi-vds support
Set Host Overlay portgroup to n/a
Set Edge Overlay portgroup to n/a
Added vSphere Distributed Switch Profiles and moved from Deploy Paramters to Hosts and Networks Tab</t>
  </si>
  <si>
    <t>Updated Edge/Host Overlay and Uplinks to Check for Unique VLAN IDs, if duplicate they turn red</t>
  </si>
  <si>
    <t>Updated selection for choosing architecture to skip resource pools</t>
  </si>
  <si>
    <t>Updated the NSX-T Edge Node sizes to small, medium, large and xlarge</t>
  </si>
  <si>
    <t>Added tooltips (In order to re-use Edge Cluster for WCP, provide Edge Size as LARGE) for Edge Node Appliance Size</t>
  </si>
  <si>
    <t>Updated nsxt-transport-overlay-networkName= which was blank due to Edge Overlay portgroup being set to n/a</t>
  </si>
  <si>
    <t>Revert  selection for choosing architecture to skip resource pools</t>
  </si>
  <si>
    <t>Updated the VCF Version details to 4.0.1
Added new Local User Password for Emergency Service Account</t>
  </si>
  <si>
    <t>Addressed 2610748 - Added back ability to skip creation of resource pools</t>
  </si>
  <si>
    <t>Addressed PR 2618290 Adjust minimum password length for admin@local
Addressed PR 2620854 Fixed input message refering to NSX-V and not NSX-T</t>
  </si>
  <si>
    <t>Addressed PR 2621665 Updated description of SDDC Manager Local Account and set max char to 127</t>
  </si>
  <si>
    <t>Addressed PR 2625415 Added conditional format to handle Excel not honouring input validation when copy/paste is used</t>
  </si>
  <si>
    <t>Updated the VCF Version details to 4.1.0
Added Support for Static IP Pool for NSX-T Data Center Host TEPs
Added ESXi Host SSH Thumbprint and Set Default to Yes
Added VxRail Manager and vCenter SSL/SSH Thumbprints and Set Default to Yes
Removed the admin user (Rest API User)</t>
  </si>
  <si>
    <t>Added back the admin user (Rest API User) Due to a Change by Release Team</t>
  </si>
  <si>
    <t>Updated NSX-T Version in Management Workloads Worksheet to 3.1
Removed Old Key/Value Pairs for NSX-V Portgroup</t>
  </si>
  <si>
    <t>Added FIPS Compliance Option for SDDC Manager</t>
  </si>
  <si>
    <t>Updated Password Policy Rule for Local Admin Account of VCF with 'A character cannot be repeated more than 3 times consecutively'
Updated Password Policy Rule for NSX-T Manager with 'NO three same consecutive chars', 'NOT a dictionary word' and 'NOT more than four monotonic char sequence'</t>
  </si>
  <si>
    <t>Updated Version to 4.2.0
Removed no longer needed key/value pairs:
     - host-overlay-network.vlanId
     - host-overlay-network.mtu</t>
  </si>
  <si>
    <t>Fixed an issue with the 2nd NTP and DNS Server input cells being locked</t>
  </si>
  <si>
    <t>Removed Enable FIPS Toggle</t>
  </si>
  <si>
    <t>Updated vCenter Root Account Password Requirements</t>
  </si>
  <si>
    <t>Updated Version to 4.3.0
Remove the REST API User for VMware Cloud Foundation
Renamed User and Groups Worksheet to Credentials</t>
  </si>
  <si>
    <t>Added Enable FIPS Toggle Back
Added 'intel-icelake' and 'amd_zen2' to EVC CPU Look Up List</t>
  </si>
  <si>
    <t>Removed Profiles for vSphere Distributed Switches and Introduced a  More Simple Method</t>
  </si>
  <si>
    <t>Addressed PR 2718641 - Fixed default input value typos</t>
  </si>
  <si>
    <t>Replaced Prerequisite Checklist Worksheet with NEW Introduction Worksheet (All prerequisites should be tracked in one place the Planning and Preparation Workbook)
Removed the Management Workloads Worksheet, moved License Keys to Deployment Parameters Worksheet (Sizing should be handled via VCF Capacity Planner)
Removed Application Virtual Network Inputs (AVN or Virtual Segments has been moved to a Day N workflow
Added Support for Defining vmnics used for Overlay Traffic</t>
  </si>
  <si>
    <t xml:space="preserve">Addressed PR 2771084 Remove FIPS configuration </t>
  </si>
  <si>
    <t>Updated Deployment Parameters Tab with official name for NSX-T Data Center</t>
  </si>
  <si>
    <t>Updated Version to 4.4.0</t>
  </si>
  <si>
    <t>Updated Version to 4.5.0</t>
  </si>
  <si>
    <t>Introduce support for CVDS - Add new block for Secondary System VDS and fields for VDS Transport Zone Type</t>
  </si>
  <si>
    <t>Addressed PR 938250 for populating vmnics field</t>
  </si>
  <si>
    <t>Create Separate vSphere Distributed Switch for NSX-T Overlay Traffic?</t>
  </si>
  <si>
    <t>System vSphere Distributed Switch Used for NSX-T Overlay Traffic</t>
  </si>
  <si>
    <t>Revert CVDS Support</t>
  </si>
  <si>
    <t>Use VMware Cloud Foundation+ Subscription</t>
  </si>
  <si>
    <t>Added support for VCF+</t>
  </si>
  <si>
    <t>ESXi License Key Defined</t>
  </si>
  <si>
    <t>v4.5.1</t>
  </si>
  <si>
    <t>Change version to 4.5.1 + enable VCF+ selection with default value of No</t>
  </si>
  <si>
    <t>VxR@il123!</t>
  </si>
  <si>
    <t>VxMyst1c123!</t>
  </si>
  <si>
    <t>VxR@il123SDDC</t>
  </si>
  <si>
    <t>VxR@il123NSX</t>
  </si>
  <si>
    <t>50.50.51.0/24</t>
  </si>
  <si>
    <t>50.50.51.1</t>
  </si>
  <si>
    <t>site2-mgmt-cluster-esxi01</t>
  </si>
  <si>
    <t>site2-mgmt-cluster-esxi02</t>
  </si>
  <si>
    <t>site2-mgmt-cluster-esxi03</t>
  </si>
  <si>
    <t>site2-mgmt-cluster-esxi04</t>
  </si>
  <si>
    <t>50.50.51.131</t>
  </si>
  <si>
    <t>50.50.51.132</t>
  </si>
  <si>
    <t>50.50.51.133</t>
  </si>
  <si>
    <t>50.50.51.134</t>
  </si>
  <si>
    <t>site2-mgmt-cluster-tep01</t>
  </si>
  <si>
    <t>SITE2 MGMT CLUSTER HOST TEP POOL</t>
  </si>
  <si>
    <t>50.50.54.101</t>
  </si>
  <si>
    <t>50.50.54.0/24</t>
  </si>
  <si>
    <t>50.50.54.250</t>
  </si>
  <si>
    <t>50.50.54.1</t>
  </si>
  <si>
    <t>site2-mgmt-nsx01</t>
  </si>
  <si>
    <t>100.200.200.30</t>
  </si>
  <si>
    <t>100.200.201.30</t>
  </si>
  <si>
    <t>200.100.100.10</t>
  </si>
  <si>
    <t>dnd.com</t>
  </si>
  <si>
    <t>site2-mgmt-dc</t>
  </si>
  <si>
    <t>site2-mgmt-cluster</t>
  </si>
  <si>
    <t>site2-mgmt-vsan</t>
  </si>
  <si>
    <t>site2-mgmt-cluster-vrm</t>
  </si>
  <si>
    <t>50.50.51.49</t>
  </si>
  <si>
    <t>50.50.51.40</t>
  </si>
  <si>
    <t>site2-m1-nsx</t>
  </si>
  <si>
    <t>site2-m1-nsx1</t>
  </si>
  <si>
    <t>site2-m1-nsx2</t>
  </si>
  <si>
    <t>site2-m1-nsx3</t>
  </si>
  <si>
    <t>50.50.51.50</t>
  </si>
  <si>
    <t>50.50.51.51</t>
  </si>
  <si>
    <t>50.50.51.52</t>
  </si>
  <si>
    <t>50.50.51.53</t>
  </si>
  <si>
    <t>site2-vcf</t>
  </si>
  <si>
    <t>50.50.51.99</t>
  </si>
  <si>
    <t>MGMT</t>
  </si>
  <si>
    <t>vmnic1,vmnic2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</si>
</sst>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_);_(@_)"/>
    <numFmt numFmtId="165" formatCode="d\-mmm\-yy"/>
  </numFmts>
  <fonts count="61">
    <font>
      <sz val="11"/>
      <color rgb="FF000000"/>
      <name val="Calibri"/>
      <family val="2"/>
      <charset val="1"/>
    </font>
    <font>
      <sz val="11"/>
      <color rgb="FFFFFFFF"/>
      <name val="Calibri"/>
      <family val="1"/>
      <charset val="1"/>
    </font>
    <font>
      <u/>
      <sz val="12"/>
      <color rgb="FF0000FF"/>
      <name val="Calibri"/>
      <family val="2"/>
      <charset val="1"/>
    </font>
    <font>
      <u/>
      <sz val="11"/>
      <color rgb="FF0000FF"/>
      <name val="Calibri"/>
      <family val="1"/>
      <charset val="1"/>
    </font>
    <font>
      <sz val="10"/>
      <name val="Arial"/>
      <family val="2"/>
      <charset val="1"/>
    </font>
    <font>
      <sz val="12"/>
      <color rgb="FF000000"/>
      <name val="Calibri"/>
      <family val="2"/>
      <charset val="1"/>
    </font>
    <font>
      <sz val="10.5"/>
      <color rgb="FF000000"/>
      <name val="Metropolis"/>
    </font>
    <font>
      <sz val="10.5"/>
      <color rgb="FFFFFFFF"/>
      <name val="Metropolis"/>
    </font>
    <font>
      <sz val="10"/>
      <color rgb="FF000000"/>
      <name val="Metropolis"/>
    </font>
    <font>
      <sz val="10"/>
      <color rgb="FF000000"/>
      <name val="Calibri"/>
      <family val="2"/>
      <charset val="1"/>
    </font>
    <font>
      <b/>
      <sz val="12"/>
      <color rgb="FF000000"/>
      <name val="Calibri"/>
      <family val="2"/>
      <charset val="1"/>
    </font>
    <font>
      <sz val="11"/>
      <color rgb="FF000000"/>
      <name val="Metropolis"/>
    </font>
    <font>
      <b/>
      <sz val="11"/>
      <color rgb="FFFFFFFF"/>
      <name val="Metropolis"/>
    </font>
    <font>
      <sz val="11"/>
      <color rgb="FF000000"/>
      <name val="Metropolis Regular"/>
      <charset val="1"/>
    </font>
    <font>
      <b/>
      <sz val="11"/>
      <color rgb="FF000000"/>
      <name val="Metropolis Regular"/>
      <charset val="1"/>
    </font>
    <font>
      <sz val="10.5"/>
      <name val="Metropolis"/>
      <family val="3"/>
      <charset val="1"/>
    </font>
    <font>
      <b/>
      <sz val="10"/>
      <name val="Metropolis"/>
      <family val="3"/>
      <charset val="1"/>
    </font>
    <font>
      <u/>
      <sz val="10"/>
      <color rgb="FF0000FF"/>
      <name val="Verdana"/>
      <family val="2"/>
      <charset val="1"/>
    </font>
    <font>
      <sz val="10"/>
      <color rgb="FF000000"/>
      <name val="Metropolis"/>
      <family val="3"/>
      <charset val="1"/>
    </font>
    <font>
      <sz val="11"/>
      <color rgb="FF000000"/>
      <name val="Metropolis"/>
      <family val="3"/>
      <charset val="1"/>
    </font>
    <font>
      <sz val="10"/>
      <name val="Metropolis"/>
      <family val="3"/>
      <charset val="1"/>
    </font>
    <font>
      <b/>
      <sz val="14"/>
      <color rgb="FFFFFFFF"/>
      <name val="Metropolis"/>
      <family val="3"/>
      <charset val="1"/>
    </font>
    <font>
      <b/>
      <sz val="10"/>
      <color rgb="FFFFFFFF"/>
      <name val="Metropolis"/>
      <family val="3"/>
      <charset val="1"/>
    </font>
    <font>
      <sz val="10"/>
      <color rgb="FFFFFFFF"/>
      <name val="Metropolis"/>
      <family val="3"/>
      <charset val="1"/>
    </font>
    <font>
      <b/>
      <sz val="12"/>
      <name val="Metropolis"/>
      <family val="3"/>
      <charset val="1"/>
    </font>
    <font>
      <b/>
      <i/>
      <sz val="9"/>
      <name val="Metropolis"/>
      <family val="3"/>
      <charset val="1"/>
    </font>
    <font>
      <sz val="10"/>
      <color rgb="FF4F81BD"/>
      <name val="Metropolis"/>
      <family val="3"/>
      <charset val="1"/>
    </font>
    <font>
      <b/>
      <sz val="10.5"/>
      <name val="Metropolis"/>
      <family val="3"/>
      <charset val="1"/>
    </font>
    <font>
      <sz val="10.5"/>
      <name val="Metropolis"/>
    </font>
    <font>
      <i/>
      <sz val="10.5"/>
      <name val="Metropolis"/>
    </font>
    <font>
      <b/>
      <sz val="10.5"/>
      <color rgb="FFFF0000"/>
      <name val="Metropolis"/>
    </font>
    <font>
      <b/>
      <sz val="10.5"/>
      <name val="Metropolis"/>
    </font>
    <font>
      <sz val="10.5"/>
      <color rgb="FFFF0000"/>
      <name val="Metropolis"/>
    </font>
    <font>
      <b/>
      <sz val="12"/>
      <color rgb="FFFFFFFF"/>
      <name val="Metropolis"/>
      <family val="3"/>
      <charset val="1"/>
    </font>
    <font>
      <b/>
      <sz val="10"/>
      <color rgb="FF000000"/>
      <name val="Metropolis"/>
      <family val="3"/>
      <charset val="1"/>
    </font>
    <font>
      <b/>
      <sz val="10"/>
      <color rgb="FF9BBB59"/>
      <name val="Metropolis"/>
      <family val="3"/>
      <charset val="1"/>
    </font>
    <font>
      <sz val="10"/>
      <color rgb="FF9BBB59"/>
      <name val="Metropolis"/>
      <family val="3"/>
      <charset val="1"/>
    </font>
    <font>
      <sz val="10"/>
      <color rgb="FF000000"/>
      <name val="Metropolis Regular"/>
      <charset val="1"/>
    </font>
    <font>
      <b/>
      <sz val="10"/>
      <color rgb="FFFFFFFF"/>
      <name val="Metropolis"/>
    </font>
    <font>
      <sz val="10"/>
      <color rgb="FFFFFFFF"/>
      <name val="Metropolis"/>
    </font>
    <font>
      <b/>
      <sz val="10"/>
      <color rgb="FF000000"/>
      <name val="Metropolis"/>
    </font>
    <font>
      <sz val="9"/>
      <color rgb="FF000000"/>
      <name val="Metropolis"/>
    </font>
    <font>
      <b/>
      <sz val="12"/>
      <color rgb="FFFFFFFF"/>
      <name val="Metropolis"/>
    </font>
    <font>
      <b/>
      <sz val="10"/>
      <color rgb="FFFF0000"/>
      <name val="Metropolis"/>
    </font>
    <font>
      <b/>
      <sz val="11"/>
      <color rgb="FF000000"/>
      <name val="Calibri"/>
      <family val="2"/>
      <charset val="1"/>
    </font>
    <font>
      <sz val="10"/>
      <name val="Metropolis"/>
    </font>
    <font>
      <i/>
      <sz val="10"/>
      <name val="Metropolis"/>
    </font>
    <font>
      <sz val="10"/>
      <color rgb="FFFF0000"/>
      <name val="Metropolis"/>
    </font>
    <font>
      <b/>
      <sz val="10"/>
      <name val="Metropolis"/>
    </font>
    <font>
      <b/>
      <sz val="16"/>
      <color rgb="FFFFFFFF"/>
      <name val="Metropolis"/>
      <family val="3"/>
      <charset val="1"/>
    </font>
    <font>
      <b/>
      <u/>
      <sz val="10"/>
      <name val="Metropolis"/>
      <family val="3"/>
      <charset val="1"/>
    </font>
    <font>
      <sz val="11"/>
      <color rgb="FFFFFFFF"/>
      <name val="Metropolis"/>
      <family val="3"/>
      <charset val="1"/>
    </font>
    <font>
      <sz val="10"/>
      <color rgb="FFFF0000"/>
      <name val="Metropolis"/>
      <family val="3"/>
      <charset val="1"/>
    </font>
    <font>
      <sz val="11"/>
      <color rgb="FFFF0000"/>
      <name val="Calibri"/>
      <family val="2"/>
      <charset val="1"/>
    </font>
    <font>
      <b/>
      <u/>
      <sz val="10"/>
      <color rgb="FFFFFFFF"/>
      <name val="Metropolis"/>
      <family val="3"/>
      <charset val="1"/>
    </font>
    <font>
      <sz val="11"/>
      <name val="Calibri"/>
      <family val="2"/>
      <charset val="1"/>
    </font>
    <font>
      <sz val="11"/>
      <color rgb="FF000000"/>
      <name val="Calibri"/>
      <family val="2"/>
      <charset val="1"/>
    </font>
    <font>
      <sz val="10"/>
      <color theme="0"/>
      <name val="Metropolis"/>
    </font>
    <font>
      <sz val="10"/>
      <name val="Metropolis"/>
    </font>
    <font>
      <sz val="10"/>
      <color theme="1"/>
      <name val="Calibri"/>
      <family val="2"/>
      <scheme val="minor"/>
    </font>
    <font>
      <sz val="8"/>
      <name val="Calibri"/>
      <family val="2"/>
      <charset val="1"/>
    </font>
  </fonts>
  <fills count="13">
    <fill>
      <patternFill patternType="none"/>
    </fill>
    <fill>
      <patternFill patternType="gray125"/>
    </fill>
    <fill>
      <patternFill patternType="solid">
        <fgColor rgb="FF95B3D7"/>
        <bgColor rgb="FF9999FF"/>
      </patternFill>
    </fill>
    <fill>
      <patternFill patternType="solid">
        <fgColor rgb="FF4F81BD"/>
        <bgColor rgb="FF376092"/>
      </patternFill>
    </fill>
    <fill>
      <patternFill patternType="solid">
        <fgColor rgb="FFDCE6F2"/>
        <bgColor rgb="FFD9D9D9"/>
      </patternFill>
    </fill>
    <fill>
      <patternFill patternType="solid">
        <fgColor rgb="FFFFFFFF"/>
        <bgColor rgb="FFFFFFE5"/>
      </patternFill>
    </fill>
    <fill>
      <patternFill patternType="solid">
        <fgColor rgb="FFD9D9D9"/>
        <bgColor rgb="FFDCE6F2"/>
      </patternFill>
    </fill>
    <fill>
      <patternFill patternType="solid">
        <fgColor rgb="FF376092"/>
        <bgColor rgb="FF595959"/>
      </patternFill>
    </fill>
    <fill>
      <patternFill patternType="solid">
        <fgColor rgb="FFB9CDE5"/>
        <bgColor rgb="FFD9D9D9"/>
      </patternFill>
    </fill>
    <fill>
      <patternFill patternType="solid">
        <fgColor rgb="FFFFFFE5"/>
        <bgColor rgb="FFFFFFFF"/>
      </patternFill>
    </fill>
    <fill>
      <patternFill patternType="solid">
        <fgColor rgb="FF000000"/>
        <bgColor rgb="FF003300"/>
      </patternFill>
    </fill>
    <fill>
      <patternFill patternType="solid">
        <fgColor theme="1"/>
        <bgColor indexed="64"/>
      </patternFill>
    </fill>
    <fill>
      <patternFill patternType="solid">
        <fgColor rgb="FFFFFFDB"/>
        <bgColor indexed="64"/>
      </patternFill>
    </fill>
  </fills>
  <borders count="29">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style="medium">
        <color auto="1"/>
      </left>
      <right/>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rgb="FF808080"/>
      </left>
      <right style="thin">
        <color rgb="FF808080"/>
      </right>
      <top style="thin">
        <color rgb="FF808080"/>
      </top>
      <bottom style="thin">
        <color rgb="FF808080"/>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auto="1"/>
      </left>
      <right/>
      <top style="thin">
        <color auto="1"/>
      </top>
      <bottom style="thin">
        <color auto="1"/>
      </bottom>
      <diagonal/>
    </border>
  </borders>
  <cellStyleXfs count="10">
    <xf numFmtId="0" fontId="0" fillId="0" borderId="0"/>
    <xf numFmtId="0" fontId="17" fillId="0" borderId="0" applyBorder="0" applyProtection="0"/>
    <xf numFmtId="0" fontId="1" fillId="2" borderId="0" applyBorder="0" applyProtection="0"/>
    <xf numFmtId="0" fontId="1" fillId="3" borderId="0" applyBorder="0" applyProtection="0"/>
    <xf numFmtId="164" fontId="56" fillId="0" borderId="0" applyBorder="0" applyProtection="0"/>
    <xf numFmtId="0" fontId="2" fillId="0" borderId="0" applyBorder="0" applyProtection="0"/>
    <xf numFmtId="0" fontId="3" fillId="0" borderId="0" applyBorder="0" applyProtection="0"/>
    <xf numFmtId="0" fontId="4" fillId="0" borderId="0"/>
    <xf numFmtId="0" fontId="5" fillId="0" borderId="0"/>
    <xf numFmtId="0" fontId="5" fillId="0" borderId="0"/>
  </cellStyleXfs>
  <cellXfs count="174">
    <xf numFmtId="0" fontId="0" fillId="0" borderId="0" xfId="0"/>
    <xf numFmtId="0" fontId="6" fillId="4" borderId="0" xfId="0" applyFont="1" applyFill="1"/>
    <xf numFmtId="0" fontId="6" fillId="5" borderId="0" xfId="0" applyFont="1" applyFill="1"/>
    <xf numFmtId="0" fontId="6" fillId="0" borderId="0" xfId="0" applyFont="1" applyAlignment="1">
      <alignment horizontal="center" vertical="center"/>
    </xf>
    <xf numFmtId="0" fontId="7" fillId="0" borderId="0" xfId="0" applyFont="1" applyAlignment="1">
      <alignment horizontal="center" vertical="center"/>
    </xf>
    <xf numFmtId="0" fontId="6" fillId="5" borderId="0" xfId="0" applyFont="1" applyFill="1" applyAlignment="1">
      <alignment horizontal="center" vertical="center"/>
    </xf>
    <xf numFmtId="0" fontId="9" fillId="5" borderId="0" xfId="0" applyFont="1" applyFill="1" applyAlignment="1">
      <alignment horizontal="left" vertical="center" wrapText="1"/>
    </xf>
    <xf numFmtId="0" fontId="10" fillId="6" borderId="1" xfId="0" applyFont="1" applyFill="1" applyBorder="1" applyAlignment="1">
      <alignment horizontal="center" vertical="center" wrapText="1"/>
    </xf>
    <xf numFmtId="0" fontId="7" fillId="5" borderId="0" xfId="0" applyFont="1" applyFill="1" applyAlignment="1">
      <alignment horizontal="center" vertical="center"/>
    </xf>
    <xf numFmtId="0" fontId="11" fillId="5" borderId="0" xfId="0" applyFont="1" applyFill="1"/>
    <xf numFmtId="0" fontId="15" fillId="0" borderId="0" xfId="7" applyFont="1" applyAlignment="1">
      <alignment horizontal="left"/>
    </xf>
    <xf numFmtId="0" fontId="15" fillId="0" borderId="0" xfId="7" applyFont="1" applyAlignment="1">
      <alignment horizontal="left" wrapText="1"/>
    </xf>
    <xf numFmtId="0" fontId="15" fillId="0" borderId="0" xfId="7" applyFont="1"/>
    <xf numFmtId="0" fontId="15" fillId="0" borderId="0" xfId="7" applyFont="1" applyAlignment="1">
      <alignment horizontal="left" vertical="center"/>
    </xf>
    <xf numFmtId="0" fontId="18" fillId="0" borderId="0" xfId="0" applyFont="1" applyAlignment="1">
      <alignment vertical="center" wrapText="1"/>
    </xf>
    <xf numFmtId="0" fontId="19" fillId="0" borderId="0" xfId="0" applyFont="1" applyAlignment="1">
      <alignment vertical="center" wrapText="1"/>
    </xf>
    <xf numFmtId="0" fontId="20" fillId="0" borderId="0" xfId="7" applyFont="1" applyAlignment="1">
      <alignment vertical="center"/>
    </xf>
    <xf numFmtId="0" fontId="15" fillId="0" borderId="0" xfId="7" applyFont="1" applyAlignment="1">
      <alignment vertical="center"/>
    </xf>
    <xf numFmtId="0" fontId="20" fillId="0" borderId="0" xfId="7" applyFont="1" applyAlignment="1">
      <alignment horizontal="left" vertical="center"/>
    </xf>
    <xf numFmtId="0" fontId="21" fillId="7" borderId="4" xfId="7" applyFont="1" applyFill="1" applyBorder="1" applyAlignment="1">
      <alignment horizontal="left" vertical="center"/>
    </xf>
    <xf numFmtId="0" fontId="22" fillId="7" borderId="5" xfId="7" applyFont="1" applyFill="1" applyBorder="1" applyAlignment="1">
      <alignment horizontal="left" vertical="center"/>
    </xf>
    <xf numFmtId="0" fontId="23" fillId="7" borderId="6" xfId="7" applyFont="1" applyFill="1" applyBorder="1" applyAlignment="1">
      <alignment horizontal="left" vertical="center" wrapText="1"/>
    </xf>
    <xf numFmtId="0" fontId="16" fillId="2" borderId="7" xfId="7" applyFont="1" applyFill="1" applyBorder="1" applyAlignment="1">
      <alignment horizontal="center" vertical="center" wrapText="1"/>
    </xf>
    <xf numFmtId="0" fontId="16" fillId="2" borderId="8" xfId="7" applyFont="1" applyFill="1" applyBorder="1" applyAlignment="1">
      <alignment horizontal="center" vertical="center" wrapText="1"/>
    </xf>
    <xf numFmtId="0" fontId="16" fillId="2" borderId="9" xfId="7" applyFont="1" applyFill="1" applyBorder="1" applyAlignment="1">
      <alignment horizontal="center" vertical="center" wrapText="1"/>
    </xf>
    <xf numFmtId="0" fontId="20" fillId="6" borderId="7" xfId="7" applyFont="1" applyFill="1" applyBorder="1" applyAlignment="1">
      <alignment horizontal="left" vertical="center"/>
    </xf>
    <xf numFmtId="0" fontId="20" fillId="9" borderId="8" xfId="7" applyFont="1" applyFill="1" applyBorder="1" applyAlignment="1" applyProtection="1">
      <alignment horizontal="left" vertical="center"/>
      <protection locked="0"/>
    </xf>
    <xf numFmtId="0" fontId="20" fillId="0" borderId="9" xfId="7" applyFont="1" applyBorder="1" applyAlignment="1">
      <alignment horizontal="left" vertical="center" wrapText="1"/>
    </xf>
    <xf numFmtId="0" fontId="20" fillId="0" borderId="0" xfId="7" applyFont="1" applyAlignment="1">
      <alignment horizontal="left" vertical="center" wrapText="1"/>
    </xf>
    <xf numFmtId="0" fontId="20" fillId="0" borderId="0" xfId="7" applyFont="1" applyAlignment="1">
      <alignment horizontal="left" vertical="top"/>
    </xf>
    <xf numFmtId="0" fontId="20" fillId="0" borderId="0" xfId="7" applyFont="1" applyAlignment="1">
      <alignment horizontal="left" vertical="top" wrapText="1"/>
    </xf>
    <xf numFmtId="0" fontId="20" fillId="6" borderId="11" xfId="7" applyFont="1" applyFill="1" applyBorder="1" applyAlignment="1">
      <alignment horizontal="left" vertical="center"/>
    </xf>
    <xf numFmtId="0" fontId="20" fillId="0" borderId="13" xfId="7" applyFont="1" applyBorder="1" applyAlignment="1">
      <alignment horizontal="left" vertical="center" wrapText="1"/>
    </xf>
    <xf numFmtId="0" fontId="15" fillId="0" borderId="0" xfId="7" applyFont="1" applyAlignment="1">
      <alignment horizontal="left" vertical="top"/>
    </xf>
    <xf numFmtId="0" fontId="15" fillId="0" borderId="0" xfId="7" applyFont="1" applyAlignment="1">
      <alignment horizontal="left" vertical="top" wrapText="1"/>
    </xf>
    <xf numFmtId="0" fontId="18" fillId="5" borderId="0" xfId="8" applyFont="1" applyFill="1"/>
    <xf numFmtId="0" fontId="18" fillId="0" borderId="0" xfId="8" applyFont="1"/>
    <xf numFmtId="0" fontId="20" fillId="5" borderId="0" xfId="7" applyFont="1" applyFill="1" applyAlignment="1">
      <alignment horizontal="left"/>
    </xf>
    <xf numFmtId="0" fontId="20" fillId="5" borderId="0" xfId="7" applyFont="1" applyFill="1"/>
    <xf numFmtId="0" fontId="26" fillId="5" borderId="0" xfId="7" applyFont="1" applyFill="1"/>
    <xf numFmtId="0" fontId="20" fillId="5" borderId="0" xfId="7" applyFont="1" applyFill="1" applyAlignment="1">
      <alignment horizontal="left" vertical="center"/>
    </xf>
    <xf numFmtId="0" fontId="20" fillId="5" borderId="0" xfId="7" applyFont="1" applyFill="1" applyAlignment="1">
      <alignment vertical="center"/>
    </xf>
    <xf numFmtId="0" fontId="18" fillId="5" borderId="0" xfId="8" applyFont="1" applyFill="1" applyAlignment="1">
      <alignment vertical="center"/>
    </xf>
    <xf numFmtId="0" fontId="23" fillId="5" borderId="0" xfId="8" applyFont="1" applyFill="1" applyAlignment="1">
      <alignment vertical="center"/>
    </xf>
    <xf numFmtId="0" fontId="18" fillId="0" borderId="0" xfId="8" applyFont="1" applyAlignment="1">
      <alignment vertical="center"/>
    </xf>
    <xf numFmtId="2" fontId="22" fillId="7" borderId="7" xfId="8" applyNumberFormat="1" applyFont="1" applyFill="1" applyBorder="1" applyAlignment="1">
      <alignment horizontal="left" vertical="center"/>
    </xf>
    <xf numFmtId="0" fontId="34" fillId="2" borderId="8" xfId="8" applyFont="1" applyFill="1" applyBorder="1" applyAlignment="1">
      <alignment horizontal="center" vertical="center"/>
    </xf>
    <xf numFmtId="0" fontId="34" fillId="2" borderId="9" xfId="8" applyFont="1" applyFill="1" applyBorder="1" applyAlignment="1">
      <alignment horizontal="center" vertical="center"/>
    </xf>
    <xf numFmtId="0" fontId="34" fillId="5" borderId="0" xfId="8" applyFont="1" applyFill="1" applyAlignment="1">
      <alignment horizontal="center" vertical="center"/>
    </xf>
    <xf numFmtId="0" fontId="34" fillId="9" borderId="4" xfId="8" applyFont="1" applyFill="1" applyBorder="1" applyAlignment="1" applyProtection="1">
      <alignment horizontal="center" vertical="center"/>
      <protection locked="0"/>
    </xf>
    <xf numFmtId="0" fontId="35" fillId="9" borderId="8" xfId="8" applyFont="1" applyFill="1" applyBorder="1" applyAlignment="1" applyProtection="1">
      <alignment horizontal="center" vertical="center"/>
      <protection locked="0"/>
    </xf>
    <xf numFmtId="0" fontId="36" fillId="6" borderId="8" xfId="8" applyFont="1" applyFill="1" applyBorder="1" applyAlignment="1">
      <alignment horizontal="left" vertical="center" wrapText="1"/>
    </xf>
    <xf numFmtId="0" fontId="35" fillId="9" borderId="9" xfId="8" applyFont="1" applyFill="1" applyBorder="1" applyAlignment="1" applyProtection="1">
      <alignment horizontal="center" vertical="center"/>
      <protection locked="0"/>
    </xf>
    <xf numFmtId="0" fontId="18" fillId="5" borderId="0" xfId="8" applyFont="1" applyFill="1" applyAlignment="1">
      <alignment horizontal="center" vertical="center"/>
    </xf>
    <xf numFmtId="2" fontId="35" fillId="9" borderId="7" xfId="8" applyNumberFormat="1" applyFont="1" applyFill="1" applyBorder="1" applyAlignment="1" applyProtection="1">
      <alignment horizontal="center" vertical="center"/>
      <protection locked="0"/>
    </xf>
    <xf numFmtId="0" fontId="18" fillId="9" borderId="8" xfId="8" applyFont="1" applyFill="1" applyBorder="1" applyAlignment="1" applyProtection="1">
      <alignment horizontal="center" vertical="center"/>
      <protection locked="0"/>
    </xf>
    <xf numFmtId="0" fontId="18" fillId="6" borderId="8" xfId="8" applyFont="1" applyFill="1" applyBorder="1" applyAlignment="1">
      <alignment horizontal="left" vertical="center"/>
    </xf>
    <xf numFmtId="0" fontId="18" fillId="6" borderId="8" xfId="8" applyFont="1" applyFill="1" applyBorder="1" applyAlignment="1">
      <alignment horizontal="center" vertical="center"/>
    </xf>
    <xf numFmtId="0" fontId="8" fillId="6" borderId="9" xfId="8" applyFont="1" applyFill="1" applyBorder="1" applyAlignment="1">
      <alignment horizontal="center" vertical="center"/>
    </xf>
    <xf numFmtId="0" fontId="8" fillId="6" borderId="8" xfId="8" applyFont="1" applyFill="1" applyBorder="1" applyAlignment="1">
      <alignment horizontal="center" vertical="center"/>
    </xf>
    <xf numFmtId="2" fontId="22" fillId="7" borderId="8" xfId="8" applyNumberFormat="1" applyFont="1" applyFill="1" applyBorder="1" applyAlignment="1">
      <alignment horizontal="left" vertical="center"/>
    </xf>
    <xf numFmtId="2" fontId="22" fillId="7" borderId="11" xfId="8" applyNumberFormat="1" applyFont="1" applyFill="1" applyBorder="1" applyAlignment="1">
      <alignment horizontal="left" vertical="center"/>
    </xf>
    <xf numFmtId="0" fontId="8" fillId="6" borderId="12" xfId="8" applyFont="1" applyFill="1" applyBorder="1" applyAlignment="1">
      <alignment horizontal="center" vertical="center"/>
    </xf>
    <xf numFmtId="2" fontId="22" fillId="7" borderId="12" xfId="8" applyNumberFormat="1" applyFont="1" applyFill="1" applyBorder="1" applyAlignment="1">
      <alignment horizontal="left" vertical="center"/>
    </xf>
    <xf numFmtId="0" fontId="8" fillId="6" borderId="13" xfId="8" applyFont="1" applyFill="1" applyBorder="1" applyAlignment="1">
      <alignment horizontal="center" vertical="center"/>
    </xf>
    <xf numFmtId="0" fontId="37" fillId="9" borderId="8" xfId="0" applyFont="1" applyFill="1" applyBorder="1" applyProtection="1">
      <protection locked="0"/>
    </xf>
    <xf numFmtId="0" fontId="23" fillId="5" borderId="0" xfId="8" applyFont="1" applyFill="1"/>
    <xf numFmtId="0" fontId="38" fillId="7" borderId="14" xfId="8" applyFont="1" applyFill="1" applyBorder="1" applyAlignment="1">
      <alignment vertical="center"/>
    </xf>
    <xf numFmtId="0" fontId="39" fillId="10" borderId="15" xfId="7" applyFont="1" applyFill="1" applyBorder="1" applyAlignment="1">
      <alignment vertical="center"/>
    </xf>
    <xf numFmtId="0" fontId="8" fillId="9" borderId="16" xfId="8" applyFont="1" applyFill="1" applyBorder="1" applyAlignment="1" applyProtection="1">
      <alignment horizontal="center" vertical="center"/>
      <protection locked="0"/>
    </xf>
    <xf numFmtId="0" fontId="8" fillId="5" borderId="0" xfId="8" applyFont="1" applyFill="1"/>
    <xf numFmtId="0" fontId="23" fillId="10" borderId="8" xfId="7" applyFont="1" applyFill="1" applyBorder="1" applyAlignment="1" applyProtection="1">
      <alignment vertical="center"/>
      <protection locked="0"/>
    </xf>
    <xf numFmtId="0" fontId="40" fillId="2" borderId="4" xfId="8" applyFont="1" applyFill="1" applyBorder="1" applyAlignment="1">
      <alignment horizontal="center" vertical="center"/>
    </xf>
    <xf numFmtId="0" fontId="20" fillId="9" borderId="8" xfId="7" applyFont="1" applyFill="1" applyBorder="1" applyAlignment="1" applyProtection="1">
      <alignment vertical="center"/>
      <protection locked="0"/>
    </xf>
    <xf numFmtId="0" fontId="8" fillId="6" borderId="7" xfId="8" applyFont="1" applyFill="1" applyBorder="1"/>
    <xf numFmtId="0" fontId="22" fillId="10" borderId="8" xfId="7" applyFont="1" applyFill="1" applyBorder="1" applyAlignment="1">
      <alignment vertical="center"/>
    </xf>
    <xf numFmtId="0" fontId="23" fillId="10" borderId="8" xfId="7" applyFont="1" applyFill="1" applyBorder="1" applyAlignment="1">
      <alignment vertical="center"/>
    </xf>
    <xf numFmtId="0" fontId="8" fillId="6" borderId="11" xfId="8" applyFont="1" applyFill="1" applyBorder="1"/>
    <xf numFmtId="0" fontId="18" fillId="5" borderId="0" xfId="8" applyFont="1" applyFill="1" applyAlignment="1">
      <alignment horizontal="center"/>
    </xf>
    <xf numFmtId="0" fontId="18" fillId="9" borderId="18" xfId="0" applyFont="1" applyFill="1" applyBorder="1" applyProtection="1">
      <protection locked="0"/>
    </xf>
    <xf numFmtId="2" fontId="39" fillId="10" borderId="14" xfId="8" applyNumberFormat="1" applyFont="1" applyFill="1" applyBorder="1" applyAlignment="1">
      <alignment horizontal="left" vertical="center"/>
    </xf>
    <xf numFmtId="0" fontId="8" fillId="9" borderId="20" xfId="8" applyFont="1" applyFill="1" applyBorder="1" applyAlignment="1" applyProtection="1">
      <alignment horizontal="center"/>
      <protection locked="0"/>
    </xf>
    <xf numFmtId="0" fontId="39" fillId="10" borderId="21" xfId="8" applyFont="1" applyFill="1" applyBorder="1"/>
    <xf numFmtId="0" fontId="39" fillId="10" borderId="7" xfId="8" applyFont="1" applyFill="1" applyBorder="1"/>
    <xf numFmtId="0" fontId="8" fillId="9" borderId="8" xfId="8" applyFont="1" applyFill="1" applyBorder="1" applyAlignment="1" applyProtection="1">
      <alignment horizontal="center"/>
      <protection locked="0"/>
    </xf>
    <xf numFmtId="0" fontId="39" fillId="10" borderId="8" xfId="8" applyFont="1" applyFill="1" applyBorder="1"/>
    <xf numFmtId="0" fontId="8" fillId="9" borderId="6" xfId="8" applyFont="1" applyFill="1" applyBorder="1" applyAlignment="1" applyProtection="1">
      <alignment horizontal="center"/>
      <protection locked="0"/>
    </xf>
    <xf numFmtId="0" fontId="39" fillId="10" borderId="11" xfId="8" applyFont="1" applyFill="1" applyBorder="1"/>
    <xf numFmtId="0" fontId="8" fillId="9" borderId="12" xfId="8" applyFont="1" applyFill="1" applyBorder="1" applyAlignment="1" applyProtection="1">
      <alignment horizontal="center"/>
      <protection locked="0"/>
    </xf>
    <xf numFmtId="0" fontId="39" fillId="10" borderId="12" xfId="8" applyFont="1" applyFill="1" applyBorder="1"/>
    <xf numFmtId="0" fontId="8" fillId="9" borderId="13" xfId="8" applyFont="1" applyFill="1" applyBorder="1" applyAlignment="1" applyProtection="1">
      <alignment horizontal="center"/>
      <protection locked="0"/>
    </xf>
    <xf numFmtId="0" fontId="43" fillId="5" borderId="0" xfId="8" applyFont="1" applyFill="1"/>
    <xf numFmtId="0" fontId="44" fillId="6" borderId="0" xfId="0" applyFont="1" applyFill="1" applyAlignment="1">
      <alignment horizontal="center"/>
    </xf>
    <xf numFmtId="0" fontId="0" fillId="0" borderId="0" xfId="0" applyAlignment="1">
      <alignment wrapText="1"/>
    </xf>
    <xf numFmtId="0" fontId="20" fillId="0" borderId="0" xfId="7" applyFont="1" applyAlignment="1">
      <alignment horizontal="left"/>
    </xf>
    <xf numFmtId="0" fontId="26" fillId="0" borderId="0" xfId="7" applyFont="1"/>
    <xf numFmtId="0" fontId="20" fillId="0" borderId="0" xfId="7" applyFont="1"/>
    <xf numFmtId="0" fontId="49" fillId="7" borderId="0" xfId="7" applyFont="1" applyFill="1" applyAlignment="1">
      <alignment horizontal="left" vertical="center"/>
    </xf>
    <xf numFmtId="0" fontId="22" fillId="7" borderId="0" xfId="7" applyFont="1" applyFill="1" applyAlignment="1">
      <alignment horizontal="left" vertical="center" indent="13"/>
    </xf>
    <xf numFmtId="0" fontId="50" fillId="0" borderId="0" xfId="7" applyFont="1"/>
    <xf numFmtId="0" fontId="22" fillId="10" borderId="22" xfId="7" applyFont="1" applyFill="1" applyBorder="1" applyAlignment="1">
      <alignment vertical="center"/>
    </xf>
    <xf numFmtId="164" fontId="16" fillId="9" borderId="8" xfId="4" applyFont="1" applyFill="1" applyBorder="1" applyAlignment="1" applyProtection="1">
      <alignment horizontal="center" vertical="center"/>
    </xf>
    <xf numFmtId="0" fontId="50" fillId="0" borderId="0" xfId="7" applyFont="1" applyAlignment="1">
      <alignment vertical="center"/>
    </xf>
    <xf numFmtId="49" fontId="20" fillId="9" borderId="8" xfId="7" applyNumberFormat="1" applyFont="1" applyFill="1" applyBorder="1" applyAlignment="1" applyProtection="1">
      <alignment horizontal="left" vertical="center"/>
      <protection locked="0"/>
    </xf>
    <xf numFmtId="49" fontId="45" fillId="9" borderId="8" xfId="7" applyNumberFormat="1" applyFont="1" applyFill="1" applyBorder="1" applyAlignment="1" applyProtection="1">
      <alignment horizontal="left" vertical="center"/>
      <protection locked="0"/>
    </xf>
    <xf numFmtId="0" fontId="22" fillId="7" borderId="0" xfId="7" applyFont="1" applyFill="1" applyAlignment="1">
      <alignment horizontal="left" vertical="center"/>
    </xf>
    <xf numFmtId="0" fontId="51" fillId="10" borderId="8" xfId="7" applyFont="1" applyFill="1" applyBorder="1" applyAlignment="1">
      <alignment vertical="center"/>
    </xf>
    <xf numFmtId="164" fontId="16" fillId="9" borderId="25" xfId="4" applyFont="1" applyFill="1" applyBorder="1" applyAlignment="1" applyProtection="1">
      <alignment horizontal="center" vertical="center"/>
    </xf>
    <xf numFmtId="0" fontId="35" fillId="9" borderId="8" xfId="7" applyFont="1" applyFill="1" applyBorder="1" applyAlignment="1" applyProtection="1">
      <alignment vertical="center"/>
      <protection locked="0"/>
    </xf>
    <xf numFmtId="0" fontId="39" fillId="10" borderId="8" xfId="7" applyFont="1" applyFill="1" applyBorder="1" applyAlignment="1">
      <alignment vertical="center"/>
    </xf>
    <xf numFmtId="0" fontId="22" fillId="7" borderId="8" xfId="7" applyFont="1" applyFill="1" applyBorder="1" applyAlignment="1">
      <alignment horizontal="center" vertical="center"/>
    </xf>
    <xf numFmtId="0" fontId="22" fillId="10" borderId="8" xfId="7" applyFont="1" applyFill="1" applyBorder="1" applyAlignment="1">
      <alignment horizontal="left" vertical="center"/>
    </xf>
    <xf numFmtId="164" fontId="16" fillId="9" borderId="25" xfId="4" applyFont="1" applyFill="1" applyBorder="1" applyAlignment="1" applyProtection="1">
      <alignment horizontal="center" vertical="center"/>
      <protection locked="0"/>
    </xf>
    <xf numFmtId="0" fontId="53" fillId="0" borderId="0" xfId="0" applyFont="1" applyAlignment="1">
      <alignment horizontal="left" vertical="center" wrapText="1"/>
    </xf>
    <xf numFmtId="0" fontId="54" fillId="0" borderId="0" xfId="7" applyFont="1" applyAlignment="1">
      <alignment vertical="center"/>
    </xf>
    <xf numFmtId="0" fontId="23" fillId="0" borderId="0" xfId="7" applyFont="1" applyAlignment="1">
      <alignment vertical="center"/>
    </xf>
    <xf numFmtId="0" fontId="55" fillId="0" borderId="0" xfId="0" applyFont="1"/>
    <xf numFmtId="0" fontId="55" fillId="6" borderId="0" xfId="0" applyFont="1" applyFill="1"/>
    <xf numFmtId="0" fontId="55" fillId="6" borderId="0" xfId="1" applyFont="1" applyFill="1" applyBorder="1" applyProtection="1"/>
    <xf numFmtId="0" fontId="55" fillId="0" borderId="0" xfId="1" applyFont="1" applyBorder="1" applyProtection="1"/>
    <xf numFmtId="0" fontId="0" fillId="6" borderId="0" xfId="0" applyFill="1"/>
    <xf numFmtId="165" fontId="0" fillId="0" borderId="0" xfId="0" applyNumberFormat="1" applyAlignment="1">
      <alignment horizontal="center" vertical="center"/>
    </xf>
    <xf numFmtId="165" fontId="0" fillId="6" borderId="26" xfId="0" applyNumberFormat="1" applyFill="1" applyBorder="1" applyAlignment="1">
      <alignment horizontal="center" vertical="center"/>
    </xf>
    <xf numFmtId="0" fontId="0" fillId="6" borderId="27" xfId="0" applyFill="1" applyBorder="1" applyAlignment="1">
      <alignment wrapText="1"/>
    </xf>
    <xf numFmtId="165" fontId="0" fillId="6" borderId="0" xfId="0" applyNumberFormat="1" applyFill="1" applyAlignment="1">
      <alignment horizontal="center" vertical="center"/>
    </xf>
    <xf numFmtId="0" fontId="0" fillId="6" borderId="0" xfId="0" applyFill="1" applyAlignment="1">
      <alignment wrapText="1"/>
    </xf>
    <xf numFmtId="165" fontId="0" fillId="10" borderId="0" xfId="0" applyNumberFormat="1" applyFill="1" applyAlignment="1">
      <alignment horizontal="center" vertical="center"/>
    </xf>
    <xf numFmtId="0" fontId="57" fillId="11" borderId="0" xfId="7" applyFont="1" applyFill="1" applyAlignment="1">
      <alignment horizontal="left" vertical="center"/>
    </xf>
    <xf numFmtId="0" fontId="58" fillId="0" borderId="0" xfId="7" applyFont="1" applyAlignment="1">
      <alignment horizontal="left" vertical="center"/>
    </xf>
    <xf numFmtId="0" fontId="20" fillId="9" borderId="8" xfId="7" applyFont="1" applyFill="1" applyBorder="1" applyAlignment="1" applyProtection="1">
      <alignment horizontal="left" vertical="center"/>
      <protection locked="0"/>
    </xf>
    <xf numFmtId="0" fontId="59" fillId="0" borderId="8" xfId="0" applyFont="1" applyBorder="1" applyProtection="1">
      <protection locked="0"/>
    </xf>
    <xf numFmtId="0" fontId="0" fillId="0" borderId="17" xfId="0" applyBorder="1" applyAlignment="1" applyProtection="1">
      <alignment horizontal="center"/>
      <protection locked="0"/>
    </xf>
    <xf numFmtId="0" fontId="0" fillId="0" borderId="8" xfId="0" applyBorder="1" applyAlignment="1" applyProtection="1">
      <alignment horizontal="center"/>
      <protection locked="0"/>
    </xf>
    <xf numFmtId="0" fontId="8" fillId="6" borderId="1" xfId="0" applyFont="1" applyFill="1" applyBorder="1" applyAlignment="1">
      <alignment horizontal="left" vertical="center" wrapText="1" indent="13"/>
    </xf>
    <xf numFmtId="0" fontId="12" fillId="7" borderId="2" xfId="7" applyFont="1" applyFill="1" applyBorder="1" applyAlignment="1">
      <alignment horizontal="left" vertical="center"/>
    </xf>
    <xf numFmtId="0" fontId="13" fillId="0" borderId="3" xfId="0" applyFont="1" applyBorder="1" applyAlignment="1">
      <alignment horizontal="left" vertical="center" wrapText="1" indent="13"/>
    </xf>
    <xf numFmtId="0" fontId="14" fillId="0" borderId="3" xfId="0" applyFont="1" applyBorder="1" applyAlignment="1">
      <alignment horizontal="left" vertical="center" wrapText="1" indent="13"/>
    </xf>
    <xf numFmtId="0" fontId="16" fillId="6" borderId="1" xfId="1" applyFont="1" applyFill="1" applyBorder="1" applyAlignment="1" applyProtection="1">
      <alignment horizontal="left" vertical="center" wrapText="1"/>
    </xf>
    <xf numFmtId="0" fontId="24" fillId="8" borderId="10" xfId="7" applyFont="1" applyFill="1" applyBorder="1" applyAlignment="1">
      <alignment horizontal="left" vertical="center" wrapText="1"/>
    </xf>
    <xf numFmtId="0" fontId="27" fillId="6" borderId="1" xfId="1" applyFont="1" applyFill="1" applyBorder="1" applyAlignment="1" applyProtection="1">
      <alignment vertical="center" wrapText="1"/>
    </xf>
    <xf numFmtId="0" fontId="33" fillId="10" borderId="2" xfId="8" applyFont="1" applyFill="1" applyBorder="1" applyAlignment="1">
      <alignment horizontal="center" vertical="center"/>
    </xf>
    <xf numFmtId="0" fontId="33" fillId="10" borderId="14" xfId="8" applyFont="1" applyFill="1" applyBorder="1" applyAlignment="1">
      <alignment horizontal="center" vertical="center"/>
    </xf>
    <xf numFmtId="2" fontId="22" fillId="10" borderId="8" xfId="8" applyNumberFormat="1" applyFont="1" applyFill="1" applyBorder="1" applyAlignment="1" applyProtection="1">
      <alignment vertical="center"/>
      <protection locked="0"/>
    </xf>
    <xf numFmtId="0" fontId="23" fillId="10" borderId="8" xfId="7" applyFont="1" applyFill="1" applyBorder="1" applyAlignment="1" applyProtection="1">
      <alignment vertical="center"/>
      <protection locked="0"/>
    </xf>
    <xf numFmtId="0" fontId="22" fillId="7" borderId="8" xfId="7" applyFont="1" applyFill="1" applyBorder="1" applyAlignment="1" applyProtection="1">
      <alignment horizontal="center" vertical="center"/>
      <protection locked="0"/>
    </xf>
    <xf numFmtId="0" fontId="40" fillId="2" borderId="5" xfId="8" applyFont="1" applyFill="1" applyBorder="1" applyAlignment="1">
      <alignment horizontal="center" vertical="center"/>
    </xf>
    <xf numFmtId="0" fontId="40" fillId="2" borderId="6" xfId="8" applyFont="1" applyFill="1" applyBorder="1" applyAlignment="1">
      <alignment horizontal="center" vertical="center"/>
    </xf>
    <xf numFmtId="0" fontId="41" fillId="9" borderId="8" xfId="8" applyFont="1" applyFill="1" applyBorder="1" applyAlignment="1" applyProtection="1">
      <alignment horizontal="left"/>
      <protection locked="0"/>
    </xf>
    <xf numFmtId="0" fontId="41" fillId="9" borderId="13" xfId="8" applyFont="1" applyFill="1" applyBorder="1" applyAlignment="1" applyProtection="1">
      <alignment horizontal="left"/>
      <protection locked="0"/>
    </xf>
    <xf numFmtId="0" fontId="41" fillId="9" borderId="9" xfId="8" applyFont="1" applyFill="1" applyBorder="1" applyAlignment="1" applyProtection="1">
      <alignment horizontal="left"/>
      <protection locked="0"/>
    </xf>
    <xf numFmtId="0" fontId="20" fillId="9" borderId="8" xfId="7" applyFont="1" applyFill="1" applyBorder="1" applyAlignment="1" applyProtection="1">
      <alignment vertical="center"/>
      <protection locked="0"/>
    </xf>
    <xf numFmtId="0" fontId="41" fillId="6" borderId="8" xfId="8" applyFont="1" applyFill="1" applyBorder="1" applyAlignment="1" applyProtection="1">
      <alignment horizontal="left"/>
      <protection locked="0"/>
    </xf>
    <xf numFmtId="0" fontId="41" fillId="6" borderId="9" xfId="8" applyFont="1" applyFill="1" applyBorder="1" applyAlignment="1" applyProtection="1">
      <alignment horizontal="left"/>
      <protection locked="0"/>
    </xf>
    <xf numFmtId="0" fontId="22" fillId="10" borderId="8" xfId="0" applyFont="1" applyFill="1" applyBorder="1" applyAlignment="1">
      <alignment vertical="center"/>
    </xf>
    <xf numFmtId="0" fontId="23" fillId="10" borderId="17" xfId="7" applyFont="1" applyFill="1" applyBorder="1" applyAlignment="1">
      <alignment vertical="center"/>
    </xf>
    <xf numFmtId="0" fontId="22" fillId="7" borderId="17" xfId="7" applyFont="1" applyFill="1" applyBorder="1" applyAlignment="1">
      <alignment horizontal="center" vertical="center"/>
    </xf>
    <xf numFmtId="0" fontId="23" fillId="10" borderId="8" xfId="7" applyFont="1" applyFill="1" applyBorder="1" applyAlignment="1">
      <alignment vertical="center"/>
    </xf>
    <xf numFmtId="0" fontId="18" fillId="9" borderId="8" xfId="7" applyFont="1" applyFill="1" applyBorder="1" applyAlignment="1" applyProtection="1">
      <alignment horizontal="left" vertical="center"/>
      <protection locked="0"/>
    </xf>
    <xf numFmtId="0" fontId="8" fillId="9" borderId="9" xfId="8" applyFont="1" applyFill="1" applyBorder="1" applyProtection="1">
      <protection locked="0"/>
    </xf>
    <xf numFmtId="0" fontId="39" fillId="10" borderId="19" xfId="8" applyFont="1" applyFill="1" applyBorder="1"/>
    <xf numFmtId="0" fontId="42" fillId="7" borderId="1" xfId="8" applyFont="1" applyFill="1" applyBorder="1" applyAlignment="1">
      <alignment horizontal="center" vertical="center"/>
    </xf>
    <xf numFmtId="0" fontId="22" fillId="7" borderId="8" xfId="7" applyFont="1" applyFill="1" applyBorder="1" applyAlignment="1">
      <alignment horizontal="center" vertical="center"/>
    </xf>
    <xf numFmtId="0" fontId="38" fillId="7" borderId="8" xfId="7" applyFont="1" applyFill="1" applyBorder="1" applyAlignment="1">
      <alignment horizontal="center" vertical="center"/>
    </xf>
    <xf numFmtId="0" fontId="18" fillId="9" borderId="8" xfId="0" applyFont="1" applyFill="1" applyBorder="1" applyAlignment="1" applyProtection="1">
      <alignment horizontal="center" vertical="center"/>
      <protection locked="0"/>
    </xf>
    <xf numFmtId="0" fontId="22" fillId="10" borderId="8" xfId="7" applyFont="1" applyFill="1" applyBorder="1" applyAlignment="1">
      <alignment vertical="center"/>
    </xf>
    <xf numFmtId="0" fontId="38" fillId="10" borderId="24" xfId="7" applyFont="1" applyFill="1" applyBorder="1" applyAlignment="1">
      <alignment vertical="center"/>
    </xf>
    <xf numFmtId="0" fontId="16" fillId="6" borderId="1" xfId="1" applyFont="1" applyFill="1" applyBorder="1" applyAlignment="1" applyProtection="1">
      <alignment vertical="center" wrapText="1"/>
    </xf>
    <xf numFmtId="0" fontId="22" fillId="7" borderId="23" xfId="7" applyFont="1" applyFill="1" applyBorder="1" applyAlignment="1">
      <alignment horizontal="center" vertical="center"/>
    </xf>
    <xf numFmtId="0" fontId="20" fillId="9" borderId="8" xfId="7" applyFont="1" applyFill="1" applyBorder="1" applyAlignment="1" applyProtection="1">
      <alignment horizontal="left" vertical="center"/>
      <protection locked="0"/>
    </xf>
    <xf numFmtId="0" fontId="45" fillId="12" borderId="28" xfId="7" applyFont="1" applyFill="1" applyBorder="1" applyAlignment="1" applyProtection="1">
      <alignment horizontal="left" vertical="center"/>
      <protection locked="0"/>
    </xf>
    <xf numFmtId="0" fontId="45" fillId="12" borderId="18" xfId="7" applyFont="1" applyFill="1" applyBorder="1" applyAlignment="1" applyProtection="1">
      <alignment horizontal="left" vertical="center"/>
      <protection locked="0"/>
    </xf>
    <xf numFmtId="0" fontId="52" fillId="0" borderId="0" xfId="7" applyFont="1" applyAlignment="1">
      <alignment horizontal="left" vertical="center" wrapText="1"/>
    </xf>
    <xf numFmtId="0" fontId="18" fillId="9" borderId="8" xfId="0" applyFont="1" applyFill="1" applyBorder="1" applyAlignment="1" applyProtection="1">
      <alignment vertical="center"/>
      <protection locked="0"/>
    </xf>
    <xf numFmtId="0" fontId="35" fillId="9" borderId="8" xfId="0" applyFont="1" applyFill="1" applyBorder="1" applyAlignment="1" applyProtection="1">
      <alignment vertical="center"/>
      <protection locked="0"/>
    </xf>
  </cellXfs>
  <cellStyles count="10">
    <cellStyle name="60% - Accent1 2" xfId="2" xr:uid="{00000000-0005-0000-0000-000006000000}"/>
    <cellStyle name="Accent1 2" xfId="3" xr:uid="{00000000-0005-0000-0000-000007000000}"/>
    <cellStyle name="Comma 2" xfId="4" xr:uid="{00000000-0005-0000-0000-000008000000}"/>
    <cellStyle name="Hyperlink" xfId="1" builtinId="8"/>
    <cellStyle name="Hyperlink 2" xfId="5" xr:uid="{00000000-0005-0000-0000-000009000000}"/>
    <cellStyle name="Hyperlink 3" xfId="6" xr:uid="{00000000-0005-0000-0000-00000A000000}"/>
    <cellStyle name="Normal" xfId="0" builtinId="0"/>
    <cellStyle name="Normal 2" xfId="7" xr:uid="{00000000-0005-0000-0000-00000B000000}"/>
    <cellStyle name="Normal 3" xfId="8" xr:uid="{00000000-0005-0000-0000-00000C000000}"/>
    <cellStyle name="Normal 3 2" xfId="9" xr:uid="{00000000-0005-0000-0000-00000D000000}"/>
  </cellStyles>
  <dxfs count="104">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ill>
        <patternFill>
          <bgColor rgb="FFFFFFCC"/>
        </patternFill>
      </fill>
    </dxf>
    <dxf>
      <fill>
        <patternFill>
          <bgColor rgb="FFFFFFCC"/>
        </patternFill>
      </fill>
    </dxf>
    <dxf>
      <font>
        <b/>
        <i val="0"/>
        <color rgb="FF9C0006"/>
      </font>
      <fill>
        <patternFill>
          <bgColor rgb="FFE6B9B8"/>
        </patternFill>
      </fill>
    </dxf>
    <dxf>
      <font>
        <b/>
        <i val="0"/>
        <color rgb="FF9C0006"/>
      </font>
      <fill>
        <patternFill>
          <bgColor rgb="FFE6B9B8"/>
        </patternFill>
      </fill>
    </dxf>
    <dxf>
      <font>
        <color theme="1" tint="0.34998626667073579"/>
      </font>
      <fill>
        <patternFill>
          <bgColor rgb="FF323232"/>
        </patternFill>
      </fill>
    </dxf>
    <dxf>
      <fill>
        <patternFill>
          <bgColor rgb="FFF2F2F2"/>
        </patternFill>
      </fill>
    </dxf>
    <dxf>
      <fill>
        <patternFill>
          <bgColor rgb="FFF2F2F2"/>
        </patternFill>
      </fill>
    </dxf>
    <dxf>
      <font>
        <color rgb="FF595959"/>
      </font>
      <fill>
        <patternFill>
          <bgColor rgb="FF303030"/>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ill>
        <patternFill>
          <bgColor rgb="FFF2F2F2"/>
        </patternFill>
      </fill>
    </dxf>
    <dxf>
      <fill>
        <patternFill>
          <bgColor rgb="FFF2F2F2"/>
        </patternFill>
      </fill>
    </dxf>
    <dxf>
      <fill>
        <patternFill>
          <bgColor rgb="FFF2F2F2"/>
        </patternFill>
      </fill>
    </dxf>
    <dxf>
      <fill>
        <patternFill>
          <bgColor rgb="FFF2F2F2"/>
        </patternFill>
      </fill>
    </dxf>
    <dxf>
      <font>
        <b/>
        <i val="0"/>
        <color rgb="FF9C0006"/>
      </font>
      <fill>
        <patternFill>
          <bgColor rgb="FFE6B9B8"/>
        </patternFill>
      </fill>
    </dxf>
    <dxf>
      <font>
        <b/>
        <i val="0"/>
        <color rgb="FF9C0006"/>
      </font>
      <fill>
        <patternFill>
          <bgColor rgb="FFE6B9B8"/>
        </patternFill>
      </fill>
    </dxf>
    <dxf>
      <fill>
        <patternFill>
          <bgColor rgb="FFF2F2F2"/>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C00000"/>
      </font>
      <fill>
        <patternFill>
          <bgColor rgb="FFE6B9B8"/>
        </patternFill>
      </fill>
    </dxf>
    <dxf>
      <font>
        <b/>
        <i val="0"/>
        <color rgb="FF9C0006"/>
      </font>
      <fill>
        <patternFill>
          <bgColor rgb="FFE6B9B8"/>
        </patternFill>
      </fill>
    </dxf>
    <dxf>
      <font>
        <b/>
        <i val="0"/>
        <color rgb="FFC00000"/>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ill>
        <patternFill>
          <bgColor rgb="FFF2F2F2"/>
        </patternFill>
      </fill>
    </dxf>
    <dxf>
      <font>
        <b val="0"/>
        <i val="0"/>
        <color rgb="FF000000"/>
      </font>
      <fill>
        <patternFill>
          <bgColor rgb="FFFFFFE5"/>
        </patternFill>
      </fill>
    </dxf>
    <dxf>
      <font>
        <b/>
        <i val="0"/>
        <color rgb="FF9C0006"/>
      </font>
      <fill>
        <patternFill>
          <bgColor rgb="FFE6B9B8"/>
        </patternFill>
      </fill>
    </dxf>
    <dxf>
      <font>
        <b/>
        <i val="0"/>
        <color rgb="FF9C0006"/>
      </font>
      <fill>
        <patternFill>
          <bgColor rgb="FFE6B9B8"/>
        </patternFill>
      </fill>
    </dxf>
    <dxf>
      <font>
        <b/>
        <i val="0"/>
        <color rgb="FFC00000"/>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val="0"/>
        <i val="0"/>
        <color rgb="FF000000"/>
      </font>
      <fill>
        <patternFill>
          <bgColor rgb="FFFFFFE5"/>
        </patternFill>
      </fill>
    </dxf>
    <dxf>
      <font>
        <b/>
        <i val="0"/>
        <color rgb="FF9C0006"/>
      </font>
      <fill>
        <patternFill>
          <bgColor rgb="FFE6B9B8"/>
        </patternFill>
      </fill>
    </dxf>
    <dxf>
      <font>
        <b/>
        <i val="0"/>
        <color rgb="FF9C0006"/>
      </font>
      <fill>
        <patternFill>
          <bgColor rgb="FFE6B9B8"/>
        </patternFill>
      </fill>
    </dxf>
    <dxf>
      <fill>
        <patternFill>
          <bgColor rgb="FFF2F2F2"/>
        </patternFill>
      </fill>
    </dxf>
    <dxf>
      <fill>
        <patternFill>
          <bgColor rgb="FFF2F2F2"/>
        </patternFill>
      </fill>
    </dxf>
    <dxf>
      <fill>
        <patternFill>
          <bgColor rgb="FFF2F2F2"/>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val="0"/>
        <i val="0"/>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color rgb="FF595959"/>
      </font>
      <fill>
        <patternFill>
          <bgColor rgb="FF303030"/>
        </patternFill>
      </fill>
    </dxf>
    <dxf>
      <font>
        <color rgb="FF595959"/>
      </font>
      <fill>
        <patternFill>
          <bgColor rgb="FF303030"/>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color rgb="FF595959"/>
      </font>
      <fill>
        <patternFill>
          <bgColor rgb="FF303030"/>
        </patternFill>
      </fill>
    </dxf>
    <dxf>
      <font>
        <color rgb="FF595959"/>
      </font>
      <fill>
        <patternFill>
          <bgColor rgb="FF303030"/>
        </patternFill>
      </fill>
    </dxf>
    <dxf>
      <font>
        <color rgb="FF595959"/>
      </font>
      <fill>
        <patternFill>
          <bgColor rgb="FF303030"/>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C00000"/>
      </font>
      <fill>
        <patternFill>
          <bgColor rgb="FFE6B9B8"/>
        </patternFill>
      </fill>
    </dxf>
    <dxf>
      <font>
        <b/>
        <i val="0"/>
        <color rgb="FFC00000"/>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9C0006"/>
      </font>
      <fill>
        <patternFill>
          <bgColor rgb="FFE6B9B8"/>
        </patternFill>
      </fill>
    </dxf>
    <dxf>
      <font>
        <b/>
        <i val="0"/>
        <color rgb="FFC00000"/>
      </font>
      <fill>
        <patternFill>
          <bgColor rgb="FFE6B9B8"/>
        </patternFill>
      </fill>
    </dxf>
    <dxf>
      <font>
        <b/>
        <i val="0"/>
        <color rgb="FF9C0006"/>
      </font>
      <fill>
        <patternFill>
          <bgColor rgb="FFE6B9B8"/>
        </patternFill>
      </fill>
    </dxf>
    <dxf>
      <font>
        <b/>
        <i val="0"/>
        <color rgb="FFC00000"/>
      </font>
      <fill>
        <patternFill>
          <bgColor rgb="FFE6B9B8"/>
        </patternFill>
      </fill>
    </dxf>
    <dxf>
      <font>
        <b/>
        <i val="0"/>
        <color rgb="FFC00000"/>
      </font>
      <fill>
        <patternFill>
          <bgColor rgb="FFE6B9B8"/>
        </patternFill>
      </fill>
    </dxf>
    <dxf>
      <font>
        <b/>
        <i val="0"/>
        <color rgb="FFC00000"/>
      </font>
      <fill>
        <patternFill>
          <bgColor rgb="FFE6B9B8"/>
        </patternFill>
      </fill>
    </dxf>
    <dxf>
      <font>
        <b/>
        <i val="0"/>
        <color rgb="FFC00000"/>
      </font>
      <fill>
        <patternFill>
          <bgColor rgb="FFE6B9B8"/>
        </patternFill>
      </fill>
    </dxf>
    <dxf>
      <font>
        <b/>
        <i val="0"/>
        <color rgb="FFC00000"/>
      </font>
      <fill>
        <patternFill>
          <bgColor rgb="FFE6B9B8"/>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E6B9B8"/>
      <rgbColor rgb="FF808080"/>
      <rgbColor rgb="FF9999FF"/>
      <rgbColor rgb="FF993366"/>
      <rgbColor rgb="FFFFFFE5"/>
      <rgbColor rgb="FFDCE6F2"/>
      <rgbColor rgb="FF660066"/>
      <rgbColor rgb="FFFF8080"/>
      <rgbColor rgb="FF0066CC"/>
      <rgbColor rgb="FFB9CDE5"/>
      <rgbColor rgb="FF000080"/>
      <rgbColor rgb="FFFF00FF"/>
      <rgbColor rgb="FFFFFF00"/>
      <rgbColor rgb="FF00FFFF"/>
      <rgbColor rgb="FF800080"/>
      <rgbColor rgb="FFC00000"/>
      <rgbColor rgb="FF008080"/>
      <rgbColor rgb="FF0000FF"/>
      <rgbColor rgb="FF00CCFF"/>
      <rgbColor rgb="FFF2F2F2"/>
      <rgbColor rgb="FFD9D9D9"/>
      <rgbColor rgb="FFFFFF99"/>
      <rgbColor rgb="FF95B3D7"/>
      <rgbColor rgb="FFFF99CC"/>
      <rgbColor rgb="FFCC99FF"/>
      <rgbColor rgb="FFFFCC99"/>
      <rgbColor rgb="FF4F81BD"/>
      <rgbColor rgb="FF33CCCC"/>
      <rgbColor rgb="FF9BBB59"/>
      <rgbColor rgb="FFFFCC00"/>
      <rgbColor rgb="FFFF9900"/>
      <rgbColor rgb="FFFF6600"/>
      <rgbColor rgb="FF595959"/>
      <rgbColor rgb="FF969696"/>
      <rgbColor rgb="FF003366"/>
      <rgbColor rgb="FF339966"/>
      <rgbColor rgb="FF003300"/>
      <rgbColor rgb="FF333300"/>
      <rgbColor rgb="FF993300"/>
      <rgbColor rgb="FF993366"/>
      <rgbColor rgb="FF376092"/>
      <rgbColor rgb="FF303030"/>
      <rgbColor rgb="00003366"/>
      <rgbColor rgb="00339966"/>
      <rgbColor rgb="00003300"/>
      <rgbColor rgb="00333300"/>
      <rgbColor rgb="00993300"/>
      <rgbColor rgb="00993366"/>
      <rgbColor rgb="00333399"/>
      <rgbColor rgb="00333333"/>
    </indexedColors>
    <mruColors>
      <color rgb="FF3232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19440</xdr:colOff>
      <xdr:row>0</xdr:row>
      <xdr:rowOff>19440</xdr:rowOff>
    </xdr:from>
    <xdr:to>
      <xdr:col>5</xdr:col>
      <xdr:colOff>695160</xdr:colOff>
      <xdr:row>1</xdr:row>
      <xdr:rowOff>12240</xdr:rowOff>
    </xdr:to>
    <xdr:pic>
      <xdr:nvPicPr>
        <xdr:cNvPr id="2" name="Picture 4">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9440" y="19440"/>
          <a:ext cx="17273880" cy="602280"/>
        </a:xfrm>
        <a:prstGeom prst="rect">
          <a:avLst/>
        </a:prstGeom>
        <a:ln>
          <a:noFill/>
        </a:ln>
      </xdr:spPr>
    </xdr:pic>
    <xdr:clientData/>
  </xdr:twoCellAnchor>
  <xdr:twoCellAnchor editAs="oneCell">
    <xdr:from>
      <xdr:col>3</xdr:col>
      <xdr:colOff>1640160</xdr:colOff>
      <xdr:row>0</xdr:row>
      <xdr:rowOff>142560</xdr:rowOff>
    </xdr:from>
    <xdr:to>
      <xdr:col>3</xdr:col>
      <xdr:colOff>3052440</xdr:colOff>
      <xdr:row>0</xdr:row>
      <xdr:rowOff>457920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13451760" y="142560"/>
          <a:ext cx="1412280" cy="315360"/>
        </a:xfrm>
        <a:prstGeom prst="rect">
          <a:avLst/>
        </a:prstGeom>
        <a:ln>
          <a:noFill/>
        </a:ln>
      </xdr:spPr>
    </xdr:pic>
    <xdr:clientData/>
  </xdr:twoCellAnchor>
  <xdr:twoCellAnchor>
    <xdr:from>
      <xdr:col>1</xdr:col>
      <xdr:colOff>57240</xdr:colOff>
      <xdr:row>0</xdr:row>
      <xdr:rowOff>94680</xdr:rowOff>
    </xdr:from>
    <xdr:to>
      <xdr:col>2</xdr:col>
      <xdr:colOff>4672800</xdr:colOff>
      <xdr:row>0</xdr:row>
      <xdr:rowOff>598320</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161280" y="94680"/>
          <a:ext cx="11625120" cy="50364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nSpc>
              <a:spcPct val="100000"/>
            </a:lnSpc>
          </a:pPr>
          <a:r>
            <a:rPr lang="en-US" sz="2800" b="0" strike="noStrike" spc="-1">
              <a:solidFill>
                <a:srgbClr val="FFFFFF"/>
              </a:solidFill>
              <a:latin typeface="Metropolis"/>
            </a:rPr>
            <a:t>VMware Cloud Foundation on Dell EMC VxRail</a:t>
          </a:r>
          <a:endParaRPr lang="en-US" sz="28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9360</xdr:rowOff>
    </xdr:from>
    <xdr:to>
      <xdr:col>3</xdr:col>
      <xdr:colOff>8722785</xdr:colOff>
      <xdr:row>1</xdr:row>
      <xdr:rowOff>2702</xdr:rowOff>
    </xdr:to>
    <xdr:pic>
      <xdr:nvPicPr>
        <xdr:cNvPr id="3" name="Picture 4">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stretch/>
      </xdr:blipFill>
      <xdr:spPr>
        <a:xfrm>
          <a:off x="0" y="9360"/>
          <a:ext cx="15202800" cy="600120"/>
        </a:xfrm>
        <a:prstGeom prst="rect">
          <a:avLst/>
        </a:prstGeom>
        <a:ln>
          <a:noFill/>
        </a:ln>
      </xdr:spPr>
    </xdr:pic>
    <xdr:clientData/>
  </xdr:twoCellAnchor>
  <xdr:twoCellAnchor>
    <xdr:from>
      <xdr:col>0</xdr:col>
      <xdr:colOff>15480</xdr:colOff>
      <xdr:row>0</xdr:row>
      <xdr:rowOff>94320</xdr:rowOff>
    </xdr:from>
    <xdr:to>
      <xdr:col>1</xdr:col>
      <xdr:colOff>2107440</xdr:colOff>
      <xdr:row>0</xdr:row>
      <xdr:rowOff>597960</xdr:rowOff>
    </xdr:to>
    <xdr:sp macro="" textlink="">
      <xdr:nvSpPr>
        <xdr:cNvPr id="4" name="CustomShape 1">
          <a:extLst>
            <a:ext uri="{FF2B5EF4-FFF2-40B4-BE49-F238E27FC236}">
              <a16:creationId xmlns:a16="http://schemas.microsoft.com/office/drawing/2014/main" id="{00000000-0008-0000-0100-000004000000}"/>
            </a:ext>
          </a:extLst>
        </xdr:cNvPr>
        <xdr:cNvSpPr/>
      </xdr:nvSpPr>
      <xdr:spPr>
        <a:xfrm>
          <a:off x="15480" y="94320"/>
          <a:ext cx="2196000" cy="50364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Credentials</a:t>
          </a:r>
          <a:endParaRPr lang="en-US" sz="2800" b="0" strike="noStrike" spc="-1">
            <a:latin typeface="Times New Roman"/>
          </a:endParaRPr>
        </a:p>
      </xdr:txBody>
    </xdr:sp>
    <xdr:clientData/>
  </xdr:twoCellAnchor>
  <xdr:twoCellAnchor editAs="oneCell">
    <xdr:from>
      <xdr:col>3</xdr:col>
      <xdr:colOff>7290360</xdr:colOff>
      <xdr:row>0</xdr:row>
      <xdr:rowOff>141840</xdr:rowOff>
    </xdr:from>
    <xdr:to>
      <xdr:col>4</xdr:col>
      <xdr:colOff>207</xdr:colOff>
      <xdr:row>0</xdr:row>
      <xdr:rowOff>457200</xdr:rowOff>
    </xdr:to>
    <xdr:pic>
      <xdr:nvPicPr>
        <xdr:cNvPr id="5" name="Picture 4">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2"/>
        <a:stretch/>
      </xdr:blipFill>
      <xdr:spPr>
        <a:xfrm>
          <a:off x="12522600" y="141840"/>
          <a:ext cx="1494720" cy="3153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5400</xdr:rowOff>
    </xdr:from>
    <xdr:to>
      <xdr:col>12</xdr:col>
      <xdr:colOff>4972</xdr:colOff>
      <xdr:row>1</xdr:row>
      <xdr:rowOff>3428</xdr:rowOff>
    </xdr:to>
    <xdr:pic>
      <xdr:nvPicPr>
        <xdr:cNvPr id="6" name="Picture 4">
          <a:extLst>
            <a:ext uri="{FF2B5EF4-FFF2-40B4-BE49-F238E27FC236}">
              <a16:creationId xmlns:a16="http://schemas.microsoft.com/office/drawing/2014/main" id="{00000000-0008-0000-0200-000006000000}"/>
            </a:ext>
          </a:extLst>
        </xdr:cNvPr>
        <xdr:cNvPicPr/>
      </xdr:nvPicPr>
      <xdr:blipFill>
        <a:blip xmlns:r="http://schemas.openxmlformats.org/officeDocument/2006/relationships" r:embed="rId1"/>
        <a:stretch/>
      </xdr:blipFill>
      <xdr:spPr>
        <a:xfrm>
          <a:off x="0" y="5400"/>
          <a:ext cx="18407880" cy="603720"/>
        </a:xfrm>
        <a:prstGeom prst="rect">
          <a:avLst/>
        </a:prstGeom>
        <a:ln>
          <a:noFill/>
        </a:ln>
      </xdr:spPr>
    </xdr:pic>
    <xdr:clientData/>
  </xdr:twoCellAnchor>
  <xdr:twoCellAnchor>
    <xdr:from>
      <xdr:col>0</xdr:col>
      <xdr:colOff>92880</xdr:colOff>
      <xdr:row>0</xdr:row>
      <xdr:rowOff>67320</xdr:rowOff>
    </xdr:from>
    <xdr:to>
      <xdr:col>3</xdr:col>
      <xdr:colOff>1387080</xdr:colOff>
      <xdr:row>0</xdr:row>
      <xdr:rowOff>570960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92880" y="67320"/>
          <a:ext cx="3740760" cy="50364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Hosts and Networks</a:t>
          </a:r>
          <a:endParaRPr lang="en-US" sz="2800" b="0" strike="noStrike" spc="-1">
            <a:latin typeface="Times New Roman"/>
          </a:endParaRPr>
        </a:p>
      </xdr:txBody>
    </xdr:sp>
    <xdr:clientData/>
  </xdr:twoCellAnchor>
  <xdr:twoCellAnchor editAs="oneCell">
    <xdr:from>
      <xdr:col>10</xdr:col>
      <xdr:colOff>1120320</xdr:colOff>
      <xdr:row>0</xdr:row>
      <xdr:rowOff>149400</xdr:rowOff>
    </xdr:from>
    <xdr:to>
      <xdr:col>11</xdr:col>
      <xdr:colOff>770760</xdr:colOff>
      <xdr:row>0</xdr:row>
      <xdr:rowOff>464760</xdr:rowOff>
    </xdr:to>
    <xdr:pic>
      <xdr:nvPicPr>
        <xdr:cNvPr id="8" name="Picture 3">
          <a:extLst>
            <a:ext uri="{FF2B5EF4-FFF2-40B4-BE49-F238E27FC236}">
              <a16:creationId xmlns:a16="http://schemas.microsoft.com/office/drawing/2014/main" id="{00000000-0008-0000-0200-000008000000}"/>
            </a:ext>
          </a:extLst>
        </xdr:cNvPr>
        <xdr:cNvPicPr/>
      </xdr:nvPicPr>
      <xdr:blipFill>
        <a:blip xmlns:r="http://schemas.openxmlformats.org/officeDocument/2006/relationships" r:embed="rId2"/>
        <a:stretch/>
      </xdr:blipFill>
      <xdr:spPr>
        <a:xfrm>
          <a:off x="14934600" y="149400"/>
          <a:ext cx="1947960" cy="3153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9360</xdr:rowOff>
    </xdr:from>
    <xdr:to>
      <xdr:col>11</xdr:col>
      <xdr:colOff>18000</xdr:colOff>
      <xdr:row>1</xdr:row>
      <xdr:rowOff>17280</xdr:rowOff>
    </xdr:to>
    <xdr:pic>
      <xdr:nvPicPr>
        <xdr:cNvPr id="9" name="Picture 4">
          <a:extLst>
            <a:ext uri="{FF2B5EF4-FFF2-40B4-BE49-F238E27FC236}">
              <a16:creationId xmlns:a16="http://schemas.microsoft.com/office/drawing/2014/main" id="{00000000-0008-0000-0400-000009000000}"/>
            </a:ext>
          </a:extLst>
        </xdr:cNvPr>
        <xdr:cNvPicPr/>
      </xdr:nvPicPr>
      <xdr:blipFill>
        <a:blip xmlns:r="http://schemas.openxmlformats.org/officeDocument/2006/relationships" r:embed="rId1"/>
        <a:stretch/>
      </xdr:blipFill>
      <xdr:spPr>
        <a:xfrm>
          <a:off x="0" y="9360"/>
          <a:ext cx="18586440" cy="617400"/>
        </a:xfrm>
        <a:prstGeom prst="rect">
          <a:avLst/>
        </a:prstGeom>
        <a:ln>
          <a:noFill/>
        </a:ln>
      </xdr:spPr>
    </xdr:pic>
    <xdr:clientData/>
  </xdr:twoCellAnchor>
  <xdr:twoCellAnchor editAs="oneCell">
    <xdr:from>
      <xdr:col>8</xdr:col>
      <xdr:colOff>2490480</xdr:colOff>
      <xdr:row>0</xdr:row>
      <xdr:rowOff>168840</xdr:rowOff>
    </xdr:from>
    <xdr:to>
      <xdr:col>9</xdr:col>
      <xdr:colOff>873360</xdr:colOff>
      <xdr:row>0</xdr:row>
      <xdr:rowOff>487440</xdr:rowOff>
    </xdr:to>
    <xdr:pic>
      <xdr:nvPicPr>
        <xdr:cNvPr id="10" name="Picture 4">
          <a:extLst>
            <a:ext uri="{FF2B5EF4-FFF2-40B4-BE49-F238E27FC236}">
              <a16:creationId xmlns:a16="http://schemas.microsoft.com/office/drawing/2014/main" id="{00000000-0008-0000-0400-00000A000000}"/>
            </a:ext>
          </a:extLst>
        </xdr:cNvPr>
        <xdr:cNvPicPr/>
      </xdr:nvPicPr>
      <xdr:blipFill>
        <a:blip xmlns:r="http://schemas.openxmlformats.org/officeDocument/2006/relationships" r:embed="rId2"/>
        <a:stretch/>
      </xdr:blipFill>
      <xdr:spPr>
        <a:xfrm>
          <a:off x="14345640" y="168840"/>
          <a:ext cx="2058480" cy="318600"/>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olvy_sevilla_dell_com/Documents/Projects/Active/.%20Gov%20of%20Canada/CANSOFCOM%20(2023)/Technical/CANSOFCOM_S2_VCF%20on%20VxRail%204.5%20Design%20Workbook_20230913.xlsm"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Users/yevgenieva/Documents/Projects/glcm-sos/cloud_admin_tools/JsonGenerator/sample/home/fatma/projects/glcm-sos/cloud_admin_tools/JsonGenerator/sample/home/fatma/projects/glcm-sos/cloud_admin_tools/JsonGenerator/sample/home/fatma/projects/glcm-sos/cloud_admin_tools/JsonGenerator/sample/home/fatma/projects/glcm-sos/cloud_admin_tools/JsonGenerator/sample/vcf-ems-deployment-parameter.xlsx?C4B4BBB4" TargetMode="External"/><Relationship Id="rId1" Type="http://schemas.openxmlformats.org/officeDocument/2006/relationships/externalLinkPath" Target="file:///\\C4B4BBB4\vcf-ems-deployment-paramete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nevmw.sharepoint.com/teams/ISBUBringup/Shared%20Documents/Bringup%20Master%20XLS%20Files/Deployment_Parameters_Propos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acts"/>
      <sheetName val="Global"/>
      <sheetName val="Switching"/>
      <sheetName val="MGMT Domain"/>
      <sheetName val="MGMT Edge"/>
      <sheetName val="Stretched-Cluster"/>
      <sheetName val="PROD-VMS"/>
      <sheetName val="TANZU"/>
      <sheetName val="VDI"/>
      <sheetName val="VI-WLD4"/>
      <sheetName val="VI-WLD5"/>
      <sheetName val="VI-WLD6"/>
      <sheetName val="VI-WLD7"/>
      <sheetName val="VI-WLD8"/>
      <sheetName val="WLD Edge"/>
      <sheetName val="Service Accounts"/>
      <sheetName val="AVN Network Diagram"/>
      <sheetName val="PreReqs"/>
      <sheetName val="Change Log"/>
      <sheetName val="LISTS"/>
    </sheetNames>
    <sheetDataSet>
      <sheetData sheetId="0"/>
      <sheetData sheetId="1"/>
      <sheetData sheetId="2">
        <row r="63">
          <cell r="C63" t="str">
            <v>site2</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5">
          <cell r="U5" t="str">
            <v>site2-mgmt-cluster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redentials"/>
      <sheetName val="Hosts and Networks"/>
      <sheetName val="Deploy Parameters"/>
      <sheetName val="Lookup_Lists"/>
      <sheetName val="Config_File_Build"/>
      <sheetName val="Change Log"/>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redentials"/>
      <sheetName val="Hosts and Networks"/>
      <sheetName val="Deploy Parameters"/>
      <sheetName val="Lookup_Lists"/>
      <sheetName val="Config_File_Build"/>
      <sheetName val="Change Log"/>
    </sheetNames>
    <sheetDataSet>
      <sheetData sheetId="0"/>
      <sheetData sheetId="1"/>
      <sheetData sheetId="2"/>
      <sheetData sheetId="3"/>
      <sheetData sheetId="4">
        <row r="2">
          <cell r="A2" t="str">
            <v>n/a</v>
          </cell>
        </row>
        <row r="3">
          <cell r="A3" t="str">
            <v>intel-merom</v>
          </cell>
        </row>
        <row r="4">
          <cell r="A4" t="str">
            <v>intel-penryn</v>
          </cell>
        </row>
        <row r="5">
          <cell r="A5" t="str">
            <v>intel-nehalem</v>
          </cell>
        </row>
        <row r="6">
          <cell r="A6" t="str">
            <v>intel-westmere</v>
          </cell>
        </row>
        <row r="7">
          <cell r="A7" t="str">
            <v>intel-sandybridge</v>
          </cell>
        </row>
        <row r="8">
          <cell r="A8" t="str">
            <v>intel-ivybridge</v>
          </cell>
        </row>
        <row r="9">
          <cell r="A9" t="str">
            <v>intel-haswell</v>
          </cell>
        </row>
        <row r="10">
          <cell r="A10" t="str">
            <v>intel-broadwell</v>
          </cell>
        </row>
        <row r="11">
          <cell r="A11" t="str">
            <v>intel-skylake</v>
          </cell>
        </row>
        <row r="12">
          <cell r="A12" t="str">
            <v>intel-cascadelake</v>
          </cell>
        </row>
        <row r="13">
          <cell r="A13" t="str">
            <v>amd-rev-e</v>
          </cell>
        </row>
        <row r="14">
          <cell r="A14" t="str">
            <v>amd-rev-f</v>
          </cell>
        </row>
        <row r="15">
          <cell r="A15" t="str">
            <v>amd-greyhound-no3dnow</v>
          </cell>
        </row>
        <row r="16">
          <cell r="A16" t="str">
            <v>amd-greyhound</v>
          </cell>
        </row>
        <row r="17">
          <cell r="A17" t="str">
            <v>amd-bulldozer</v>
          </cell>
        </row>
        <row r="18">
          <cell r="A18" t="str">
            <v>amd-piledriver</v>
          </cell>
        </row>
        <row r="19">
          <cell r="A19" t="str">
            <v>amd-steamroller</v>
          </cell>
        </row>
        <row r="20">
          <cell r="A20" t="str">
            <v>amd-zen</v>
          </cell>
        </row>
      </sheetData>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 displayName="Table3" ref="A1:B86" totalsRowShown="0">
  <autoFilter ref="A1:B86" xr:uid="{00000000-0009-0000-0100-000001000000}"/>
  <tableColumns count="2">
    <tableColumn id="1" xr3:uid="{00000000-0010-0000-0000-000001000000}" name="Date"/>
    <tableColumn id="2" xr3:uid="{00000000-0010-0000-0000-000002000000}" name="Descrip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management-vsan-datastore-name@value%3D" TargetMode="External"/><Relationship Id="rId1" Type="http://schemas.openxmlformats.org/officeDocument/2006/relationships/hyperlink" Target="mailto:sso-site-name@value%3D" TargetMode="Externa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571"/>
  <sheetViews>
    <sheetView zoomScale="135" zoomScaleNormal="135" workbookViewId="0">
      <pane ySplit="4" topLeftCell="A5" activePane="bottomLeft" state="frozen"/>
      <selection pane="bottomLeft" activeCell="F4" sqref="F4"/>
    </sheetView>
  </sheetViews>
  <sheetFormatPr defaultColWidth="11.28515625" defaultRowHeight="15"/>
  <cols>
    <col min="1" max="1" width="1.140625" style="1" customWidth="1"/>
    <col min="2" max="2" width="78.85546875" style="1" customWidth="1"/>
    <col min="3" max="4" width="52.85546875" style="1" customWidth="1"/>
    <col min="5" max="5" width="1" style="1" customWidth="1"/>
    <col min="6" max="6" width="7.85546875" style="1" customWidth="1"/>
    <col min="7" max="7" width="20.7109375" style="2" customWidth="1"/>
    <col min="8" max="15" width="11.28515625" style="2"/>
    <col min="16" max="256" width="11.28515625" style="1"/>
    <col min="257" max="257" width="83.7109375" style="1" customWidth="1"/>
    <col min="258" max="258" width="10.7109375" style="1" customWidth="1"/>
    <col min="259" max="259" width="50.7109375" style="1" customWidth="1"/>
    <col min="260" max="260" width="30.7109375" style="1" customWidth="1"/>
    <col min="261" max="262" width="10.7109375" style="1" customWidth="1"/>
    <col min="263" max="263" width="20.7109375" style="1" customWidth="1"/>
    <col min="264" max="512" width="11.28515625" style="1"/>
    <col min="513" max="513" width="83.7109375" style="1" customWidth="1"/>
    <col min="514" max="514" width="10.7109375" style="1" customWidth="1"/>
    <col min="515" max="515" width="50.7109375" style="1" customWidth="1"/>
    <col min="516" max="516" width="30.7109375" style="1" customWidth="1"/>
    <col min="517" max="518" width="10.7109375" style="1" customWidth="1"/>
    <col min="519" max="519" width="20.7109375" style="1" customWidth="1"/>
    <col min="520" max="768" width="11.28515625" style="1"/>
    <col min="769" max="769" width="83.7109375" style="1" customWidth="1"/>
    <col min="770" max="770" width="10.7109375" style="1" customWidth="1"/>
    <col min="771" max="771" width="50.7109375" style="1" customWidth="1"/>
    <col min="772" max="772" width="30.7109375" style="1" customWidth="1"/>
    <col min="773" max="774" width="10.7109375" style="1" customWidth="1"/>
    <col min="775" max="775" width="20.7109375" style="1" customWidth="1"/>
    <col min="776" max="1024" width="11.28515625" style="1"/>
  </cols>
  <sheetData>
    <row r="1" spans="2:15" s="3" customFormat="1" ht="48" customHeight="1">
      <c r="B1" s="4"/>
      <c r="E1" s="5"/>
      <c r="G1" s="5"/>
      <c r="H1" s="5"/>
      <c r="I1" s="5"/>
      <c r="J1" s="5"/>
      <c r="K1" s="5"/>
      <c r="L1" s="5"/>
      <c r="M1" s="5"/>
      <c r="N1" s="5"/>
      <c r="O1" s="5"/>
    </row>
    <row r="2" spans="2:15" s="3" customFormat="1" ht="3" customHeight="1">
      <c r="B2" s="4"/>
      <c r="E2" s="5"/>
      <c r="G2" s="5"/>
      <c r="H2" s="5"/>
      <c r="I2" s="5"/>
      <c r="J2" s="5"/>
      <c r="K2" s="5"/>
      <c r="L2" s="5"/>
      <c r="M2" s="5"/>
      <c r="N2" s="5"/>
      <c r="O2" s="5"/>
    </row>
    <row r="3" spans="2:15" s="3" customFormat="1" ht="47.1" customHeight="1">
      <c r="B3" s="133" t="s">
        <v>0</v>
      </c>
      <c r="C3" s="133"/>
      <c r="D3" s="133"/>
      <c r="E3" s="6"/>
      <c r="F3" s="7" t="s">
        <v>353</v>
      </c>
      <c r="G3" s="5"/>
      <c r="H3" s="5"/>
      <c r="I3" s="5"/>
      <c r="J3" s="5"/>
      <c r="K3" s="5"/>
      <c r="L3" s="5"/>
      <c r="M3" s="5"/>
      <c r="N3" s="5"/>
      <c r="O3" s="5"/>
    </row>
    <row r="4" spans="2:15" s="5" customFormat="1" ht="3" customHeight="1">
      <c r="B4" s="8"/>
    </row>
    <row r="5" spans="2:15" s="2" customFormat="1" ht="13.5"/>
    <row r="6" spans="2:15" s="9" customFormat="1">
      <c r="B6" s="134" t="s">
        <v>1</v>
      </c>
      <c r="C6" s="134"/>
      <c r="D6" s="134"/>
      <c r="E6" s="134"/>
      <c r="F6" s="134"/>
    </row>
    <row r="7" spans="2:15" s="9" customFormat="1" ht="14.1" customHeight="1">
      <c r="B7" s="135" t="s">
        <v>2</v>
      </c>
      <c r="C7" s="135"/>
      <c r="D7" s="135"/>
      <c r="E7" s="135"/>
      <c r="F7" s="135"/>
    </row>
    <row r="8" spans="2:15" s="9" customFormat="1" ht="14.25">
      <c r="B8" s="135"/>
      <c r="C8" s="135"/>
      <c r="D8" s="135"/>
      <c r="E8" s="135"/>
      <c r="F8" s="135"/>
    </row>
    <row r="9" spans="2:15" s="9" customFormat="1" ht="14.25">
      <c r="B9" s="135"/>
      <c r="C9" s="135"/>
      <c r="D9" s="135"/>
      <c r="E9" s="135"/>
      <c r="F9" s="135"/>
    </row>
    <row r="10" spans="2:15" s="9" customFormat="1" ht="14.25">
      <c r="B10" s="135"/>
      <c r="C10" s="135"/>
      <c r="D10" s="135"/>
      <c r="E10" s="135"/>
      <c r="F10" s="135"/>
    </row>
    <row r="11" spans="2:15" s="9" customFormat="1" ht="14.25">
      <c r="B11" s="135"/>
      <c r="C11" s="135"/>
      <c r="D11" s="135"/>
      <c r="E11" s="135"/>
      <c r="F11" s="135"/>
    </row>
    <row r="12" spans="2:15" s="9" customFormat="1" ht="14.25">
      <c r="B12" s="135"/>
      <c r="C12" s="135"/>
      <c r="D12" s="135"/>
      <c r="E12" s="135"/>
      <c r="F12" s="135"/>
    </row>
    <row r="13" spans="2:15" s="9" customFormat="1" ht="14.25">
      <c r="B13" s="135"/>
      <c r="C13" s="135"/>
      <c r="D13" s="135"/>
      <c r="E13" s="135"/>
      <c r="F13" s="135"/>
    </row>
    <row r="14" spans="2:15" s="9" customFormat="1" ht="14.25">
      <c r="B14" s="135"/>
      <c r="C14" s="135"/>
      <c r="D14" s="135"/>
      <c r="E14" s="135"/>
      <c r="F14" s="135"/>
    </row>
    <row r="15" spans="2:15" s="9" customFormat="1" ht="14.25">
      <c r="B15" s="135"/>
      <c r="C15" s="135"/>
      <c r="D15" s="135"/>
      <c r="E15" s="135"/>
      <c r="F15" s="135"/>
    </row>
    <row r="16" spans="2:15" s="9" customFormat="1" ht="14.25">
      <c r="B16" s="135"/>
      <c r="C16" s="135"/>
      <c r="D16" s="135"/>
      <c r="E16" s="135"/>
      <c r="F16" s="135"/>
    </row>
    <row r="17" spans="2:6" s="9" customFormat="1" ht="14.25">
      <c r="B17" s="135"/>
      <c r="C17" s="135"/>
      <c r="D17" s="135"/>
      <c r="E17" s="135"/>
      <c r="F17" s="135"/>
    </row>
    <row r="18" spans="2:6" s="9" customFormat="1" ht="14.25">
      <c r="B18" s="135"/>
      <c r="C18" s="135"/>
      <c r="D18" s="135"/>
      <c r="E18" s="135"/>
      <c r="F18" s="135"/>
    </row>
    <row r="19" spans="2:6" s="9" customFormat="1" ht="14.25">
      <c r="B19" s="135"/>
      <c r="C19" s="135"/>
      <c r="D19" s="135"/>
      <c r="E19" s="135"/>
      <c r="F19" s="135"/>
    </row>
    <row r="20" spans="2:6" s="9" customFormat="1" ht="14.25">
      <c r="B20" s="135"/>
      <c r="C20" s="135"/>
      <c r="D20" s="135"/>
      <c r="E20" s="135"/>
      <c r="F20" s="135"/>
    </row>
    <row r="21" spans="2:6" s="9" customFormat="1" ht="14.25">
      <c r="B21" s="135"/>
      <c r="C21" s="135"/>
      <c r="D21" s="135"/>
      <c r="E21" s="135"/>
      <c r="F21" s="135"/>
    </row>
    <row r="22" spans="2:6" s="9" customFormat="1" ht="14.25">
      <c r="B22" s="135"/>
      <c r="C22" s="135"/>
      <c r="D22" s="135"/>
      <c r="E22" s="135"/>
      <c r="F22" s="135"/>
    </row>
    <row r="23" spans="2:6" s="2" customFormat="1" ht="13.5"/>
    <row r="24" spans="2:6" s="2" customFormat="1">
      <c r="B24" s="134" t="s">
        <v>3</v>
      </c>
      <c r="C24" s="134"/>
      <c r="D24" s="134"/>
      <c r="E24" s="134"/>
      <c r="F24" s="134"/>
    </row>
    <row r="25" spans="2:6" s="2" customFormat="1" ht="14.1" customHeight="1">
      <c r="B25" s="136" t="s">
        <v>4</v>
      </c>
      <c r="C25" s="136"/>
      <c r="D25" s="136"/>
      <c r="E25" s="136"/>
      <c r="F25" s="136"/>
    </row>
    <row r="26" spans="2:6" s="2" customFormat="1" ht="13.5">
      <c r="B26" s="136"/>
      <c r="C26" s="136"/>
      <c r="D26" s="136"/>
      <c r="E26" s="136"/>
      <c r="F26" s="136"/>
    </row>
    <row r="27" spans="2:6" s="2" customFormat="1" ht="13.5">
      <c r="B27" s="136"/>
      <c r="C27" s="136"/>
      <c r="D27" s="136"/>
      <c r="E27" s="136"/>
      <c r="F27" s="136"/>
    </row>
    <row r="28" spans="2:6" s="2" customFormat="1" ht="13.5">
      <c r="B28" s="136"/>
      <c r="C28" s="136"/>
      <c r="D28" s="136"/>
      <c r="E28" s="136"/>
      <c r="F28" s="136"/>
    </row>
    <row r="29" spans="2:6" s="2" customFormat="1" ht="13.5">
      <c r="B29" s="136"/>
      <c r="C29" s="136"/>
      <c r="D29" s="136"/>
      <c r="E29" s="136"/>
      <c r="F29" s="136"/>
    </row>
    <row r="30" spans="2:6" s="2" customFormat="1" ht="13.5">
      <c r="B30" s="136"/>
      <c r="C30" s="136"/>
      <c r="D30" s="136"/>
      <c r="E30" s="136"/>
      <c r="F30" s="136"/>
    </row>
    <row r="31" spans="2:6" s="2" customFormat="1" ht="13.5">
      <c r="B31" s="136"/>
      <c r="C31" s="136"/>
      <c r="D31" s="136"/>
      <c r="E31" s="136"/>
      <c r="F31" s="136"/>
    </row>
    <row r="32" spans="2:6" s="2" customFormat="1" ht="13.5"/>
    <row r="33" s="2" customFormat="1" ht="13.5"/>
    <row r="34" s="2" customFormat="1" ht="13.5"/>
    <row r="35" s="2" customFormat="1" ht="13.5"/>
    <row r="36" s="2" customFormat="1" ht="13.5"/>
    <row r="37" s="2" customFormat="1" ht="13.5"/>
    <row r="38" s="2" customFormat="1" ht="13.5"/>
    <row r="39" s="2" customFormat="1" ht="13.5"/>
    <row r="40" s="2" customFormat="1" ht="13.5"/>
    <row r="41" s="2" customFormat="1" ht="13.5"/>
    <row r="42" s="2" customFormat="1" ht="13.5"/>
    <row r="43" s="2" customFormat="1" ht="13.5"/>
    <row r="44" s="2" customFormat="1" ht="13.5"/>
    <row r="45" s="2" customFormat="1" ht="13.5"/>
    <row r="46" s="2" customFormat="1" ht="13.5"/>
    <row r="47" s="2" customFormat="1" ht="13.5"/>
    <row r="48" s="2" customFormat="1" ht="13.5"/>
    <row r="49" s="2" customFormat="1" ht="13.5"/>
    <row r="50" s="2" customFormat="1" ht="13.5"/>
    <row r="51" s="2" customFormat="1" ht="13.5"/>
    <row r="52" s="2" customFormat="1" ht="13.5"/>
    <row r="53" s="2" customFormat="1" ht="13.5"/>
    <row r="54" s="2" customFormat="1" ht="13.5"/>
    <row r="55" s="2" customFormat="1" ht="13.5"/>
    <row r="56" s="2" customFormat="1" ht="13.5"/>
    <row r="57" s="2" customFormat="1" ht="13.5"/>
    <row r="58" s="2" customFormat="1" ht="13.5"/>
    <row r="59" s="2" customFormat="1" ht="13.5"/>
    <row r="60" s="2" customFormat="1" ht="13.5"/>
    <row r="61" s="2" customFormat="1" ht="13.5"/>
    <row r="62" s="2" customFormat="1" ht="13.5"/>
    <row r="63" s="2" customFormat="1" ht="13.5"/>
    <row r="64" s="2" customFormat="1" ht="13.5"/>
    <row r="65" s="2" customFormat="1" ht="13.5"/>
    <row r="66" s="2" customFormat="1" ht="13.5"/>
    <row r="67" s="2" customFormat="1" ht="13.5"/>
    <row r="68" s="2" customFormat="1" ht="13.5"/>
    <row r="69" s="2" customFormat="1" ht="13.5"/>
    <row r="70" s="2" customFormat="1" ht="13.5"/>
    <row r="71" s="2" customFormat="1" ht="13.5"/>
    <row r="72" s="2" customFormat="1" ht="13.5"/>
    <row r="73" s="2" customFormat="1" ht="13.5"/>
    <row r="74" s="2" customFormat="1" ht="13.5"/>
    <row r="75" s="2" customFormat="1" ht="13.5"/>
    <row r="76" s="2" customFormat="1" ht="13.5"/>
    <row r="77" s="2" customFormat="1" ht="13.5"/>
    <row r="78" s="2" customFormat="1" ht="13.5"/>
    <row r="79" s="2" customFormat="1" ht="13.5"/>
    <row r="80" s="2" customFormat="1" ht="13.5"/>
    <row r="81" s="2" customFormat="1" ht="13.5"/>
    <row r="82" s="2" customFormat="1" ht="13.5"/>
    <row r="83" s="2" customFormat="1" ht="13.5"/>
    <row r="84" s="2" customFormat="1" ht="13.5"/>
    <row r="85" s="2" customFormat="1" ht="13.5"/>
    <row r="86" s="2" customFormat="1" ht="13.5"/>
    <row r="87" s="2" customFormat="1" ht="13.5"/>
    <row r="88" s="2" customFormat="1" ht="13.5"/>
    <row r="89" s="2" customFormat="1" ht="13.5"/>
    <row r="90" s="2" customFormat="1" ht="13.5"/>
    <row r="91" s="2" customFormat="1" ht="13.5"/>
    <row r="92" s="2" customFormat="1" ht="13.5"/>
    <row r="93" s="2" customFormat="1" ht="13.5"/>
    <row r="94" s="2" customFormat="1" ht="13.5"/>
    <row r="95" s="2" customFormat="1" ht="13.5"/>
    <row r="96" s="2" customFormat="1" ht="13.5"/>
    <row r="97" s="2" customFormat="1" ht="13.5"/>
    <row r="98" s="2" customFormat="1" ht="13.5"/>
    <row r="99" s="2" customFormat="1" ht="13.5"/>
    <row r="100" s="2" customFormat="1" ht="13.5"/>
    <row r="101" s="2" customFormat="1" ht="13.5"/>
    <row r="102" s="2" customFormat="1" ht="13.5"/>
    <row r="103" s="2" customFormat="1" ht="13.5"/>
    <row r="104" s="2" customFormat="1" ht="13.5"/>
    <row r="105" s="2" customFormat="1" ht="13.5"/>
    <row r="106" s="2" customFormat="1" ht="13.5"/>
    <row r="107" s="2" customFormat="1" ht="13.5"/>
    <row r="108" s="2" customFormat="1" ht="13.5"/>
    <row r="109" s="2" customFormat="1" ht="13.5"/>
    <row r="110" s="2" customFormat="1" ht="13.5"/>
    <row r="111" s="2" customFormat="1" ht="13.5"/>
    <row r="112" s="2" customFormat="1" ht="13.5"/>
    <row r="113" s="2" customFormat="1" ht="13.5"/>
    <row r="114" s="2" customFormat="1" ht="13.5"/>
    <row r="115" s="2" customFormat="1" ht="13.5"/>
    <row r="116" s="2" customFormat="1" ht="13.5"/>
    <row r="117" s="2" customFormat="1" ht="13.5"/>
    <row r="118" s="2" customFormat="1" ht="13.5"/>
    <row r="119" s="2" customFormat="1" ht="13.5"/>
    <row r="120" s="2" customFormat="1" ht="13.5"/>
    <row r="121" s="2" customFormat="1" ht="13.5"/>
    <row r="122" s="2" customFormat="1" ht="13.5"/>
    <row r="123" s="2" customFormat="1" ht="13.5"/>
    <row r="124" s="2" customFormat="1" ht="13.5"/>
    <row r="125" s="2" customFormat="1" ht="13.5"/>
    <row r="126" s="2" customFormat="1" ht="13.5"/>
    <row r="127" s="2" customFormat="1" ht="13.5"/>
    <row r="128" s="2" customFormat="1" ht="13.5"/>
    <row r="129" s="2" customFormat="1" ht="13.5"/>
    <row r="130" s="2" customFormat="1" ht="13.5"/>
    <row r="131" s="2" customFormat="1" ht="13.5"/>
    <row r="132" s="2" customFormat="1" ht="13.5"/>
    <row r="133" s="2" customFormat="1" ht="13.5"/>
    <row r="134" s="2" customFormat="1" ht="13.5"/>
    <row r="135" s="2" customFormat="1" ht="13.5"/>
    <row r="136" s="2" customFormat="1" ht="13.5"/>
    <row r="137" s="2" customFormat="1" ht="13.5"/>
    <row r="138" s="2" customFormat="1" ht="13.5"/>
    <row r="139" s="2" customFormat="1" ht="13.5"/>
    <row r="140" s="2" customFormat="1" ht="13.5"/>
    <row r="141" s="2" customFormat="1" ht="13.5"/>
    <row r="142" s="2" customFormat="1" ht="13.5"/>
    <row r="143" s="2" customFormat="1" ht="13.5"/>
    <row r="144" s="2" customFormat="1" ht="13.5"/>
    <row r="145" s="2" customFormat="1" ht="13.5"/>
    <row r="146" s="2" customFormat="1" ht="13.5"/>
    <row r="147" s="2" customFormat="1" ht="13.5"/>
    <row r="148" s="2" customFormat="1" ht="13.5"/>
    <row r="149" s="2" customFormat="1" ht="13.5"/>
    <row r="150" s="2" customFormat="1" ht="13.5"/>
    <row r="151" s="2" customFormat="1" ht="13.5"/>
    <row r="152" s="2" customFormat="1" ht="13.5"/>
    <row r="153" s="2" customFormat="1" ht="13.5"/>
    <row r="154" s="2" customFormat="1" ht="13.5"/>
    <row r="155" s="2" customFormat="1" ht="13.5"/>
    <row r="156" s="2" customFormat="1" ht="13.5"/>
    <row r="157" s="2" customFormat="1" ht="13.5"/>
    <row r="158" s="2" customFormat="1" ht="13.5"/>
    <row r="159" s="2" customFormat="1" ht="13.5"/>
    <row r="160" s="2" customFormat="1" ht="13.5"/>
    <row r="161" s="2" customFormat="1" ht="13.5"/>
    <row r="162" s="2" customFormat="1" ht="13.5"/>
    <row r="163" s="2" customFormat="1" ht="13.5"/>
    <row r="164" s="2" customFormat="1" ht="13.5"/>
    <row r="165" s="2" customFormat="1" ht="13.5"/>
    <row r="166" s="2" customFormat="1" ht="13.5"/>
    <row r="167" s="2" customFormat="1" ht="13.5"/>
    <row r="168" s="2" customFormat="1" ht="13.5"/>
    <row r="169" s="2" customFormat="1" ht="13.5"/>
    <row r="170" s="2" customFormat="1" ht="13.5"/>
    <row r="171" s="2" customFormat="1" ht="13.5"/>
    <row r="172" s="2" customFormat="1" ht="13.5"/>
    <row r="173" s="2" customFormat="1" ht="13.5"/>
    <row r="174" s="2" customFormat="1" ht="13.5"/>
    <row r="175" s="2" customFormat="1" ht="13.5"/>
    <row r="176" s="2" customFormat="1" ht="13.5"/>
    <row r="177" s="2" customFormat="1" ht="13.5"/>
    <row r="178" s="2" customFormat="1" ht="13.5"/>
    <row r="179" s="2" customFormat="1" ht="13.5"/>
    <row r="180" s="2" customFormat="1" ht="13.5"/>
    <row r="181" s="2" customFormat="1" ht="13.5"/>
    <row r="182" s="2" customFormat="1" ht="13.5"/>
    <row r="183" s="2" customFormat="1" ht="13.5"/>
    <row r="184" s="2" customFormat="1" ht="13.5"/>
    <row r="185" s="2" customFormat="1" ht="13.5"/>
    <row r="186" s="2" customFormat="1" ht="13.5"/>
    <row r="187" s="2" customFormat="1" ht="13.5"/>
    <row r="188" s="2" customFormat="1" ht="13.5"/>
    <row r="189" s="2" customFormat="1" ht="13.5"/>
    <row r="190" s="2" customFormat="1" ht="13.5"/>
    <row r="191" s="2" customFormat="1" ht="13.5"/>
    <row r="192" s="2" customFormat="1" ht="13.5"/>
    <row r="193" s="2" customFormat="1" ht="13.5"/>
    <row r="194" s="2" customFormat="1" ht="13.5"/>
    <row r="195" s="2" customFormat="1" ht="13.5"/>
    <row r="196" s="2" customFormat="1" ht="13.5"/>
    <row r="197" s="2" customFormat="1" ht="13.5"/>
    <row r="198" s="2" customFormat="1" ht="13.5"/>
    <row r="199" s="2" customFormat="1" ht="13.5"/>
    <row r="200" s="2" customFormat="1" ht="13.5"/>
    <row r="201" s="2" customFormat="1" ht="13.5"/>
    <row r="202" s="2" customFormat="1" ht="13.5"/>
    <row r="203" s="2" customFormat="1" ht="13.5"/>
    <row r="204" s="2" customFormat="1" ht="13.5"/>
    <row r="205" s="2" customFormat="1" ht="13.5"/>
    <row r="206" s="2" customFormat="1" ht="13.5"/>
    <row r="207" s="2" customFormat="1" ht="13.5"/>
    <row r="208" s="2" customFormat="1" ht="13.5"/>
    <row r="209" s="2" customFormat="1" ht="13.5"/>
    <row r="210" s="2" customFormat="1" ht="13.5"/>
    <row r="211" s="2" customFormat="1" ht="13.5"/>
    <row r="212" s="2" customFormat="1" ht="13.5"/>
    <row r="213" s="2" customFormat="1" ht="13.5"/>
    <row r="214" s="2" customFormat="1" ht="13.5"/>
    <row r="215" s="2" customFormat="1" ht="13.5"/>
    <row r="216" s="2" customFormat="1" ht="13.5"/>
    <row r="217" s="2" customFormat="1" ht="13.5"/>
    <row r="218" s="2" customFormat="1" ht="13.5"/>
    <row r="219" s="2" customFormat="1" ht="13.5"/>
    <row r="220" s="2" customFormat="1" ht="13.5"/>
    <row r="221" s="2" customFormat="1" ht="13.5"/>
    <row r="222" s="2" customFormat="1" ht="13.5"/>
    <row r="223" s="2" customFormat="1" ht="13.5"/>
    <row r="224" s="2" customFormat="1" ht="13.5"/>
    <row r="225" s="2" customFormat="1" ht="13.5"/>
    <row r="226" s="2" customFormat="1" ht="13.5"/>
    <row r="227" s="2" customFormat="1" ht="13.5"/>
    <row r="228" s="2" customFormat="1" ht="13.5"/>
    <row r="229" s="2" customFormat="1" ht="13.5"/>
    <row r="230" s="2" customFormat="1" ht="13.5"/>
    <row r="231" s="2" customFormat="1" ht="13.5"/>
    <row r="232" s="2" customFormat="1" ht="13.5"/>
    <row r="233" s="2" customFormat="1" ht="13.5"/>
    <row r="234" s="2" customFormat="1" ht="13.5"/>
    <row r="235" s="2" customFormat="1" ht="13.5"/>
    <row r="236" s="2" customFormat="1" ht="13.5"/>
    <row r="237" s="2" customFormat="1" ht="13.5"/>
    <row r="238" s="2" customFormat="1" ht="13.5"/>
    <row r="239" s="2" customFormat="1" ht="13.5"/>
    <row r="240" s="2" customFormat="1" ht="13.5"/>
    <row r="241" s="2" customFormat="1" ht="13.5"/>
    <row r="242" s="2" customFormat="1" ht="13.5"/>
    <row r="243" s="2" customFormat="1" ht="13.5"/>
    <row r="244" s="2" customFormat="1" ht="13.5"/>
    <row r="245" s="2" customFormat="1" ht="13.5"/>
    <row r="246" s="2" customFormat="1" ht="13.5"/>
    <row r="247" s="2" customFormat="1" ht="13.5"/>
    <row r="248" s="2" customFormat="1" ht="13.5"/>
    <row r="249" s="2" customFormat="1" ht="13.5"/>
    <row r="250" s="2" customFormat="1" ht="13.5"/>
    <row r="251" s="2" customFormat="1" ht="13.5"/>
    <row r="252" s="2" customFormat="1" ht="13.5"/>
    <row r="253" s="2" customFormat="1" ht="13.5"/>
    <row r="254" s="2" customFormat="1" ht="13.5"/>
    <row r="255" s="2" customFormat="1" ht="13.5"/>
    <row r="256" s="2" customFormat="1" ht="13.5"/>
    <row r="257" s="2" customFormat="1" ht="13.5"/>
    <row r="258" s="2" customFormat="1" ht="13.5"/>
    <row r="259" s="2" customFormat="1" ht="13.5"/>
    <row r="260" s="2" customFormat="1" ht="13.5"/>
    <row r="261" s="2" customFormat="1" ht="13.5"/>
    <row r="262" s="2" customFormat="1" ht="13.5"/>
    <row r="263" s="2" customFormat="1" ht="13.5"/>
    <row r="264" s="2" customFormat="1" ht="13.5"/>
    <row r="265" s="2" customFormat="1" ht="13.5"/>
    <row r="266" s="2" customFormat="1" ht="13.5"/>
    <row r="267" s="2" customFormat="1" ht="13.5"/>
    <row r="268" s="2" customFormat="1" ht="13.5"/>
    <row r="269" s="2" customFormat="1" ht="13.5"/>
    <row r="270" s="2" customFormat="1" ht="13.5"/>
    <row r="271" s="2" customFormat="1" ht="13.5"/>
    <row r="272" s="2" customFormat="1" ht="13.5"/>
    <row r="273" s="2" customFormat="1" ht="13.5"/>
    <row r="274" s="2" customFormat="1" ht="13.5"/>
    <row r="275" s="2" customFormat="1" ht="13.5"/>
    <row r="276" s="2" customFormat="1" ht="13.5"/>
    <row r="277" s="2" customFormat="1" ht="13.5"/>
    <row r="278" s="2" customFormat="1" ht="13.5"/>
    <row r="279" s="2" customFormat="1" ht="13.5"/>
    <row r="280" s="2" customFormat="1" ht="13.5"/>
    <row r="281" s="2" customFormat="1" ht="13.5"/>
    <row r="282" s="2" customFormat="1" ht="13.5"/>
    <row r="283" s="2" customFormat="1" ht="13.5"/>
    <row r="284" s="2" customFormat="1" ht="13.5"/>
    <row r="285" s="2" customFormat="1" ht="13.5"/>
    <row r="286" s="2" customFormat="1" ht="13.5"/>
    <row r="287" s="2" customFormat="1" ht="13.5"/>
    <row r="288" s="2" customFormat="1" ht="13.5"/>
    <row r="289" s="2" customFormat="1" ht="13.5"/>
    <row r="290" s="2" customFormat="1" ht="13.5"/>
    <row r="291" s="2" customFormat="1" ht="13.5"/>
    <row r="292" s="2" customFormat="1" ht="13.5"/>
    <row r="293" s="2" customFormat="1" ht="13.5"/>
    <row r="294" s="2" customFormat="1" ht="13.5"/>
    <row r="295" s="2" customFormat="1" ht="13.5"/>
    <row r="296" s="2" customFormat="1" ht="13.5"/>
    <row r="297" s="2" customFormat="1" ht="13.5"/>
    <row r="298" s="2" customFormat="1" ht="13.5"/>
    <row r="299" s="2" customFormat="1" ht="13.5"/>
    <row r="300" s="2" customFormat="1" ht="13.5"/>
    <row r="301" s="2" customFormat="1" ht="13.5"/>
    <row r="302" s="2" customFormat="1" ht="13.5"/>
    <row r="303" s="2" customFormat="1" ht="13.5"/>
    <row r="304" s="2" customFormat="1" ht="13.5"/>
    <row r="305" s="2" customFormat="1" ht="13.5"/>
    <row r="306" s="2" customFormat="1" ht="13.5"/>
    <row r="307" s="2" customFormat="1" ht="13.5"/>
    <row r="308" s="2" customFormat="1" ht="13.5"/>
    <row r="309" s="2" customFormat="1" ht="13.5"/>
    <row r="310" s="2" customFormat="1" ht="13.5"/>
    <row r="311" s="2" customFormat="1" ht="13.5"/>
    <row r="312" s="2" customFormat="1" ht="13.5"/>
    <row r="313" s="2" customFormat="1" ht="13.5"/>
    <row r="314" s="2" customFormat="1" ht="13.5"/>
    <row r="315" s="2" customFormat="1" ht="13.5"/>
    <row r="316" s="2" customFormat="1" ht="13.5"/>
    <row r="317" s="2" customFormat="1" ht="13.5"/>
    <row r="318" s="2" customFormat="1" ht="13.5"/>
    <row r="319" s="2" customFormat="1" ht="13.5"/>
    <row r="320" s="2" customFormat="1" ht="13.5"/>
    <row r="321" s="2" customFormat="1" ht="13.5"/>
    <row r="322" s="2" customFormat="1" ht="13.5"/>
    <row r="323" s="2" customFormat="1" ht="13.5"/>
    <row r="324" s="2" customFormat="1" ht="13.5"/>
    <row r="325" s="2" customFormat="1" ht="13.5"/>
    <row r="326" s="2" customFormat="1" ht="13.5"/>
    <row r="327" s="2" customFormat="1" ht="13.5"/>
    <row r="328" s="2" customFormat="1" ht="13.5"/>
    <row r="329" s="2" customFormat="1" ht="13.5"/>
    <row r="330" s="2" customFormat="1" ht="13.5"/>
    <row r="331" s="2" customFormat="1" ht="13.5"/>
    <row r="332" s="2" customFormat="1" ht="13.5"/>
    <row r="333" s="2" customFormat="1" ht="13.5"/>
    <row r="334" s="2" customFormat="1" ht="13.5"/>
    <row r="335" s="2" customFormat="1" ht="13.5"/>
    <row r="336" s="2" customFormat="1" ht="13.5"/>
    <row r="337" s="2" customFormat="1" ht="13.5"/>
    <row r="338" s="2" customFormat="1" ht="13.5"/>
    <row r="339" s="2" customFormat="1" ht="13.5"/>
    <row r="340" s="2" customFormat="1" ht="13.5"/>
    <row r="341" s="2" customFormat="1" ht="13.5"/>
    <row r="342" s="2" customFormat="1" ht="13.5"/>
    <row r="343" s="2" customFormat="1" ht="13.5"/>
    <row r="344" s="2" customFormat="1" ht="13.5"/>
    <row r="345" s="2" customFormat="1" ht="13.5"/>
    <row r="346" s="2" customFormat="1" ht="13.5"/>
    <row r="347" s="2" customFormat="1" ht="13.5"/>
    <row r="348" s="2" customFormat="1" ht="13.5"/>
    <row r="349" s="2" customFormat="1" ht="13.5"/>
    <row r="350" s="2" customFormat="1" ht="13.5"/>
    <row r="351" s="2" customFormat="1" ht="13.5"/>
    <row r="352" s="2" customFormat="1" ht="13.5"/>
    <row r="353" s="2" customFormat="1" ht="13.5"/>
    <row r="354" s="2" customFormat="1" ht="13.5"/>
    <row r="355" s="2" customFormat="1" ht="13.5"/>
    <row r="356" s="2" customFormat="1" ht="13.5"/>
    <row r="357" s="2" customFormat="1" ht="13.5"/>
    <row r="358" s="2" customFormat="1" ht="13.5"/>
    <row r="359" s="2" customFormat="1" ht="13.5"/>
    <row r="360" s="2" customFormat="1" ht="13.5"/>
    <row r="361" s="2" customFormat="1" ht="13.5"/>
    <row r="362" s="2" customFormat="1" ht="13.5"/>
    <row r="363" s="2" customFormat="1" ht="13.5"/>
    <row r="364" s="2" customFormat="1" ht="13.5"/>
    <row r="365" s="2" customFormat="1" ht="13.5"/>
    <row r="366" s="2" customFormat="1" ht="13.5"/>
    <row r="367" s="2" customFormat="1" ht="13.5"/>
    <row r="368" s="2" customFormat="1" ht="13.5"/>
    <row r="369" s="2" customFormat="1" ht="13.5"/>
    <row r="370" s="2" customFormat="1" ht="13.5"/>
    <row r="371" s="2" customFormat="1" ht="13.5"/>
    <row r="372" s="2" customFormat="1" ht="13.5"/>
    <row r="373" s="2" customFormat="1" ht="13.5"/>
    <row r="374" s="2" customFormat="1" ht="13.5"/>
    <row r="375" s="2" customFormat="1" ht="13.5"/>
    <row r="376" s="2" customFormat="1" ht="13.5"/>
    <row r="377" s="2" customFormat="1" ht="13.5"/>
    <row r="378" s="2" customFormat="1" ht="13.5"/>
    <row r="379" s="2" customFormat="1" ht="13.5"/>
    <row r="380" s="2" customFormat="1" ht="13.5"/>
    <row r="381" s="2" customFormat="1" ht="13.5"/>
    <row r="382" s="2" customFormat="1" ht="13.5"/>
    <row r="383" s="2" customFormat="1" ht="13.5"/>
    <row r="384" s="2" customFormat="1" ht="13.5"/>
    <row r="385" s="2" customFormat="1" ht="13.5"/>
    <row r="386" s="2" customFormat="1" ht="13.5"/>
    <row r="387" s="2" customFormat="1" ht="13.5"/>
    <row r="388" s="2" customFormat="1" ht="13.5"/>
    <row r="389" s="2" customFormat="1" ht="13.5"/>
    <row r="390" s="2" customFormat="1" ht="13.5"/>
    <row r="391" s="2" customFormat="1" ht="13.5"/>
    <row r="392" s="2" customFormat="1" ht="13.5"/>
    <row r="393" s="2" customFormat="1" ht="13.5"/>
    <row r="394" s="2" customFormat="1" ht="13.5"/>
    <row r="395" s="2" customFormat="1" ht="13.5"/>
    <row r="396" s="2" customFormat="1" ht="13.5"/>
    <row r="397" s="2" customFormat="1" ht="13.5"/>
    <row r="398" s="2" customFormat="1" ht="13.5"/>
    <row r="399" s="2" customFormat="1" ht="13.5"/>
    <row r="400" s="2" customFormat="1" ht="13.5"/>
    <row r="401" s="2" customFormat="1" ht="13.5"/>
    <row r="402" s="2" customFormat="1" ht="13.5"/>
    <row r="403" s="2" customFormat="1" ht="13.5"/>
    <row r="404" s="2" customFormat="1" ht="13.5"/>
    <row r="405" s="2" customFormat="1" ht="13.5"/>
    <row r="406" s="2" customFormat="1" ht="13.5"/>
    <row r="407" s="2" customFormat="1" ht="13.5"/>
    <row r="408" s="2" customFormat="1" ht="13.5"/>
    <row r="409" s="2" customFormat="1" ht="13.5"/>
    <row r="410" s="2" customFormat="1" ht="13.5"/>
    <row r="411" s="2" customFormat="1" ht="13.5"/>
    <row r="412" s="2" customFormat="1" ht="13.5"/>
    <row r="413" s="2" customFormat="1" ht="13.5"/>
    <row r="414" s="2" customFormat="1" ht="13.5"/>
    <row r="415" s="2" customFormat="1" ht="13.5"/>
    <row r="416" s="2" customFormat="1" ht="13.5"/>
    <row r="417" s="2" customFormat="1" ht="13.5"/>
    <row r="418" s="2" customFormat="1" ht="13.5"/>
    <row r="419" s="2" customFormat="1" ht="13.5"/>
    <row r="420" s="2" customFormat="1" ht="13.5"/>
    <row r="421" s="2" customFormat="1" ht="13.5"/>
    <row r="422" s="2" customFormat="1" ht="13.5"/>
    <row r="423" s="2" customFormat="1" ht="13.5"/>
    <row r="424" s="2" customFormat="1" ht="13.5"/>
    <row r="425" s="2" customFormat="1" ht="13.5"/>
    <row r="426" s="2" customFormat="1" ht="13.5"/>
    <row r="427" s="2" customFormat="1" ht="13.5"/>
    <row r="428" s="2" customFormat="1" ht="13.5"/>
    <row r="429" s="2" customFormat="1" ht="13.5"/>
    <row r="430" s="2" customFormat="1" ht="13.5"/>
    <row r="431" s="2" customFormat="1" ht="13.5"/>
    <row r="432" s="2" customFormat="1" ht="13.5"/>
    <row r="433" s="2" customFormat="1" ht="13.5"/>
    <row r="434" s="2" customFormat="1" ht="13.5"/>
    <row r="435" s="2" customFormat="1" ht="13.5"/>
    <row r="436" s="2" customFormat="1" ht="13.5"/>
    <row r="437" s="2" customFormat="1" ht="13.5"/>
    <row r="438" s="2" customFormat="1" ht="13.5"/>
    <row r="439" s="2" customFormat="1" ht="13.5"/>
    <row r="440" s="2" customFormat="1" ht="13.5"/>
    <row r="441" s="2" customFormat="1" ht="13.5"/>
    <row r="442" s="2" customFormat="1" ht="13.5"/>
    <row r="443" s="2" customFormat="1" ht="13.5"/>
    <row r="444" s="2" customFormat="1" ht="13.5"/>
    <row r="445" s="2" customFormat="1" ht="13.5"/>
    <row r="446" s="2" customFormat="1" ht="13.5"/>
    <row r="447" s="2" customFormat="1" ht="13.5"/>
    <row r="448" s="2" customFormat="1" ht="13.5"/>
    <row r="449" s="2" customFormat="1" ht="13.5"/>
    <row r="450" s="2" customFormat="1" ht="13.5"/>
    <row r="451" s="2" customFormat="1" ht="13.5"/>
    <row r="452" s="2" customFormat="1" ht="13.5"/>
    <row r="453" s="2" customFormat="1" ht="13.5"/>
    <row r="454" s="2" customFormat="1" ht="13.5"/>
    <row r="455" s="2" customFormat="1" ht="13.5"/>
    <row r="456" s="2" customFormat="1" ht="13.5"/>
    <row r="457" s="2" customFormat="1" ht="13.5"/>
    <row r="458" s="2" customFormat="1" ht="13.5"/>
    <row r="459" s="2" customFormat="1" ht="13.5"/>
    <row r="460" s="2" customFormat="1" ht="13.5"/>
    <row r="461" s="2" customFormat="1" ht="13.5"/>
    <row r="462" s="2" customFormat="1" ht="13.5"/>
    <row r="463" s="2" customFormat="1" ht="13.5"/>
    <row r="464" s="2" customFormat="1" ht="13.5"/>
    <row r="465" s="2" customFormat="1" ht="13.5"/>
    <row r="466" s="2" customFormat="1" ht="13.5"/>
    <row r="467" s="2" customFormat="1" ht="13.5"/>
    <row r="468" s="2" customFormat="1" ht="13.5"/>
    <row r="469" s="2" customFormat="1" ht="13.5"/>
    <row r="470" s="2" customFormat="1" ht="13.5"/>
    <row r="471" s="2" customFormat="1" ht="13.5"/>
    <row r="472" s="2" customFormat="1" ht="13.5"/>
    <row r="473" s="2" customFormat="1" ht="13.5"/>
    <row r="474" s="2" customFormat="1" ht="13.5"/>
    <row r="475" s="2" customFormat="1" ht="13.5"/>
    <row r="476" s="2" customFormat="1" ht="13.5"/>
    <row r="477" s="2" customFormat="1" ht="13.5"/>
    <row r="478" s="2" customFormat="1" ht="13.5"/>
    <row r="479" s="2" customFormat="1" ht="13.5"/>
    <row r="480" s="2" customFormat="1" ht="13.5"/>
    <row r="481" s="2" customFormat="1" ht="13.5"/>
    <row r="482" s="2" customFormat="1" ht="13.5"/>
    <row r="483" s="2" customFormat="1" ht="13.5"/>
    <row r="484" s="2" customFormat="1" ht="13.5"/>
    <row r="485" s="2" customFormat="1" ht="13.5"/>
    <row r="486" s="2" customFormat="1" ht="13.5"/>
    <row r="487" s="2" customFormat="1" ht="13.5"/>
    <row r="488" s="2" customFormat="1" ht="13.5"/>
    <row r="489" s="2" customFormat="1" ht="13.5"/>
    <row r="490" s="2" customFormat="1" ht="13.5"/>
    <row r="491" s="2" customFormat="1" ht="13.5"/>
    <row r="492" s="2" customFormat="1" ht="13.5"/>
    <row r="493" s="2" customFormat="1" ht="13.5"/>
    <row r="494" s="2" customFormat="1" ht="13.5"/>
    <row r="495" s="2" customFormat="1" ht="13.5"/>
    <row r="496" s="2" customFormat="1" ht="13.5"/>
    <row r="497" s="2" customFormat="1" ht="13.5"/>
    <row r="498" s="2" customFormat="1" ht="13.5"/>
    <row r="499" s="2" customFormat="1" ht="13.5"/>
    <row r="500" s="2" customFormat="1" ht="13.5"/>
    <row r="501" s="2" customFormat="1" ht="13.5"/>
    <row r="502" s="2" customFormat="1" ht="13.5"/>
    <row r="503" s="2" customFormat="1" ht="13.5"/>
    <row r="504" s="2" customFormat="1" ht="13.5"/>
    <row r="505" s="2" customFormat="1" ht="13.5"/>
    <row r="506" s="2" customFormat="1" ht="13.5"/>
    <row r="507" s="2" customFormat="1" ht="13.5"/>
    <row r="508" s="2" customFormat="1" ht="13.5"/>
    <row r="509" s="2" customFormat="1" ht="13.5"/>
    <row r="510" s="2" customFormat="1" ht="13.5"/>
    <row r="511" s="2" customFormat="1" ht="13.5"/>
    <row r="512" s="2" customFormat="1" ht="13.5"/>
    <row r="513" s="2" customFormat="1" ht="13.5"/>
    <row r="514" s="2" customFormat="1" ht="13.5"/>
    <row r="515" s="2" customFormat="1" ht="13.5"/>
    <row r="516" s="2" customFormat="1" ht="13.5"/>
    <row r="517" s="2" customFormat="1" ht="13.5"/>
    <row r="518" s="2" customFormat="1" ht="13.5"/>
    <row r="519" s="2" customFormat="1" ht="13.5"/>
    <row r="520" s="2" customFormat="1" ht="13.5"/>
    <row r="521" s="2" customFormat="1" ht="13.5"/>
    <row r="522" s="2" customFormat="1" ht="13.5"/>
    <row r="523" s="2" customFormat="1" ht="13.5"/>
    <row r="524" s="2" customFormat="1" ht="13.5"/>
    <row r="525" s="2" customFormat="1" ht="13.5"/>
    <row r="526" s="2" customFormat="1" ht="13.5"/>
    <row r="527" s="2" customFormat="1" ht="13.5"/>
    <row r="528" s="2" customFormat="1" ht="13.5"/>
    <row r="529" s="2" customFormat="1" ht="13.5"/>
    <row r="530" s="2" customFormat="1" ht="13.5"/>
    <row r="531" s="2" customFormat="1" ht="13.5"/>
    <row r="532" s="2" customFormat="1" ht="13.5"/>
    <row r="533" s="2" customFormat="1" ht="13.5"/>
    <row r="534" s="2" customFormat="1" ht="13.5"/>
    <row r="535" s="2" customFormat="1" ht="13.5"/>
    <row r="536" s="2" customFormat="1" ht="13.5"/>
    <row r="537" s="2" customFormat="1" ht="13.5"/>
    <row r="538" s="2" customFormat="1" ht="13.5"/>
    <row r="539" s="2" customFormat="1" ht="13.5"/>
    <row r="540" s="2" customFormat="1" ht="13.5"/>
    <row r="541" s="2" customFormat="1" ht="13.5"/>
    <row r="542" s="2" customFormat="1" ht="13.5"/>
    <row r="543" s="2" customFormat="1" ht="13.5"/>
    <row r="544" s="2" customFormat="1" ht="13.5"/>
    <row r="545" s="2" customFormat="1" ht="13.5"/>
    <row r="546" s="2" customFormat="1" ht="13.5"/>
    <row r="547" s="2" customFormat="1" ht="13.5"/>
    <row r="548" s="2" customFormat="1" ht="13.5"/>
    <row r="549" s="2" customFormat="1" ht="13.5"/>
    <row r="550" s="2" customFormat="1" ht="13.5"/>
    <row r="551" s="2" customFormat="1" ht="13.5"/>
    <row r="552" s="2" customFormat="1" ht="13.5"/>
    <row r="553" s="2" customFormat="1" ht="13.5"/>
    <row r="554" s="2" customFormat="1" ht="13.5"/>
    <row r="555" s="2" customFormat="1" ht="13.5"/>
    <row r="556" s="2" customFormat="1" ht="13.5"/>
    <row r="557" s="2" customFormat="1" ht="13.5"/>
    <row r="558" s="2" customFormat="1" ht="13.5"/>
    <row r="559" s="2" customFormat="1" ht="13.5"/>
    <row r="560" s="2" customFormat="1" ht="13.5"/>
    <row r="561" s="2" customFormat="1" ht="13.5"/>
    <row r="562" s="2" customFormat="1" ht="13.5"/>
    <row r="563" s="2" customFormat="1" ht="13.5"/>
    <row r="564" s="2" customFormat="1" ht="13.5"/>
    <row r="565" s="2" customFormat="1" ht="13.5"/>
    <row r="566" s="2" customFormat="1" ht="13.5"/>
    <row r="567" s="2" customFormat="1" ht="13.5"/>
    <row r="568" s="2" customFormat="1" ht="13.5"/>
    <row r="569" s="2" customFormat="1" ht="13.5"/>
    <row r="570" s="2" customFormat="1" ht="13.5"/>
    <row r="571" s="2" customFormat="1" ht="13.5"/>
  </sheetData>
  <sheetProtection sheet="1" objects="1" scenarios="1"/>
  <mergeCells count="5">
    <mergeCell ref="B3:D3"/>
    <mergeCell ref="B6:F6"/>
    <mergeCell ref="B7:F22"/>
    <mergeCell ref="B24:F24"/>
    <mergeCell ref="B25:F31"/>
  </mergeCells>
  <pageMargins left="0.7" right="0.7" top="0.75" bottom="0.75" header="0.51180555555555496" footer="0.51180555555555496"/>
  <pageSetup paperSize="9" firstPageNumber="0" orientation="portrait" horizontalDpi="300" verticalDpi="300" r:id="rId1"/>
  <headerFooter>
    <oddHeader>&amp;L&amp;"Calibri"&amp;10&amp;K737373Dell Customer Communication - Confidential&amp;1#</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72"/>
  <sheetViews>
    <sheetView showGridLines="0" zoomScale="135" zoomScaleNormal="135" workbookViewId="0">
      <pane ySplit="3" topLeftCell="A4" activePane="bottomLeft" state="frozen"/>
      <selection pane="bottomLeft" activeCell="C24" sqref="C24"/>
    </sheetView>
  </sheetViews>
  <sheetFormatPr defaultColWidth="8.85546875" defaultRowHeight="15"/>
  <cols>
    <col min="1" max="1" width="1.140625" style="10" customWidth="1"/>
    <col min="2" max="3" width="28.85546875" style="10" customWidth="1"/>
    <col min="4" max="4" width="130.85546875" style="11" customWidth="1"/>
    <col min="5" max="5" width="12.85546875" style="11" customWidth="1"/>
    <col min="6" max="6" width="12.85546875" style="10" customWidth="1"/>
    <col min="7" max="1024" width="8.85546875" style="10"/>
  </cols>
  <sheetData>
    <row r="1" spans="2:7" ht="48" customHeight="1">
      <c r="B1" s="12"/>
      <c r="C1" s="12"/>
      <c r="D1" s="11" t="s">
        <v>5</v>
      </c>
    </row>
    <row r="2" spans="2:7" ht="2.1" customHeight="1"/>
    <row r="3" spans="2:7" s="13" customFormat="1" ht="69.95" customHeight="1">
      <c r="B3" s="137" t="s">
        <v>6</v>
      </c>
      <c r="C3" s="137"/>
      <c r="D3" s="137"/>
      <c r="E3" s="14"/>
      <c r="F3" s="15"/>
      <c r="G3" s="15"/>
    </row>
    <row r="4" spans="2:7" s="13" customFormat="1" ht="3.95" customHeight="1">
      <c r="B4" s="16"/>
      <c r="C4" s="17"/>
      <c r="E4" s="10"/>
      <c r="F4" s="10"/>
    </row>
    <row r="5" spans="2:7" s="18" customFormat="1" ht="19.5">
      <c r="B5" s="19" t="s">
        <v>7</v>
      </c>
      <c r="C5" s="20"/>
      <c r="D5" s="21"/>
    </row>
    <row r="6" spans="2:7" s="18" customFormat="1" ht="15.95" customHeight="1">
      <c r="B6" s="22" t="s">
        <v>8</v>
      </c>
      <c r="C6" s="23" t="s">
        <v>9</v>
      </c>
      <c r="D6" s="24" t="s">
        <v>10</v>
      </c>
    </row>
    <row r="7" spans="2:7" s="18" customFormat="1" ht="29.1" customHeight="1">
      <c r="B7" s="138" t="s">
        <v>11</v>
      </c>
      <c r="C7" s="138"/>
      <c r="D7" s="138"/>
    </row>
    <row r="8" spans="2:7" s="18" customFormat="1" ht="24.95" customHeight="1">
      <c r="B8" s="25" t="s">
        <v>12</v>
      </c>
      <c r="C8" s="26" t="s">
        <v>355</v>
      </c>
      <c r="D8" s="27" t="s">
        <v>13</v>
      </c>
    </row>
    <row r="9" spans="2:7" s="18" customFormat="1" ht="24.95" customHeight="1">
      <c r="B9" s="25" t="s">
        <v>14</v>
      </c>
      <c r="C9" s="26" t="s">
        <v>356</v>
      </c>
      <c r="D9" s="27" t="s">
        <v>15</v>
      </c>
    </row>
    <row r="10" spans="2:7" s="18" customFormat="1" ht="24.95" customHeight="1">
      <c r="B10" s="25" t="s">
        <v>12</v>
      </c>
      <c r="C10" s="26" t="s">
        <v>355</v>
      </c>
      <c r="D10" s="27" t="s">
        <v>16</v>
      </c>
    </row>
    <row r="11" spans="2:7" s="18" customFormat="1" ht="24.95" customHeight="1">
      <c r="B11" s="25" t="s">
        <v>17</v>
      </c>
      <c r="C11" s="26" t="s">
        <v>355</v>
      </c>
      <c r="D11" s="27" t="s">
        <v>18</v>
      </c>
    </row>
    <row r="12" spans="2:7" s="18" customFormat="1" ht="24.95" customHeight="1">
      <c r="B12" s="25" t="s">
        <v>12</v>
      </c>
      <c r="C12" s="26" t="s">
        <v>355</v>
      </c>
      <c r="D12" s="27" t="s">
        <v>19</v>
      </c>
    </row>
    <row r="13" spans="2:7" s="18" customFormat="1" ht="15.95" customHeight="1">
      <c r="B13" s="138" t="s">
        <v>20</v>
      </c>
      <c r="C13" s="138"/>
      <c r="D13" s="138"/>
      <c r="E13" s="28"/>
    </row>
    <row r="14" spans="2:7" s="18" customFormat="1" ht="24.95" customHeight="1">
      <c r="B14" s="25" t="s">
        <v>12</v>
      </c>
      <c r="C14" s="26" t="s">
        <v>358</v>
      </c>
      <c r="D14" s="27" t="s">
        <v>21</v>
      </c>
    </row>
    <row r="15" spans="2:7" s="18" customFormat="1" ht="24.95" customHeight="1">
      <c r="B15" s="25" t="s">
        <v>22</v>
      </c>
      <c r="C15" s="26" t="s">
        <v>358</v>
      </c>
      <c r="D15" s="27" t="s">
        <v>23</v>
      </c>
    </row>
    <row r="16" spans="2:7" s="18" customFormat="1" ht="24.95" customHeight="1">
      <c r="B16" s="25" t="s">
        <v>24</v>
      </c>
      <c r="C16" s="26" t="s">
        <v>358</v>
      </c>
      <c r="D16" s="27" t="s">
        <v>25</v>
      </c>
    </row>
    <row r="17" spans="2:5" s="29" customFormat="1" ht="15.95" customHeight="1">
      <c r="B17" s="138" t="s">
        <v>26</v>
      </c>
      <c r="C17" s="138"/>
      <c r="D17" s="138"/>
      <c r="E17" s="30"/>
    </row>
    <row r="18" spans="2:5" s="18" customFormat="1" ht="24.95" customHeight="1">
      <c r="B18" s="25" t="s">
        <v>12</v>
      </c>
      <c r="C18" s="129" t="s">
        <v>355</v>
      </c>
      <c r="D18" s="27" t="s">
        <v>27</v>
      </c>
    </row>
    <row r="19" spans="2:5" s="18" customFormat="1" ht="24.95" customHeight="1">
      <c r="B19" s="25" t="s">
        <v>28</v>
      </c>
      <c r="C19" s="129" t="s">
        <v>355</v>
      </c>
      <c r="D19" s="27" t="s">
        <v>29</v>
      </c>
    </row>
    <row r="20" spans="2:5" s="18" customFormat="1" ht="24.95" customHeight="1">
      <c r="B20" s="31" t="s">
        <v>30</v>
      </c>
      <c r="C20" s="130" t="s">
        <v>357</v>
      </c>
      <c r="D20" s="32" t="s">
        <v>31</v>
      </c>
    </row>
    <row r="21" spans="2:5" s="29" customFormat="1" ht="13.5">
      <c r="D21" s="30"/>
      <c r="E21" s="30"/>
    </row>
    <row r="22" spans="2:5" s="29" customFormat="1" ht="13.5">
      <c r="D22" s="30"/>
      <c r="E22" s="30"/>
    </row>
    <row r="23" spans="2:5" s="29" customFormat="1" ht="13.5">
      <c r="D23" s="30"/>
      <c r="E23" s="30"/>
    </row>
    <row r="24" spans="2:5" s="29" customFormat="1" ht="13.5">
      <c r="D24" s="30"/>
      <c r="E24" s="30"/>
    </row>
    <row r="25" spans="2:5" s="29" customFormat="1" ht="13.5">
      <c r="D25" s="30"/>
      <c r="E25" s="30"/>
    </row>
    <row r="26" spans="2:5" s="29" customFormat="1" ht="13.5">
      <c r="D26" s="30"/>
      <c r="E26" s="30"/>
    </row>
    <row r="27" spans="2:5" s="29" customFormat="1" ht="13.5">
      <c r="D27" s="30"/>
      <c r="E27" s="30"/>
    </row>
    <row r="28" spans="2:5" s="29" customFormat="1" ht="13.5">
      <c r="D28" s="30"/>
      <c r="E28" s="30"/>
    </row>
    <row r="29" spans="2:5" s="29" customFormat="1" ht="13.5">
      <c r="D29" s="30"/>
      <c r="E29" s="30"/>
    </row>
    <row r="30" spans="2:5" s="29" customFormat="1" ht="13.5">
      <c r="D30" s="30"/>
      <c r="E30" s="30"/>
    </row>
    <row r="31" spans="2:5" s="29" customFormat="1" ht="13.5">
      <c r="D31" s="30"/>
      <c r="E31" s="30"/>
    </row>
    <row r="32" spans="2:5" s="29" customFormat="1" ht="13.5">
      <c r="D32" s="30"/>
      <c r="E32" s="30"/>
    </row>
    <row r="33" spans="2:5" s="29" customFormat="1" ht="13.5">
      <c r="D33" s="30"/>
      <c r="E33" s="30"/>
    </row>
    <row r="34" spans="2:5" s="33" customFormat="1" ht="14.25">
      <c r="D34" s="34"/>
      <c r="E34" s="34"/>
    </row>
    <row r="35" spans="2:5" s="33" customFormat="1" ht="14.25">
      <c r="D35" s="34"/>
      <c r="E35" s="34"/>
    </row>
    <row r="36" spans="2:5" s="33" customFormat="1" ht="14.25">
      <c r="D36" s="34"/>
      <c r="E36" s="34"/>
    </row>
    <row r="37" spans="2:5" s="33" customFormat="1" ht="14.25">
      <c r="D37" s="34"/>
      <c r="E37" s="34"/>
    </row>
    <row r="38" spans="2:5" s="33" customFormat="1" ht="14.25">
      <c r="D38" s="34"/>
      <c r="E38" s="34"/>
    </row>
    <row r="39" spans="2:5" s="33" customFormat="1" ht="14.25">
      <c r="D39" s="34"/>
      <c r="E39" s="34"/>
    </row>
    <row r="40" spans="2:5" s="33" customFormat="1" ht="14.25">
      <c r="D40" s="34"/>
      <c r="E40" s="34"/>
    </row>
    <row r="41" spans="2:5" s="33" customFormat="1" ht="14.25">
      <c r="D41" s="34"/>
      <c r="E41" s="34"/>
    </row>
    <row r="42" spans="2:5" s="33" customFormat="1" ht="14.25">
      <c r="D42" s="34"/>
      <c r="E42" s="34"/>
    </row>
    <row r="43" spans="2:5" s="33" customFormat="1" ht="14.25">
      <c r="D43" s="34"/>
      <c r="E43" s="34"/>
    </row>
    <row r="44" spans="2:5" s="33" customFormat="1" ht="14.25">
      <c r="D44" s="34"/>
      <c r="E44" s="34"/>
    </row>
    <row r="45" spans="2:5" s="33" customFormat="1" ht="14.25">
      <c r="D45" s="34"/>
      <c r="E45" s="11"/>
    </row>
    <row r="46" spans="2:5" s="33" customFormat="1" ht="14.25">
      <c r="D46" s="34"/>
      <c r="E46" s="11"/>
    </row>
    <row r="47" spans="2:5" s="33" customFormat="1" ht="14.25">
      <c r="D47" s="34"/>
      <c r="E47" s="11"/>
    </row>
    <row r="48" spans="2:5">
      <c r="B48" s="33"/>
      <c r="C48" s="33"/>
      <c r="D48" s="34"/>
    </row>
    <row r="49" spans="2:4">
      <c r="B49" s="33"/>
      <c r="C49" s="33"/>
      <c r="D49" s="34"/>
    </row>
    <row r="50" spans="2:4">
      <c r="B50" s="33"/>
      <c r="C50" s="33"/>
      <c r="D50" s="34"/>
    </row>
    <row r="51" spans="2:4">
      <c r="B51" s="33"/>
      <c r="C51" s="33"/>
      <c r="D51" s="34"/>
    </row>
    <row r="52" spans="2:4">
      <c r="B52" s="33"/>
      <c r="C52" s="33"/>
      <c r="D52" s="34"/>
    </row>
    <row r="53" spans="2:4">
      <c r="B53" s="33"/>
      <c r="C53" s="33"/>
      <c r="D53" s="34"/>
    </row>
    <row r="54" spans="2:4">
      <c r="B54" s="33"/>
      <c r="C54" s="33"/>
      <c r="D54" s="34"/>
    </row>
    <row r="55" spans="2:4">
      <c r="B55" s="33"/>
      <c r="C55" s="33"/>
      <c r="D55" s="34"/>
    </row>
    <row r="56" spans="2:4">
      <c r="B56" s="33"/>
      <c r="C56" s="33"/>
      <c r="D56" s="34"/>
    </row>
    <row r="57" spans="2:4">
      <c r="B57" s="33"/>
      <c r="C57" s="33"/>
      <c r="D57" s="34"/>
    </row>
    <row r="58" spans="2:4">
      <c r="B58" s="33"/>
      <c r="C58" s="33"/>
      <c r="D58" s="34"/>
    </row>
    <row r="59" spans="2:4">
      <c r="B59" s="33"/>
      <c r="C59" s="33"/>
      <c r="D59" s="34"/>
    </row>
    <row r="60" spans="2:4">
      <c r="B60" s="33"/>
      <c r="C60" s="33"/>
      <c r="D60" s="34"/>
    </row>
    <row r="61" spans="2:4">
      <c r="B61" s="33"/>
      <c r="C61" s="33"/>
      <c r="D61" s="34"/>
    </row>
    <row r="62" spans="2:4">
      <c r="B62" s="33"/>
      <c r="C62" s="33"/>
      <c r="D62" s="34"/>
    </row>
    <row r="63" spans="2:4">
      <c r="B63" s="33"/>
      <c r="C63" s="33"/>
      <c r="D63" s="34"/>
    </row>
    <row r="64" spans="2:4">
      <c r="B64" s="33"/>
      <c r="C64" s="33"/>
      <c r="D64" s="34"/>
    </row>
    <row r="65" spans="2:4">
      <c r="B65" s="33"/>
      <c r="C65" s="33"/>
      <c r="D65" s="34"/>
    </row>
    <row r="66" spans="2:4">
      <c r="B66" s="33"/>
      <c r="C66" s="33"/>
      <c r="D66" s="34"/>
    </row>
    <row r="67" spans="2:4">
      <c r="B67" s="33"/>
      <c r="C67" s="33"/>
      <c r="D67" s="34"/>
    </row>
    <row r="68" spans="2:4">
      <c r="B68" s="33"/>
      <c r="C68" s="33"/>
      <c r="D68" s="34"/>
    </row>
    <row r="69" spans="2:4">
      <c r="B69" s="33"/>
      <c r="C69" s="33"/>
      <c r="D69" s="34"/>
    </row>
    <row r="70" spans="2:4">
      <c r="B70" s="33"/>
      <c r="C70" s="33"/>
      <c r="D70" s="34"/>
    </row>
    <row r="71" spans="2:4">
      <c r="B71" s="33"/>
      <c r="C71" s="33"/>
      <c r="D71" s="34"/>
    </row>
    <row r="72" spans="2:4">
      <c r="B72" s="33"/>
      <c r="C72" s="33"/>
      <c r="D72" s="34"/>
    </row>
  </sheetData>
  <sheetProtection sheet="1" objects="1" scenarios="1"/>
  <mergeCells count="4">
    <mergeCell ref="B3:D3"/>
    <mergeCell ref="B7:D7"/>
    <mergeCell ref="B13:D13"/>
    <mergeCell ref="B17:D17"/>
  </mergeCells>
  <conditionalFormatting sqref="C11">
    <cfRule type="expression" dxfId="103" priority="4">
      <formula>LEN(C11)&lt;8</formula>
    </cfRule>
  </conditionalFormatting>
  <conditionalFormatting sqref="C14">
    <cfRule type="expression" dxfId="102" priority="5">
      <formula>LEN(C14)&lt;8</formula>
    </cfRule>
  </conditionalFormatting>
  <conditionalFormatting sqref="C12">
    <cfRule type="expression" dxfId="101" priority="6">
      <formula>LEN(C12)&lt;8</formula>
    </cfRule>
  </conditionalFormatting>
  <conditionalFormatting sqref="C10">
    <cfRule type="expression" dxfId="100" priority="8">
      <formula>LEN(C10)&gt;40</formula>
    </cfRule>
    <cfRule type="expression" dxfId="99" priority="9">
      <formula>LEN(C10)&lt;8</formula>
    </cfRule>
  </conditionalFormatting>
  <conditionalFormatting sqref="C16">
    <cfRule type="expression" dxfId="98" priority="10">
      <formula>LEN(C16)&lt;12</formula>
    </cfRule>
  </conditionalFormatting>
  <conditionalFormatting sqref="C15">
    <cfRule type="expression" dxfId="97" priority="11">
      <formula>LEN(C15)&lt;8</formula>
    </cfRule>
  </conditionalFormatting>
  <conditionalFormatting sqref="C8:C9">
    <cfRule type="expression" dxfId="96" priority="12">
      <formula>LEN(TRIM(C8))=0</formula>
    </cfRule>
    <cfRule type="duplicateValues" dxfId="95" priority="13"/>
  </conditionalFormatting>
  <conditionalFormatting sqref="C9">
    <cfRule type="expression" dxfId="94" priority="14">
      <formula>LEN(#REF!)&lt;8</formula>
    </cfRule>
  </conditionalFormatting>
  <conditionalFormatting sqref="C19">
    <cfRule type="expression" dxfId="93" priority="2">
      <formula>LEN(C19)&lt;8</formula>
    </cfRule>
  </conditionalFormatting>
  <conditionalFormatting sqref="C18">
    <cfRule type="expression" dxfId="92" priority="1">
      <formula>LEN(C18)&lt;8</formula>
    </cfRule>
  </conditionalFormatting>
  <dataValidations count="7">
    <dataValidation allowBlank="1" showInputMessage="1" showErrorMessage="1" promptTitle="VxRail mystic Account" prompt="The password used for the mystic account must be different to the root account of the VxRail Manager appliance" sqref="C9" xr:uid="{00000000-0002-0000-0100-000000000000}">
      <formula1>0</formula1>
      <formula2>0</formula2>
    </dataValidation>
    <dataValidation type="textLength" allowBlank="1" showInputMessage="1" showErrorMessage="1" errorTitle="Password Length Error" error="Password must be minimum of 12 and maximum 255 characters length" promptTitle="Password Policy" prompt="At least 12 characters_x000a_At least one lower-case letter_x000a_At least one upper-case letter_x000a_At least one digit_x000a_At least one special char_x000a_At least five different char_x000a_NO three same consecutive chars_x000a_NOT a dictionary word_x000a_NOT more than four monotonic char sequence" sqref="C14:C16" xr:uid="{00000000-0002-0000-0100-000001000000}">
      <formula1>12</formula1>
      <formula2>255</formula2>
    </dataValidation>
    <dataValidation type="textLength" allowBlank="1" showInputMessage="1" showErrorMessage="1" errorTitle="Password Length Error" error="Password must be minimum of 8 and maximum 20 characters length" promptTitle="Password Policy" prompt="8-20 character length, atleast one Uppercase, lowercase, number &amp; at least one of the following supported special characters @!#$%?^" sqref="C11" xr:uid="{00000000-0002-0000-0100-000002000000}">
      <formula1>8</formula1>
      <formula2>20</formula2>
    </dataValidation>
    <dataValidation type="textLength" allowBlank="1" showInputMessage="1" showErrorMessage="1" errorTitle="Password Length Error" error="Password must be minimum of 8 and maximum 20 characters length" promptTitle="Password Policy" prompt="At least 8 characters, but no more than 20 characters in length _x000a_At least one lower-case letter_x000a_At least one upper-case letter_x000a_At least one digit_x000a_At least one of the following supported special characters @!#$%?^" sqref="C12" xr:uid="{00000000-0002-0000-0100-000003000000}">
      <formula1>8</formula1>
      <formula2>20</formula2>
    </dataValidation>
    <dataValidation type="textLength" allowBlank="1" showInputMessage="1" showErrorMessage="1" errorTitle="Password Length Error" error="Password must be minimum of 12 and maximum 127 characters length" promptTitle="Password Policy" prompt="At least 12 characters_x000a_At least one lower-case letter_x000a_At least one upper-case letter_x000a_At least one digit_x000a_At least one of the following supported special characters @!#$%?^_x000a_A character cannot be repeated more than 3 times consecutively" sqref="C20" xr:uid="{00000000-0002-0000-0100-000004000000}">
      <formula1>12</formula1>
      <formula2>127</formula2>
    </dataValidation>
    <dataValidation type="textLength" allowBlank="1" showInputMessage="1" showErrorMessage="1" errorTitle="Password Length Error" error="Password must be minimum of 8 and maximum 20 characters length" promptTitle="Password Policy" prompt="8-20 character length, at least one Uppercase, lowercase, number &amp; at least one of the following supported special characters @!#$%?^" sqref="C19" xr:uid="{00000000-0002-0000-0100-000005000000}">
      <formula1>8</formula1>
      <formula2>20</formula2>
    </dataValidation>
    <dataValidation type="textLength" allowBlank="1" showInputMessage="1" showErrorMessage="1" errorTitle="Password Length Error" error="Password must be minimum of 8 and maximum 20 characters length" promptTitle="Password Policy" prompt="8-20 character length, at least one Uppercase, lowercase, number &amp; at least one of the following supported special characters @!#$%?^ " sqref="C18" xr:uid="{00000000-0002-0000-0100-000006000000}">
      <formula1>8</formula1>
      <formula2>20</formula2>
    </dataValidation>
  </dataValidations>
  <printOptions horizontalCentered="1"/>
  <pageMargins left="0.5" right="0.5" top="0.5" bottom="0.5" header="0.51180555555555496" footer="0.25"/>
  <pageSetup firstPageNumber="0" orientation="portrait" horizontalDpi="300" verticalDpi="300" r:id="rId1"/>
  <headerFooter>
    <oddHeader>&amp;L&amp;"Calibri"&amp;10&amp;K737373Dell Customer Communication - Confidential&amp;1#</oddHeader>
    <oddFooter>&amp;L&amp;8http://www.vertex42.com/ExcelTemplates/spring-cleaning-checklist.html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84"/>
  <sheetViews>
    <sheetView tabSelected="1" zoomScale="115" zoomScaleNormal="115" workbookViewId="0">
      <pane ySplit="4" topLeftCell="A5" activePane="bottomLeft" state="frozen"/>
      <selection pane="bottomLeft" activeCell="E20" sqref="E20:F20"/>
    </sheetView>
  </sheetViews>
  <sheetFormatPr defaultColWidth="12.42578125" defaultRowHeight="15"/>
  <cols>
    <col min="1" max="1" width="1.140625" style="35" customWidth="1"/>
    <col min="2" max="2" width="19" style="36" customWidth="1"/>
    <col min="3" max="3" width="7.28515625" style="36" customWidth="1"/>
    <col min="4" max="4" width="34" style="36" customWidth="1"/>
    <col min="5" max="6" width="16.85546875" style="36" customWidth="1"/>
    <col min="7" max="7" width="6.140625" style="36" customWidth="1"/>
    <col min="8" max="8" width="2.28515625" style="35" customWidth="1"/>
    <col min="9" max="12" width="25.85546875" style="36" customWidth="1"/>
    <col min="13" max="16" width="25.85546875" style="35" customWidth="1"/>
    <col min="17" max="36" width="12.42578125" style="35"/>
    <col min="37" max="1024" width="12.42578125" style="36"/>
  </cols>
  <sheetData>
    <row r="1" spans="1:36" s="35" customFormat="1" ht="48" customHeight="1"/>
    <row r="2" spans="1:36" s="37" customFormat="1" ht="2.1" customHeight="1">
      <c r="D2" s="38"/>
      <c r="E2" s="39"/>
      <c r="F2" s="39"/>
    </row>
    <row r="3" spans="1:36" s="37" customFormat="1" ht="60" customHeight="1">
      <c r="B3" s="139" t="s">
        <v>32</v>
      </c>
      <c r="C3" s="139"/>
      <c r="D3" s="139"/>
      <c r="E3" s="139"/>
      <c r="F3" s="139"/>
      <c r="G3" s="139"/>
      <c r="H3" s="139"/>
      <c r="I3" s="139"/>
      <c r="J3" s="139"/>
      <c r="K3" s="139"/>
      <c r="L3" s="139"/>
    </row>
    <row r="4" spans="1:36" s="18" customFormat="1" ht="3.95" customHeight="1">
      <c r="A4" s="40"/>
      <c r="B4" s="40"/>
      <c r="C4" s="40"/>
      <c r="D4" s="41"/>
      <c r="E4" s="41"/>
      <c r="F4" s="41"/>
      <c r="G4" s="40"/>
      <c r="H4" s="40"/>
      <c r="I4" s="40"/>
      <c r="J4" s="40"/>
      <c r="K4" s="40"/>
      <c r="L4" s="37"/>
      <c r="M4" s="37"/>
      <c r="N4" s="40"/>
      <c r="O4" s="40"/>
      <c r="P4" s="40"/>
      <c r="Q4" s="40"/>
      <c r="R4" s="40"/>
      <c r="S4" s="40"/>
      <c r="T4" s="40"/>
      <c r="U4" s="40"/>
      <c r="V4" s="40"/>
      <c r="W4" s="40"/>
      <c r="X4" s="40"/>
      <c r="Y4" s="40"/>
      <c r="Z4" s="40"/>
      <c r="AA4" s="40"/>
      <c r="AB4" s="40"/>
      <c r="AC4" s="40"/>
      <c r="AD4" s="40"/>
      <c r="AE4" s="40"/>
      <c r="AF4" s="40"/>
      <c r="AG4" s="40"/>
      <c r="AH4" s="40"/>
      <c r="AI4" s="40"/>
      <c r="AJ4" s="40"/>
    </row>
    <row r="5" spans="1:36" s="44" customFormat="1" ht="15.95" customHeight="1" thickBot="1">
      <c r="A5" s="42"/>
      <c r="B5" s="140" t="s">
        <v>33</v>
      </c>
      <c r="C5" s="140"/>
      <c r="D5" s="140"/>
      <c r="E5" s="140"/>
      <c r="F5" s="140"/>
      <c r="G5" s="140"/>
      <c r="H5" s="43"/>
      <c r="I5" s="141" t="s">
        <v>34</v>
      </c>
      <c r="J5" s="141"/>
      <c r="K5" s="141"/>
      <c r="L5" s="141"/>
      <c r="M5" s="42"/>
      <c r="N5" s="42"/>
      <c r="O5" s="42"/>
      <c r="P5" s="42"/>
      <c r="Q5" s="42"/>
      <c r="R5" s="42"/>
      <c r="S5" s="42"/>
      <c r="T5" s="42"/>
      <c r="U5" s="42"/>
      <c r="V5" s="42"/>
      <c r="W5" s="42"/>
      <c r="X5" s="42"/>
      <c r="Y5" s="42"/>
      <c r="Z5" s="42"/>
      <c r="AA5" s="42"/>
      <c r="AB5" s="42"/>
      <c r="AC5" s="42"/>
      <c r="AD5" s="42"/>
      <c r="AE5" s="42"/>
      <c r="AF5" s="42"/>
      <c r="AG5" s="42"/>
      <c r="AH5" s="42"/>
      <c r="AI5" s="42"/>
      <c r="AJ5" s="42"/>
    </row>
    <row r="6" spans="1:36" s="44" customFormat="1" ht="15.95" customHeight="1">
      <c r="A6" s="42"/>
      <c r="B6" s="45" t="s">
        <v>35</v>
      </c>
      <c r="C6" s="46" t="s">
        <v>36</v>
      </c>
      <c r="D6" s="46" t="s">
        <v>37</v>
      </c>
      <c r="E6" s="46" t="s">
        <v>38</v>
      </c>
      <c r="F6" s="46" t="s">
        <v>39</v>
      </c>
      <c r="G6" s="47" t="s">
        <v>40</v>
      </c>
      <c r="H6" s="48"/>
      <c r="I6" s="49" t="s">
        <v>361</v>
      </c>
      <c r="J6" s="49" t="s">
        <v>362</v>
      </c>
      <c r="K6" s="49" t="s">
        <v>363</v>
      </c>
      <c r="L6" s="49" t="s">
        <v>364</v>
      </c>
      <c r="M6" s="42"/>
      <c r="N6" s="42"/>
      <c r="O6" s="42"/>
      <c r="P6" s="42"/>
      <c r="Q6" s="42"/>
      <c r="R6" s="42"/>
      <c r="S6" s="42"/>
      <c r="T6" s="42"/>
      <c r="U6" s="42"/>
      <c r="V6" s="42"/>
      <c r="W6" s="42"/>
      <c r="X6" s="42"/>
      <c r="Y6" s="42"/>
      <c r="Z6" s="42"/>
      <c r="AA6" s="42"/>
      <c r="AB6" s="42"/>
      <c r="AC6" s="42"/>
      <c r="AD6" s="42"/>
      <c r="AE6" s="42"/>
      <c r="AF6" s="42"/>
      <c r="AG6" s="42"/>
      <c r="AH6" s="42"/>
      <c r="AI6" s="42"/>
      <c r="AJ6" s="42"/>
    </row>
    <row r="7" spans="1:36" s="44" customFormat="1" ht="15.95" customHeight="1">
      <c r="A7" s="42"/>
      <c r="B7" s="45" t="s">
        <v>41</v>
      </c>
      <c r="C7" s="50">
        <v>144</v>
      </c>
      <c r="D7" s="51" t="s">
        <v>42</v>
      </c>
      <c r="E7" s="50" t="s">
        <v>359</v>
      </c>
      <c r="F7" s="50" t="s">
        <v>360</v>
      </c>
      <c r="G7" s="52">
        <v>1500</v>
      </c>
      <c r="H7" s="53"/>
      <c r="I7" s="54" t="s">
        <v>365</v>
      </c>
      <c r="J7" s="54" t="s">
        <v>366</v>
      </c>
      <c r="K7" s="54" t="s">
        <v>367</v>
      </c>
      <c r="L7" s="54" t="s">
        <v>368</v>
      </c>
      <c r="M7" s="42"/>
      <c r="N7" s="42"/>
      <c r="O7" s="42"/>
      <c r="P7" s="42"/>
      <c r="Q7" s="42"/>
      <c r="R7" s="42"/>
      <c r="S7" s="42"/>
      <c r="T7" s="42"/>
      <c r="U7" s="42"/>
      <c r="V7" s="42"/>
      <c r="W7" s="42"/>
      <c r="X7" s="42"/>
      <c r="Y7" s="42"/>
      <c r="Z7" s="42"/>
      <c r="AA7" s="42"/>
      <c r="AB7" s="42"/>
      <c r="AC7" s="42"/>
      <c r="AD7" s="42"/>
      <c r="AE7" s="42"/>
      <c r="AF7" s="42"/>
      <c r="AG7" s="42"/>
      <c r="AH7" s="42"/>
      <c r="AI7" s="42"/>
      <c r="AJ7" s="42"/>
    </row>
    <row r="8" spans="1:36" s="44" customFormat="1" ht="15.95" customHeight="1">
      <c r="A8" s="42"/>
      <c r="B8" s="45" t="s">
        <v>43</v>
      </c>
      <c r="C8" s="55">
        <v>147</v>
      </c>
      <c r="D8" s="56" t="s">
        <v>44</v>
      </c>
      <c r="E8" s="57" t="s">
        <v>45</v>
      </c>
      <c r="F8" s="57" t="s">
        <v>45</v>
      </c>
      <c r="G8" s="58" t="s">
        <v>45</v>
      </c>
      <c r="H8" s="53"/>
      <c r="I8" s="45" t="s">
        <v>46</v>
      </c>
      <c r="J8" s="59" t="s">
        <v>45</v>
      </c>
      <c r="K8" s="60" t="s">
        <v>47</v>
      </c>
      <c r="L8" s="58" t="s">
        <v>45</v>
      </c>
      <c r="M8" s="42"/>
      <c r="N8" s="42"/>
      <c r="O8" s="42"/>
      <c r="P8" s="42"/>
      <c r="Q8" s="42"/>
      <c r="R8" s="42"/>
      <c r="S8" s="42"/>
      <c r="T8" s="42"/>
      <c r="U8" s="42"/>
      <c r="V8" s="42"/>
      <c r="W8" s="42"/>
      <c r="X8" s="42"/>
      <c r="Y8" s="42"/>
      <c r="Z8" s="42"/>
      <c r="AA8" s="42"/>
      <c r="AB8" s="42"/>
      <c r="AC8" s="42"/>
      <c r="AD8" s="42"/>
      <c r="AE8" s="42"/>
      <c r="AF8" s="42"/>
      <c r="AG8" s="42"/>
      <c r="AH8" s="42"/>
      <c r="AI8" s="42"/>
      <c r="AJ8" s="42"/>
    </row>
    <row r="9" spans="1:36" s="44" customFormat="1" ht="15.95" customHeight="1">
      <c r="A9" s="42"/>
      <c r="B9" s="45" t="s">
        <v>48</v>
      </c>
      <c r="C9" s="55">
        <v>146</v>
      </c>
      <c r="D9" s="56" t="s">
        <v>49</v>
      </c>
      <c r="E9" s="57" t="s">
        <v>45</v>
      </c>
      <c r="F9" s="57" t="s">
        <v>45</v>
      </c>
      <c r="G9" s="58" t="s">
        <v>45</v>
      </c>
      <c r="H9" s="53"/>
      <c r="I9" s="61" t="s">
        <v>50</v>
      </c>
      <c r="J9" s="62" t="s">
        <v>45</v>
      </c>
      <c r="K9" s="63" t="s">
        <v>51</v>
      </c>
      <c r="L9" s="64" t="s">
        <v>45</v>
      </c>
      <c r="M9" s="42"/>
      <c r="N9" s="42"/>
      <c r="O9" s="42"/>
      <c r="P9" s="42"/>
      <c r="Q9" s="42"/>
      <c r="R9" s="42"/>
      <c r="S9" s="42"/>
      <c r="T9" s="42"/>
      <c r="U9" s="42"/>
      <c r="V9" s="42"/>
      <c r="W9" s="42"/>
      <c r="X9" s="42"/>
      <c r="Y9" s="42"/>
      <c r="Z9" s="42"/>
      <c r="AA9" s="42"/>
      <c r="AB9" s="42"/>
      <c r="AC9" s="42"/>
      <c r="AD9" s="42"/>
      <c r="AE9" s="42"/>
      <c r="AF9" s="42"/>
      <c r="AG9" s="42"/>
      <c r="AH9" s="42"/>
      <c r="AI9" s="42"/>
      <c r="AJ9" s="42"/>
    </row>
    <row r="10" spans="1:36" s="42" customFormat="1" ht="15.95" customHeight="1">
      <c r="B10" s="35"/>
      <c r="C10" s="35"/>
      <c r="D10" s="35"/>
      <c r="E10" s="35"/>
      <c r="F10" s="35"/>
      <c r="G10" s="35"/>
      <c r="I10" s="35"/>
      <c r="J10" s="35"/>
      <c r="K10" s="35"/>
    </row>
    <row r="11" spans="1:36">
      <c r="B11" s="142" t="s">
        <v>348</v>
      </c>
      <c r="C11" s="142"/>
      <c r="D11" s="142"/>
      <c r="E11" s="142"/>
      <c r="F11" s="65" t="s">
        <v>67</v>
      </c>
      <c r="G11" s="66"/>
      <c r="I11" s="67" t="s">
        <v>53</v>
      </c>
      <c r="J11" s="68" t="s">
        <v>54</v>
      </c>
      <c r="K11" s="69" t="s">
        <v>67</v>
      </c>
      <c r="L11" s="70"/>
      <c r="M11" s="70"/>
    </row>
    <row r="12" spans="1:36">
      <c r="B12" s="143" t="s">
        <v>55</v>
      </c>
      <c r="C12" s="143"/>
      <c r="D12" s="143"/>
      <c r="E12" s="144" t="s">
        <v>56</v>
      </c>
      <c r="F12" s="144"/>
      <c r="G12" s="66"/>
      <c r="I12" s="72" t="s">
        <v>57</v>
      </c>
      <c r="J12" s="145" t="s">
        <v>58</v>
      </c>
      <c r="K12" s="145"/>
      <c r="L12" s="146" t="s">
        <v>59</v>
      </c>
      <c r="M12" s="146"/>
    </row>
    <row r="13" spans="1:36" ht="15.95" customHeight="1">
      <c r="B13" s="143" t="s">
        <v>60</v>
      </c>
      <c r="C13" s="143"/>
      <c r="D13" s="143"/>
      <c r="E13" s="150" t="s">
        <v>61</v>
      </c>
      <c r="F13" s="150"/>
      <c r="G13" s="66" t="e">
        <f>LEN(#REF!)-LEN(SUBSTITUTE(#REF!,",",""))</f>
        <v>#REF!</v>
      </c>
      <c r="I13" s="74" t="s">
        <v>62</v>
      </c>
      <c r="J13" s="151" t="s">
        <v>63</v>
      </c>
      <c r="K13" s="151"/>
      <c r="L13" s="152" t="s">
        <v>64</v>
      </c>
      <c r="M13" s="152"/>
    </row>
    <row r="14" spans="1:36" ht="15.95" customHeight="1">
      <c r="B14" s="71" t="s">
        <v>65</v>
      </c>
      <c r="C14" s="71"/>
      <c r="D14" s="71"/>
      <c r="E14" s="150" t="s">
        <v>66</v>
      </c>
      <c r="F14" s="150"/>
      <c r="G14" s="66" t="e">
        <f>IF(G13&gt;2,LEFT(#REF!,LEN(#REF!)-SEARCH(",",#REF!,SEARCH(",",#REF!)+1)),#REF!)</f>
        <v>#REF!</v>
      </c>
      <c r="I14" s="74" t="str">
        <f>'Deploy Parameters'!F12</f>
        <v>site2-mgmt-cluster-vrm</v>
      </c>
      <c r="J14" s="147"/>
      <c r="K14" s="147"/>
      <c r="L14" s="149"/>
      <c r="M14" s="149"/>
    </row>
    <row r="15" spans="1:36" ht="15.95" customHeight="1">
      <c r="B15" s="35"/>
      <c r="C15" s="35"/>
      <c r="D15" s="35"/>
      <c r="E15" s="35"/>
      <c r="F15" s="35"/>
      <c r="G15" s="66" t="e">
        <f>IF(G13&gt;2,RIGHT(#REF!,LEN(#REF!)-SEARCH(",",#REF!, SEARCH( ",",#REF!) + 1)),"")</f>
        <v>#REF!</v>
      </c>
      <c r="I15" s="74" t="str">
        <f>'Deploy Parameters'!F22</f>
        <v>site2-m1-vc</v>
      </c>
      <c r="J15" s="147"/>
      <c r="K15" s="147"/>
      <c r="L15" s="148"/>
      <c r="M15" s="148"/>
    </row>
    <row r="16" spans="1:36" ht="15.95" customHeight="1">
      <c r="B16" s="153" t="s">
        <v>347</v>
      </c>
      <c r="C16" s="153"/>
      <c r="D16" s="153"/>
      <c r="E16" s="153"/>
      <c r="F16" s="79" t="s">
        <v>52</v>
      </c>
      <c r="G16" s="66"/>
      <c r="I16" s="74" t="str">
        <f>I6</f>
        <v>site2-mgmt-cluster-esxi01</v>
      </c>
      <c r="J16" s="149"/>
      <c r="K16" s="149"/>
      <c r="L16" s="35"/>
    </row>
    <row r="17" spans="2:12">
      <c r="B17" s="154" t="s">
        <v>69</v>
      </c>
      <c r="C17" s="154"/>
      <c r="D17" s="154"/>
      <c r="E17" s="155" t="s">
        <v>56</v>
      </c>
      <c r="F17" s="155"/>
      <c r="G17" s="66" t="e">
        <f>LEN(#REF!)-LEN(SUBSTITUTE(#REF!,",",""))</f>
        <v>#REF!</v>
      </c>
      <c r="I17" s="74" t="str">
        <f>J6</f>
        <v>site2-mgmt-cluster-esxi02</v>
      </c>
      <c r="J17" s="149"/>
      <c r="K17" s="149"/>
      <c r="L17" s="35"/>
    </row>
    <row r="18" spans="2:12" ht="15.95" customHeight="1">
      <c r="B18" s="156" t="s">
        <v>70</v>
      </c>
      <c r="C18" s="156"/>
      <c r="D18" s="156"/>
      <c r="E18" s="157" t="s">
        <v>375</v>
      </c>
      <c r="F18" s="157"/>
      <c r="G18" s="66" t="e">
        <f>IF(G17&gt;2,LEFT(#REF!,LEN(#REF!)-SEARCH(",",#REF!, SEARCH( ",",#REF!) + 1)),#REF!)</f>
        <v>#REF!</v>
      </c>
      <c r="I18" s="74" t="str">
        <f>K6</f>
        <v>site2-mgmt-cluster-esxi03</v>
      </c>
      <c r="J18" s="149"/>
      <c r="K18" s="149"/>
      <c r="L18" s="35"/>
    </row>
    <row r="19" spans="2:12" ht="15.95" customHeight="1">
      <c r="B19" s="156" t="s">
        <v>72</v>
      </c>
      <c r="C19" s="156"/>
      <c r="D19" s="156"/>
      <c r="E19" s="157" t="s">
        <v>397</v>
      </c>
      <c r="F19" s="157"/>
      <c r="G19" s="66" t="e">
        <f>IF(G17&gt;2,RIGHT(#REF!,LEN(#REF!)-SEARCH(",",#REF!, SEARCH( ",",#REF!) + 1)),"")</f>
        <v>#REF!</v>
      </c>
      <c r="I19" s="77" t="str">
        <f>L6</f>
        <v>site2-mgmt-cluster-esxi04</v>
      </c>
      <c r="J19" s="148"/>
      <c r="K19" s="148"/>
      <c r="L19" s="35"/>
    </row>
    <row r="20" spans="2:12">
      <c r="B20" s="156" t="s">
        <v>74</v>
      </c>
      <c r="C20" s="156"/>
      <c r="D20" s="156"/>
      <c r="E20" s="157">
        <v>9000</v>
      </c>
      <c r="F20" s="157"/>
      <c r="G20" s="35"/>
      <c r="I20" s="35"/>
      <c r="J20" s="35"/>
      <c r="K20" s="35"/>
      <c r="L20" s="35"/>
    </row>
    <row r="21" spans="2:12" ht="15.75">
      <c r="B21" s="35"/>
      <c r="C21" s="35"/>
      <c r="D21" s="35"/>
      <c r="E21" s="35"/>
      <c r="F21" s="35"/>
      <c r="G21" s="35"/>
      <c r="H21" s="78"/>
      <c r="I21" s="160" t="str">
        <f>IF(K25="No","NSX-T Host Overlay Network - DHCP","NSX-T Host Overlay Network - Static IP Pool in NSX-T")</f>
        <v>NSX-T Host Overlay Network - Static IP Pool in NSX-T</v>
      </c>
      <c r="J21" s="160"/>
      <c r="K21" s="160"/>
      <c r="L21" s="160"/>
    </row>
    <row r="22" spans="2:12">
      <c r="B22" s="35"/>
      <c r="C22" s="35"/>
      <c r="D22" s="35"/>
      <c r="E22" s="35"/>
      <c r="F22" s="35"/>
      <c r="G22" s="35"/>
      <c r="H22" s="78"/>
      <c r="I22" s="35"/>
      <c r="J22" s="35"/>
      <c r="K22" s="35"/>
      <c r="L22" s="35"/>
    </row>
    <row r="23" spans="2:12">
      <c r="B23" s="35"/>
      <c r="C23" s="35"/>
      <c r="D23" s="35"/>
      <c r="E23" s="35"/>
      <c r="F23" s="35"/>
      <c r="G23" s="35"/>
      <c r="I23" s="80" t="s">
        <v>68</v>
      </c>
      <c r="J23" s="69">
        <v>148</v>
      </c>
      <c r="K23" s="35"/>
      <c r="L23" s="35"/>
    </row>
    <row r="24" spans="2:12" s="35" customFormat="1" ht="13.5"/>
    <row r="25" spans="2:12" s="35" customFormat="1" ht="13.5">
      <c r="I25" s="159" t="s">
        <v>71</v>
      </c>
      <c r="J25" s="159"/>
      <c r="K25" s="81" t="s">
        <v>52</v>
      </c>
    </row>
    <row r="26" spans="2:12" s="35" customFormat="1" ht="13.5">
      <c r="I26" s="82" t="s">
        <v>73</v>
      </c>
      <c r="J26" s="158" t="s">
        <v>370</v>
      </c>
      <c r="K26" s="158"/>
    </row>
    <row r="27" spans="2:12" s="35" customFormat="1" ht="13.5">
      <c r="I27" s="83" t="s">
        <v>75</v>
      </c>
      <c r="J27" s="158" t="s">
        <v>369</v>
      </c>
      <c r="K27" s="158"/>
      <c r="L27" s="70"/>
    </row>
    <row r="28" spans="2:12" s="35" customFormat="1" ht="13.5">
      <c r="I28" s="83" t="s">
        <v>38</v>
      </c>
      <c r="J28" s="84" t="s">
        <v>372</v>
      </c>
      <c r="K28" s="85" t="s">
        <v>39</v>
      </c>
      <c r="L28" s="86" t="s">
        <v>374</v>
      </c>
    </row>
    <row r="29" spans="2:12" s="35" customFormat="1" ht="13.5">
      <c r="I29" s="87" t="s">
        <v>76</v>
      </c>
      <c r="J29" s="88" t="s">
        <v>371</v>
      </c>
      <c r="K29" s="89" t="s">
        <v>77</v>
      </c>
      <c r="L29" s="90" t="s">
        <v>373</v>
      </c>
    </row>
    <row r="30" spans="2:12" s="35" customFormat="1" ht="13.5"/>
    <row r="31" spans="2:12" s="35" customFormat="1" ht="13.5">
      <c r="I31" s="91"/>
    </row>
    <row r="32" spans="2:12" s="35" customFormat="1" ht="13.5">
      <c r="I32" s="91"/>
    </row>
    <row r="33" spans="9:9" s="35" customFormat="1" ht="13.5">
      <c r="I33" s="91"/>
    </row>
    <row r="34" spans="9:9" s="35" customFormat="1" ht="13.5">
      <c r="I34" s="91"/>
    </row>
    <row r="35" spans="9:9" s="35" customFormat="1" ht="13.5"/>
    <row r="36" spans="9:9" s="35" customFormat="1" ht="13.5"/>
    <row r="37" spans="9:9" s="35" customFormat="1" ht="13.5"/>
    <row r="38" spans="9:9" s="35" customFormat="1" ht="13.5"/>
    <row r="39" spans="9:9" s="35" customFormat="1" ht="13.5"/>
    <row r="40" spans="9:9" s="35" customFormat="1" ht="13.5"/>
    <row r="41" spans="9:9" s="35" customFormat="1" ht="13.5"/>
    <row r="42" spans="9:9" s="35" customFormat="1" ht="13.5"/>
    <row r="43" spans="9:9" s="35" customFormat="1" ht="13.5"/>
    <row r="44" spans="9:9" s="35" customFormat="1" ht="13.5"/>
    <row r="45" spans="9:9" s="35" customFormat="1" ht="13.5"/>
    <row r="46" spans="9:9" s="35" customFormat="1" ht="13.5"/>
    <row r="47" spans="9:9" s="35" customFormat="1" ht="13.5"/>
    <row r="48" spans="9:9" s="35" customFormat="1" ht="13.5"/>
    <row r="49" spans="2:6" s="35" customFormat="1" ht="13.5"/>
    <row r="50" spans="2:6" s="35" customFormat="1" ht="13.5"/>
    <row r="51" spans="2:6" s="35" customFormat="1" ht="13.5"/>
    <row r="52" spans="2:6" s="35" customFormat="1" ht="13.5"/>
    <row r="53" spans="2:6" s="35" customFormat="1" ht="13.5"/>
    <row r="54" spans="2:6" s="35" customFormat="1" ht="13.5"/>
    <row r="55" spans="2:6" s="35" customFormat="1" ht="13.5"/>
    <row r="56" spans="2:6" s="35" customFormat="1" ht="13.5"/>
    <row r="57" spans="2:6" s="35" customFormat="1" ht="13.5"/>
    <row r="58" spans="2:6" s="35" customFormat="1" ht="13.5"/>
    <row r="59" spans="2:6" s="35" customFormat="1" ht="13.5"/>
    <row r="60" spans="2:6" s="35" customFormat="1" ht="13.5"/>
    <row r="61" spans="2:6" s="35" customFormat="1" ht="13.5"/>
    <row r="62" spans="2:6" s="35" customFormat="1" ht="13.5">
      <c r="B62" s="36"/>
      <c r="C62" s="36"/>
      <c r="D62" s="36"/>
      <c r="E62" s="36"/>
      <c r="F62" s="36"/>
    </row>
    <row r="63" spans="2:6" s="35" customFormat="1" ht="13.5">
      <c r="B63" s="36"/>
      <c r="C63" s="36"/>
      <c r="D63" s="36"/>
      <c r="E63" s="36"/>
      <c r="F63" s="36"/>
    </row>
    <row r="64" spans="2:6" s="35" customFormat="1" ht="13.5">
      <c r="B64" s="36"/>
      <c r="C64" s="36"/>
      <c r="D64" s="36"/>
      <c r="E64" s="36"/>
      <c r="F64" s="36"/>
    </row>
    <row r="65" spans="2:6" s="35" customFormat="1" ht="13.5">
      <c r="B65" s="36"/>
      <c r="C65" s="36"/>
      <c r="D65" s="36"/>
      <c r="E65" s="36"/>
      <c r="F65" s="36"/>
    </row>
    <row r="66" spans="2:6" s="35" customFormat="1" ht="13.5">
      <c r="B66" s="36"/>
      <c r="C66" s="36"/>
      <c r="D66" s="36"/>
      <c r="E66" s="36"/>
      <c r="F66" s="36"/>
    </row>
    <row r="67" spans="2:6" s="35" customFormat="1" ht="13.5">
      <c r="B67" s="36"/>
      <c r="C67" s="36"/>
      <c r="D67" s="36"/>
      <c r="E67" s="36"/>
      <c r="F67" s="36"/>
    </row>
    <row r="68" spans="2:6" s="35" customFormat="1" ht="13.5">
      <c r="B68" s="36"/>
      <c r="C68" s="36"/>
      <c r="D68" s="36"/>
      <c r="E68" s="36"/>
      <c r="F68" s="36"/>
    </row>
    <row r="69" spans="2:6" s="35" customFormat="1" ht="13.5">
      <c r="B69" s="36"/>
      <c r="C69" s="36"/>
      <c r="D69" s="36"/>
      <c r="E69" s="36"/>
      <c r="F69" s="36"/>
    </row>
    <row r="70" spans="2:6" s="35" customFormat="1" ht="13.5">
      <c r="B70" s="36"/>
      <c r="C70" s="36"/>
      <c r="D70" s="36"/>
      <c r="E70" s="36"/>
      <c r="F70" s="36"/>
    </row>
    <row r="71" spans="2:6" s="35" customFormat="1" ht="13.5">
      <c r="B71" s="36"/>
      <c r="C71" s="36"/>
      <c r="D71" s="36"/>
      <c r="E71" s="36"/>
      <c r="F71" s="36"/>
    </row>
    <row r="72" spans="2:6" s="35" customFormat="1" ht="13.5">
      <c r="B72" s="36"/>
      <c r="C72" s="36"/>
      <c r="D72" s="36"/>
      <c r="E72" s="36"/>
      <c r="F72" s="36"/>
    </row>
    <row r="73" spans="2:6" s="35" customFormat="1" ht="13.5">
      <c r="B73" s="36"/>
      <c r="C73" s="36"/>
      <c r="D73" s="36"/>
      <c r="E73" s="36"/>
      <c r="F73" s="36"/>
    </row>
    <row r="74" spans="2:6" s="35" customFormat="1" ht="13.5">
      <c r="B74" s="36"/>
      <c r="C74" s="36"/>
      <c r="D74" s="36"/>
      <c r="E74" s="36"/>
      <c r="F74" s="36"/>
    </row>
    <row r="75" spans="2:6" s="35" customFormat="1" ht="13.5">
      <c r="B75" s="36"/>
      <c r="C75" s="36"/>
      <c r="D75" s="36"/>
      <c r="E75" s="36"/>
      <c r="F75" s="36"/>
    </row>
    <row r="76" spans="2:6" s="35" customFormat="1" ht="13.5">
      <c r="B76" s="36"/>
      <c r="C76" s="36"/>
      <c r="D76" s="36"/>
      <c r="E76" s="36"/>
      <c r="F76" s="36"/>
    </row>
    <row r="77" spans="2:6" s="35" customFormat="1" ht="13.5">
      <c r="B77" s="36"/>
      <c r="C77" s="36"/>
      <c r="D77" s="36"/>
      <c r="E77" s="36"/>
      <c r="F77" s="36"/>
    </row>
    <row r="78" spans="2:6" s="35" customFormat="1" ht="13.5">
      <c r="B78" s="36"/>
      <c r="C78" s="36"/>
      <c r="D78" s="36"/>
      <c r="E78" s="36"/>
      <c r="F78" s="36"/>
    </row>
    <row r="79" spans="2:6" s="35" customFormat="1" ht="13.5">
      <c r="B79" s="36"/>
      <c r="C79" s="36"/>
      <c r="D79" s="36"/>
      <c r="E79" s="36"/>
      <c r="F79" s="36"/>
    </row>
    <row r="80" spans="2:6" s="35" customFormat="1" ht="13.5">
      <c r="B80" s="36"/>
      <c r="C80" s="36"/>
      <c r="D80" s="36"/>
      <c r="E80" s="36"/>
      <c r="F80" s="36"/>
    </row>
    <row r="81" spans="2:7" s="35" customFormat="1" ht="13.5">
      <c r="B81" s="36"/>
      <c r="C81" s="36"/>
      <c r="D81" s="36"/>
      <c r="E81" s="36"/>
      <c r="F81" s="36"/>
    </row>
    <row r="82" spans="2:7" s="35" customFormat="1" ht="13.5">
      <c r="B82" s="36"/>
      <c r="C82" s="36"/>
      <c r="D82" s="36"/>
      <c r="E82" s="36"/>
      <c r="F82" s="36"/>
      <c r="G82" s="36"/>
    </row>
    <row r="83" spans="2:7" s="35" customFormat="1" ht="13.5">
      <c r="B83" s="36"/>
      <c r="C83" s="36"/>
      <c r="D83" s="36"/>
      <c r="E83" s="36"/>
      <c r="F83" s="36"/>
      <c r="G83" s="36"/>
    </row>
    <row r="84" spans="2:7" s="35" customFormat="1" ht="13.5">
      <c r="B84" s="36"/>
      <c r="C84" s="36"/>
      <c r="D84" s="36"/>
      <c r="E84" s="36"/>
      <c r="F84" s="36"/>
      <c r="G84" s="36"/>
    </row>
  </sheetData>
  <sheetProtection sheet="1" objects="1" scenarios="1"/>
  <mergeCells count="34">
    <mergeCell ref="B20:D20"/>
    <mergeCell ref="E20:F20"/>
    <mergeCell ref="J27:K27"/>
    <mergeCell ref="B18:D18"/>
    <mergeCell ref="E18:F18"/>
    <mergeCell ref="I25:J25"/>
    <mergeCell ref="B19:D19"/>
    <mergeCell ref="E19:F19"/>
    <mergeCell ref="J26:K26"/>
    <mergeCell ref="I21:L21"/>
    <mergeCell ref="B17:D17"/>
    <mergeCell ref="E17:F17"/>
    <mergeCell ref="J19:K19"/>
    <mergeCell ref="J17:K17"/>
    <mergeCell ref="J18:K18"/>
    <mergeCell ref="J15:K15"/>
    <mergeCell ref="L15:M15"/>
    <mergeCell ref="J16:K16"/>
    <mergeCell ref="B13:D13"/>
    <mergeCell ref="E13:F13"/>
    <mergeCell ref="J13:K13"/>
    <mergeCell ref="L13:M13"/>
    <mergeCell ref="E14:F14"/>
    <mergeCell ref="J14:K14"/>
    <mergeCell ref="L14:M14"/>
    <mergeCell ref="B16:E16"/>
    <mergeCell ref="B3:L3"/>
    <mergeCell ref="B5:G5"/>
    <mergeCell ref="I5:L5"/>
    <mergeCell ref="B11:E11"/>
    <mergeCell ref="B12:D12"/>
    <mergeCell ref="E12:F12"/>
    <mergeCell ref="J12:K12"/>
    <mergeCell ref="L12:M12"/>
  </mergeCells>
  <phoneticPr fontId="60" type="noConversion"/>
  <conditionalFormatting sqref="C7:D7">
    <cfRule type="containsText" dxfId="91" priority="2" operator="containsText" text="n/a">
      <formula>NOT(ISERROR(SEARCH("n/a",C7)))</formula>
    </cfRule>
    <cfRule type="expression" dxfId="90" priority="3">
      <formula>LEN(TRIM(C7))=0</formula>
    </cfRule>
  </conditionalFormatting>
  <conditionalFormatting sqref="D8:D9">
    <cfRule type="containsText" dxfId="89" priority="4" operator="containsText" text="n/a">
      <formula>NOT(ISERROR(SEARCH("n/a",D8)))</formula>
    </cfRule>
    <cfRule type="expression" dxfId="88" priority="5">
      <formula>LEN(TRIM(D8))=0</formula>
    </cfRule>
  </conditionalFormatting>
  <conditionalFormatting sqref="E8:F8 G8:G9 L9 J9 C8:C9 J23 J16:K19">
    <cfRule type="expression" dxfId="87" priority="6">
      <formula>LEN(TRIM(C8))=0</formula>
    </cfRule>
  </conditionalFormatting>
  <conditionalFormatting sqref="I6:L6">
    <cfRule type="expression" dxfId="86" priority="7">
      <formula>IF(I6&lt;&gt;"n/a",COUNTIF($I$6:$P$6,I6)&gt;1)</formula>
    </cfRule>
  </conditionalFormatting>
  <conditionalFormatting sqref="I7:L7">
    <cfRule type="expression" dxfId="85" priority="11">
      <formula>IF(I7&lt;&gt;"n/a",COUNTIF($I$7:$P$7,I7)&gt;1)</formula>
    </cfRule>
  </conditionalFormatting>
  <conditionalFormatting sqref="G7">
    <cfRule type="cellIs" dxfId="84" priority="15" operator="lessThan">
      <formula>1500</formula>
    </cfRule>
    <cfRule type="expression" dxfId="83" priority="16">
      <formula>LEN(TRIM(G7))=0</formula>
    </cfRule>
  </conditionalFormatting>
  <conditionalFormatting sqref="I12:M12 I16:K19">
    <cfRule type="expression" dxfId="82" priority="20">
      <formula>$K$11="No"</formula>
    </cfRule>
  </conditionalFormatting>
  <conditionalFormatting sqref="J13:M13">
    <cfRule type="expression" dxfId="81" priority="21">
      <formula>LEN(TRIM(J13))=0</formula>
    </cfRule>
  </conditionalFormatting>
  <conditionalFormatting sqref="I13:M13">
    <cfRule type="expression" dxfId="80" priority="22">
      <formula>$K$11="No"</formula>
    </cfRule>
  </conditionalFormatting>
  <conditionalFormatting sqref="I14">
    <cfRule type="expression" dxfId="79" priority="23">
      <formula>$K$11="No"</formula>
    </cfRule>
  </conditionalFormatting>
  <conditionalFormatting sqref="I15">
    <cfRule type="expression" dxfId="78" priority="24">
      <formula>$K$11="No"</formula>
    </cfRule>
  </conditionalFormatting>
  <conditionalFormatting sqref="J14:M14">
    <cfRule type="expression" dxfId="77" priority="25">
      <formula>LEN(TRIM(J14))=0</formula>
    </cfRule>
  </conditionalFormatting>
  <conditionalFormatting sqref="J14:M14">
    <cfRule type="expression" dxfId="76" priority="26">
      <formula>$K$11="No"</formula>
    </cfRule>
  </conditionalFormatting>
  <conditionalFormatting sqref="J15:M15">
    <cfRule type="expression" dxfId="75" priority="27">
      <formula>LEN(TRIM(J15))=0</formula>
    </cfRule>
  </conditionalFormatting>
  <conditionalFormatting sqref="J15:M15">
    <cfRule type="expression" dxfId="74" priority="28">
      <formula>$K$11="No"</formula>
    </cfRule>
  </conditionalFormatting>
  <conditionalFormatting sqref="I26:K27 I28:L29">
    <cfRule type="expression" dxfId="73" priority="29">
      <formula>$K$25="No"</formula>
    </cfRule>
  </conditionalFormatting>
  <conditionalFormatting sqref="B12:F14">
    <cfRule type="expression" dxfId="72" priority="30">
      <formula>$F$11="No"</formula>
    </cfRule>
  </conditionalFormatting>
  <conditionalFormatting sqref="J23">
    <cfRule type="duplicateValues" dxfId="71" priority="31"/>
  </conditionalFormatting>
  <conditionalFormatting sqref="E14:F14">
    <cfRule type="expression" dxfId="70" priority="32">
      <formula>LEN(TRIM(E14))=0</formula>
    </cfRule>
  </conditionalFormatting>
  <conditionalFormatting sqref="B17:F20">
    <cfRule type="expression" dxfId="69" priority="35">
      <formula>$F$16="No"</formula>
    </cfRule>
  </conditionalFormatting>
  <conditionalFormatting sqref="E19:F19">
    <cfRule type="expression" dxfId="68" priority="36">
      <formula>LEN(TRIM(E19))=0</formula>
    </cfRule>
  </conditionalFormatting>
  <conditionalFormatting sqref="E20:F20">
    <cfRule type="expression" dxfId="67" priority="37">
      <formula>LEN(TRIM(E20))=0</formula>
    </cfRule>
  </conditionalFormatting>
  <conditionalFormatting sqref="E18:F18">
    <cfRule type="expression" dxfId="66" priority="38">
      <formula>LEN(TRIM(E18))=0</formula>
    </cfRule>
  </conditionalFormatting>
  <dataValidations count="10">
    <dataValidation type="custom" allowBlank="1" showInputMessage="1" showErrorMessage="1" errorTitle="Invalid IP Address" error="Please enter a valid IP Address" sqref="F7:F8 I7 K7:L7 F9" xr:uid="{00000000-0002-0000-0200-000000000000}">
      <formula1>IF(ISNUMBER(VALUE(SUBSTITUTE(F7,".",""))),AND(--LEFT(F7,FIND(".",F7)-1)&lt;256,--MID(SUBSTITUTE(F7,".",REPT(" ",99)),99,99)&lt;256,--MID(SUBSTITUTE(F7,".",REPT(" ",99)),198,99)&lt;256,--RIGHT(SUBSTITUTE(F7,".",REPT(" ",99)),99)&lt;256),F7="n/a")</formula1>
      <formula2>0</formula2>
    </dataValidation>
    <dataValidation type="custom" allowBlank="1" showInputMessage="1" showErrorMessage="1" errorTitle="Invalid IP Address " error="Please enter a valid IP Address" sqref="J7" xr:uid="{00000000-0002-0000-0200-000001000000}">
      <formula1>IF(ISNUMBER(VALUE(SUBSTITUTE(J7,".",""))),AND(--LEFT(J7,FIND(".",J7)-1)&lt;256,--MID(SUBSTITUTE(J7,".",REPT(" ",99)),99,99)&lt;256,--MID(SUBSTITUTE(J7,".",REPT(" ",99)),198,99)&lt;256,--RIGHT(SUBSTITUTE(J7,".",REPT(" ",99)),99)&lt;256),J7="n/a")</formula1>
      <formula2>0</formula2>
    </dataValidation>
    <dataValidation type="custom" allowBlank="1" showInputMessage="1" showErrorMessage="1" errorTitle="Invalid IP Address" error="Please enter a valid IP Address" promptTitle="SDDC-DPortGroup-vMotion" prompt="Provide inclusion range" sqref="J8 L8" xr:uid="{00000000-0002-0000-0200-000002000000}">
      <formula1>IF(ISNUMBER(VALUE(SUBSTITUTE(L8,".",""))),AND(--LEFT(L8,FIND(".",L8)-1)&lt;256,--MID(SUBSTITUTE(L8,".",REPT(" ",99)),99,99)&lt;256,--MID(SUBSTITUTE(L8,".",REPT(" ",99)),198,99)&lt;256,--RIGHT(SUBSTITUTE(L8,".",REPT(" ",99)),99)&lt;256),L8="n/a")</formula1>
      <formula2>0</formula2>
    </dataValidation>
    <dataValidation type="custom" allowBlank="1" showInputMessage="1" showErrorMessage="1" errorTitle="Invalid IP Address" error="Please enter a valid IP Address" promptTitle="SDDC-DPortGroup-VSAN" prompt="Provide inclusion range" sqref="J9 L9" xr:uid="{00000000-0002-0000-0200-000003000000}">
      <formula1>IF(ISNUMBER(VALUE(SUBSTITUTE(L9,".",""))),AND(--LEFT(L9,FIND(".",L9)-1)&lt;256,--MID(SUBSTITUTE(L9,".",REPT(" ",99)),99,99)&lt;256,--MID(SUBSTITUTE(L9,".",REPT(" ",99)),198,99)&lt;256,--RIGHT(SUBSTITUTE(L9,".",REPT(" ",99)),99)&lt;256),L9="n/a")</formula1>
      <formula2>0</formula2>
    </dataValidation>
    <dataValidation allowBlank="1" showInputMessage="1" showErrorMessage="1" promptTitle="ESXi Hostname" prompt="The length of the ESXi hostname must not exceed 15 characters, this is to accomodate NetBIOS naming and allows for joining the system to an Active Directory Domain." sqref="I6:L6" xr:uid="{00000000-0002-0000-0200-000004000000}">
      <formula1>0</formula1>
      <formula2>0</formula2>
    </dataValidation>
    <dataValidation allowBlank="1" showInputMessage="1" showErrorMessage="1" promptTitle="ESXi Host Physical NICs" prompt="Enter the physical NICs (vmnic) of the ESXi hosts to be allocated to the vSphere Distributed Switch using comma seperated values with no spaces. E.g. vmnic0,vmnic1" sqref="E19:F19" xr:uid="{00000000-0002-0000-0200-000005000000}">
      <formula1>0</formula1>
      <formula2>0</formula2>
    </dataValidation>
    <dataValidation allowBlank="1" showErrorMessage="1" sqref="E18:F18" xr:uid="{00000000-0002-0000-0200-000006000000}">
      <formula1>0</formula1>
      <formula2>0</formula2>
    </dataValidation>
    <dataValidation type="list" allowBlank="1" showInputMessage="1" showErrorMessage="1" sqref="K25" xr:uid="{00000000-0002-0000-0200-000007000000}">
      <formula1>"No,Yes"</formula1>
      <formula2>0</formula2>
    </dataValidation>
    <dataValidation type="list" allowBlank="1" showInputMessage="1" showErrorMessage="1" errorTitle="Invalid IP Address" error="Please enter a valid IP Address" promptTitle="Validate Thumbprints" prompt="Choosing not to validate the Thumbprints results in the initial connection  to not be trusted, subsequent communication is then trusted. To ensure all communication including the initial connection is trusted provide the SSH and SSL " sqref="K11" xr:uid="{00000000-0002-0000-0200-000008000000}">
      <formula1>"Yes,No"</formula1>
      <formula2>0</formula2>
    </dataValidation>
    <dataValidation type="list" allowBlank="1" showInputMessage="1" showErrorMessage="1" sqref="F11 F16" xr:uid="{00000000-0002-0000-0200-000009000000}">
      <formula1>"Yes,No"</formula1>
      <formula2>0</formula2>
    </dataValidation>
  </dataValidations>
  <pageMargins left="0.75" right="0.75" top="1" bottom="1" header="0.51180555555555496" footer="0.51180555555555496"/>
  <pageSetup firstPageNumber="0" orientation="portrait" horizontalDpi="300" verticalDpi="300" r:id="rId1"/>
  <headerFooter>
    <oddHeader>&amp;L&amp;"Calibri"&amp;10&amp;K737373Dell Customer Communication - Confidential&amp;1#</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topLeftCell="A5" zoomScaleNormal="100" workbookViewId="0">
      <selection activeCell="A14" sqref="A14"/>
    </sheetView>
  </sheetViews>
  <sheetFormatPr defaultColWidth="11.42578125" defaultRowHeight="15"/>
  <cols>
    <col min="1" max="1" width="21.140625" customWidth="1"/>
    <col min="3" max="3" width="83.140625" customWidth="1"/>
  </cols>
  <sheetData>
    <row r="1" spans="1:3">
      <c r="A1" s="92" t="s">
        <v>78</v>
      </c>
      <c r="C1" s="92" t="s">
        <v>79</v>
      </c>
    </row>
    <row r="2" spans="1:3">
      <c r="A2" t="s">
        <v>45</v>
      </c>
      <c r="C2" s="93" t="e">
        <f>"vSphere Distributed Switch = One (1)          /          Physical NICs = Two (2)
Primary vDS - "&amp;'Hosts and Networks'!E13&amp;" (Created by VxRail Manager)
     - System Traffic (Management, vSAN, vMotion) e.g. "&amp;'Hosts and Networks'!G14&amp;"
     - Overlay Traffic (Host, Edge and Uplinks) e.g "&amp;'Hosts and Networks'!G14</f>
        <v>#REF!</v>
      </c>
    </row>
    <row r="3" spans="1:3">
      <c r="A3" t="s">
        <v>80</v>
      </c>
      <c r="C3" s="93" t="e">
        <f>"vSphere Distributed Switch = One (1)          /          Physical NICs = Four (4)
Primary vDS - "&amp;'Hosts and Networks'!E13&amp;" (Created by VxRail Manager)
     - System Traffic (Management) e.g. "&amp;'Hosts and Networks'!G14&amp;"
     - vSAN, vMotion e.g. "&amp;'Hosts and Networks'!G15&amp;"
     - Overlay Traffic (Host, Edge and Uplinks) e.g. "&amp;'Hosts and Networks'!G14&amp;""</f>
        <v>#REF!</v>
      </c>
    </row>
    <row r="4" spans="1:3">
      <c r="A4" t="s">
        <v>81</v>
      </c>
      <c r="C4" s="93" t="e">
        <f>"vSphere Distributed Switch = Two (2)          /          Physical NICs = Four (4)
Primary vDS - "&amp;'Hosts and Networks'!E13&amp;" (Created by VxRail Manager)
      - System Traffic (Management, vSAN, vMotion) e.g. "&amp;'Hosts and Networks'!G14&amp;"
Secondary vDS - "&amp;'Hosts and Networks'!#REF!&amp;" (Created by Cloud Builder)
     - Overlay Traffic (Host, Edge and Uplinks) e.g. "&amp;'Hosts and Networks'!G18</f>
        <v>#REF!</v>
      </c>
    </row>
    <row r="5" spans="1:3">
      <c r="A5" t="s">
        <v>82</v>
      </c>
      <c r="C5" s="93" t="e">
        <f>"vSphere Distributed Switch = Two (2)          /          Physical NICs = Six (6)
Primary vDS - "&amp;'Hosts and Networks'!E13&amp;" (Created by VxRail Manager)
     - System Traffic (Management) e.g. "&amp;'Hosts and Networks'!G14&amp;"
     - vSAN, vMotion e.g. "&amp;'Hosts and Networks'!G15&amp;"
Secondary vDS - "&amp;'Hosts and Networks'!#REF!&amp;" (Created by Cloud Builder)
     -  Overlay Traffic (Host, Edge and Uplinks) e.g. "&amp;'Hosts and Networks'!G18</f>
        <v>#REF!</v>
      </c>
    </row>
    <row r="6" spans="1:3">
      <c r="A6" t="s">
        <v>83</v>
      </c>
      <c r="C6" s="93" t="e">
        <f>"vSphere Distributed Switch = Two (2)          /          Physical NICs = Six (6)
Primary vDS - "&amp;'Hosts and Networks'!E13&amp;" (Created by VxRail Manager)
     - System Traffic (Management, vSAN, vMotion) e.g. "&amp;'Hosts and Networks'!#REF!&amp;"
Secondary vDS - "&amp;'Hosts and Networks'!#REF!&amp;" (Created by Cloud Builder)
     - Overlay Traffic (Host, Edge and Uplinks) e.g. "&amp;'Hosts and Networks'!#REF!</f>
        <v>#REF!</v>
      </c>
    </row>
    <row r="7" spans="1:3">
      <c r="A7" t="s">
        <v>84</v>
      </c>
    </row>
    <row r="8" spans="1:3">
      <c r="A8" t="s">
        <v>85</v>
      </c>
    </row>
    <row r="9" spans="1:3">
      <c r="A9" t="s">
        <v>86</v>
      </c>
    </row>
    <row r="10" spans="1:3">
      <c r="A10" t="s">
        <v>87</v>
      </c>
    </row>
    <row r="11" spans="1:3">
      <c r="A11" t="s">
        <v>88</v>
      </c>
    </row>
    <row r="12" spans="1:3">
      <c r="A12" s="93" t="s">
        <v>89</v>
      </c>
    </row>
    <row r="13" spans="1:3">
      <c r="A13" s="93" t="s">
        <v>90</v>
      </c>
    </row>
    <row r="14" spans="1:3">
      <c r="A14" t="s">
        <v>91</v>
      </c>
    </row>
    <row r="15" spans="1:3">
      <c r="A15" t="s">
        <v>92</v>
      </c>
    </row>
    <row r="16" spans="1:3">
      <c r="A16" t="s">
        <v>93</v>
      </c>
    </row>
    <row r="17" spans="1:1">
      <c r="A17" t="s">
        <v>94</v>
      </c>
    </row>
    <row r="18" spans="1:1">
      <c r="A18" t="s">
        <v>95</v>
      </c>
    </row>
    <row r="19" spans="1:1">
      <c r="A19" t="s">
        <v>96</v>
      </c>
    </row>
    <row r="20" spans="1:1">
      <c r="A20" t="s">
        <v>97</v>
      </c>
    </row>
    <row r="21" spans="1:1">
      <c r="A21" t="s">
        <v>98</v>
      </c>
    </row>
    <row r="22" spans="1:1">
      <c r="A22" t="s">
        <v>99</v>
      </c>
    </row>
  </sheetData>
  <sheetProtection sheet="1" objects="1" scenarios="1"/>
  <pageMargins left="0.7" right="0.7" top="0.75" bottom="0.75" header="0.51180555555555496" footer="0.51180555555555496"/>
  <pageSetup paperSize="9" firstPageNumber="0" orientation="portrait" horizontalDpi="300" verticalDpi="300" r:id="rId1"/>
  <headerFooter>
    <oddHeader>&amp;L&amp;"Calibri"&amp;10&amp;K737373Dell Customer Communication - 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J43"/>
  <sheetViews>
    <sheetView showGridLines="0" zoomScale="115" zoomScaleNormal="115" workbookViewId="0">
      <pane ySplit="4" topLeftCell="A5" activePane="bottomLeft" state="frozen"/>
      <selection pane="bottomLeft" activeCell="F12" sqref="F12"/>
    </sheetView>
  </sheetViews>
  <sheetFormatPr defaultColWidth="9" defaultRowHeight="15"/>
  <cols>
    <col min="1" max="1" width="1.140625" style="94" customWidth="1"/>
    <col min="2" max="2" width="3.28515625" style="94" customWidth="1"/>
    <col min="3" max="3" width="45.85546875" style="94" customWidth="1"/>
    <col min="4" max="4" width="1.7109375" style="94" customWidth="1"/>
    <col min="5" max="5" width="42.85546875" style="94" customWidth="1"/>
    <col min="6" max="6" width="16.85546875" style="94" customWidth="1"/>
    <col min="7" max="7" width="18.85546875" style="94" customWidth="1"/>
    <col min="8" max="8" width="2.85546875" style="94" customWidth="1"/>
    <col min="9" max="9" width="41.28515625" style="94" customWidth="1"/>
    <col min="10" max="10" width="16.85546875" style="94" customWidth="1"/>
    <col min="11" max="11" width="17.28515625" style="94" customWidth="1"/>
    <col min="12" max="1024" width="9" style="94"/>
  </cols>
  <sheetData>
    <row r="1" spans="2:11" ht="48" customHeight="1">
      <c r="B1" s="95"/>
      <c r="C1" s="96"/>
      <c r="E1" s="94" t="s">
        <v>5</v>
      </c>
    </row>
    <row r="2" spans="2:11" ht="3" customHeight="1">
      <c r="B2" s="95"/>
      <c r="C2" s="96"/>
    </row>
    <row r="3" spans="2:11" ht="60" customHeight="1">
      <c r="B3" s="166" t="s">
        <v>100</v>
      </c>
      <c r="C3" s="166"/>
      <c r="D3" s="166"/>
      <c r="E3" s="166"/>
      <c r="F3" s="166"/>
      <c r="G3" s="166"/>
      <c r="H3" s="166"/>
      <c r="I3" s="166"/>
      <c r="J3" s="166"/>
      <c r="K3" s="166"/>
    </row>
    <row r="4" spans="2:11" s="18" customFormat="1" ht="2.1" customHeight="1">
      <c r="B4" s="16"/>
      <c r="C4" s="16"/>
      <c r="I4" s="94"/>
      <c r="J4" s="94"/>
    </row>
    <row r="5" spans="2:11" s="18" customFormat="1" ht="20.100000000000001" customHeight="1">
      <c r="B5" s="97" t="s">
        <v>101</v>
      </c>
      <c r="C5" s="98"/>
      <c r="E5" s="75" t="s">
        <v>102</v>
      </c>
      <c r="F5" s="161" t="s">
        <v>56</v>
      </c>
      <c r="G5" s="161"/>
      <c r="H5" s="99"/>
      <c r="I5" s="100" t="s">
        <v>103</v>
      </c>
      <c r="J5" s="167" t="s">
        <v>56</v>
      </c>
      <c r="K5" s="167"/>
    </row>
    <row r="6" spans="2:11" s="18" customFormat="1" ht="15" customHeight="1">
      <c r="B6" s="101" t="str">
        <f>IF((AND(F6&lt;&gt;"",F7&lt;&gt;"",J6&lt;&gt;"")),"✓","")</f>
        <v>✓</v>
      </c>
      <c r="C6" s="18" t="s">
        <v>104</v>
      </c>
      <c r="E6" s="76" t="s">
        <v>105</v>
      </c>
      <c r="F6" s="150" t="s">
        <v>376</v>
      </c>
      <c r="G6" s="150"/>
      <c r="H6" s="102"/>
      <c r="I6" s="76" t="s">
        <v>106</v>
      </c>
      <c r="J6" s="168" t="s">
        <v>379</v>
      </c>
      <c r="K6" s="168"/>
    </row>
    <row r="7" spans="2:11" s="18" customFormat="1" ht="15" customHeight="1">
      <c r="B7" s="101" t="str">
        <f>IF((AND(F8&lt;&gt;"",F9&lt;&gt;"")),"✓","")</f>
        <v>✓</v>
      </c>
      <c r="C7" s="18" t="s">
        <v>107</v>
      </c>
      <c r="E7" s="76" t="s">
        <v>108</v>
      </c>
      <c r="F7" s="150" t="s">
        <v>377</v>
      </c>
      <c r="G7" s="150"/>
      <c r="H7" s="16"/>
    </row>
    <row r="8" spans="2:11" s="18" customFormat="1" ht="15" customHeight="1">
      <c r="E8" s="76" t="s">
        <v>109</v>
      </c>
      <c r="F8" s="150" t="s">
        <v>378</v>
      </c>
      <c r="G8" s="150"/>
      <c r="H8" s="16"/>
      <c r="I8" s="164" t="s">
        <v>110</v>
      </c>
      <c r="J8" s="164"/>
      <c r="K8" s="103" t="s">
        <v>67</v>
      </c>
    </row>
    <row r="9" spans="2:11" s="18" customFormat="1" ht="15" customHeight="1">
      <c r="E9" s="76" t="s">
        <v>111</v>
      </c>
      <c r="F9" s="150" t="s">
        <v>45</v>
      </c>
      <c r="G9" s="150"/>
      <c r="H9" s="16"/>
      <c r="I9" s="165" t="s">
        <v>112</v>
      </c>
      <c r="J9" s="165"/>
      <c r="K9" s="104" t="s">
        <v>67</v>
      </c>
    </row>
    <row r="10" spans="2:11" s="18" customFormat="1" ht="15" customHeight="1">
      <c r="H10" s="16"/>
    </row>
    <row r="11" spans="2:11" s="18" customFormat="1" ht="20.100000000000001" customHeight="1">
      <c r="B11" s="97" t="s">
        <v>113</v>
      </c>
      <c r="C11" s="105"/>
      <c r="E11" s="106" t="s">
        <v>113</v>
      </c>
      <c r="F11" s="161" t="s">
        <v>56</v>
      </c>
      <c r="G11" s="161"/>
    </row>
    <row r="12" spans="2:11" s="18" customFormat="1" ht="15" customHeight="1">
      <c r="B12" s="107" t="str">
        <f>IF((AND(F12&lt;&gt;"",G12&lt;&gt;"")),"✓","")</f>
        <v>✓</v>
      </c>
      <c r="C12" s="18" t="s">
        <v>114</v>
      </c>
      <c r="E12" s="76" t="s">
        <v>115</v>
      </c>
      <c r="F12" s="131" t="s">
        <v>383</v>
      </c>
      <c r="G12" s="108" t="s">
        <v>384</v>
      </c>
    </row>
    <row r="13" spans="2:11" s="18" customFormat="1" ht="15" customHeight="1"/>
    <row r="14" spans="2:11" s="18" customFormat="1" ht="15" customHeight="1">
      <c r="E14" s="127" t="s">
        <v>350</v>
      </c>
      <c r="F14" s="169" t="s">
        <v>67</v>
      </c>
      <c r="G14" s="170"/>
      <c r="I14" s="171" t="str">
        <f>IF(F14="Yes","Selecting VMware Cloud Foundation+ subscription leads to deploying VMware Cloud Foundation in subscription-ready mode where switching to perpetual licensing mode post-deployment is not supported."&amp;" To switch to perpetual licensing mode, you will have to delete the vSAN partitions, re-image the ESXi hosts, and start the bring-up process again.","")</f>
        <v/>
      </c>
      <c r="J14" s="171"/>
      <c r="K14" s="171"/>
    </row>
    <row r="15" spans="2:11" s="18" customFormat="1" ht="20.100000000000001" customHeight="1">
      <c r="B15" s="97" t="s">
        <v>116</v>
      </c>
      <c r="C15" s="105"/>
      <c r="E15" s="109" t="s">
        <v>117</v>
      </c>
      <c r="F15" s="162" t="s">
        <v>118</v>
      </c>
      <c r="G15" s="162"/>
      <c r="I15" s="171"/>
      <c r="J15" s="171"/>
      <c r="K15" s="171"/>
    </row>
    <row r="16" spans="2:11" s="18" customFormat="1" ht="15" customHeight="1">
      <c r="B16" s="101" t="str">
        <f>IF(F16&lt;&gt;"","✓","")</f>
        <v/>
      </c>
      <c r="C16" s="128" t="s">
        <v>352</v>
      </c>
      <c r="E16" s="109" t="s">
        <v>120</v>
      </c>
      <c r="F16" s="163"/>
      <c r="G16" s="163"/>
      <c r="I16" s="171"/>
      <c r="J16" s="171"/>
      <c r="K16" s="171"/>
    </row>
    <row r="17" spans="2:12" s="18" customFormat="1" ht="15" customHeight="1">
      <c r="E17" s="109" t="s">
        <v>121</v>
      </c>
      <c r="F17" s="163"/>
      <c r="G17" s="163"/>
      <c r="I17" s="171"/>
      <c r="J17" s="171"/>
      <c r="K17" s="171"/>
    </row>
    <row r="18" spans="2:12" s="18" customFormat="1" ht="15" customHeight="1">
      <c r="E18" s="109" t="s">
        <v>122</v>
      </c>
      <c r="F18" s="163"/>
      <c r="G18" s="163"/>
    </row>
    <row r="19" spans="2:12" s="18" customFormat="1" ht="15" customHeight="1">
      <c r="E19" s="109" t="s">
        <v>20</v>
      </c>
      <c r="F19" s="163"/>
      <c r="G19" s="163"/>
    </row>
    <row r="20" spans="2:12" s="18" customFormat="1" ht="15" customHeight="1"/>
    <row r="21" spans="2:12" s="18" customFormat="1" ht="21">
      <c r="B21" s="97" t="s">
        <v>123</v>
      </c>
      <c r="C21" s="105"/>
      <c r="E21" s="76" t="s">
        <v>122</v>
      </c>
      <c r="F21" s="110" t="s">
        <v>57</v>
      </c>
      <c r="G21" s="110" t="s">
        <v>124</v>
      </c>
      <c r="H21" s="102"/>
      <c r="I21" s="76" t="s">
        <v>125</v>
      </c>
      <c r="J21" s="161" t="s">
        <v>56</v>
      </c>
      <c r="K21" s="161"/>
    </row>
    <row r="22" spans="2:12" s="18" customFormat="1" ht="15" customHeight="1">
      <c r="B22" s="101" t="str">
        <f>IF(Credentials!C8&lt;&gt;"","✓","")</f>
        <v>✓</v>
      </c>
      <c r="C22" s="18" t="s">
        <v>119</v>
      </c>
      <c r="E22" s="76" t="s">
        <v>126</v>
      </c>
      <c r="F22" s="132" t="str">
        <f>LOWER(GLOBAL_PREFIX) &amp; "-m1-vc"</f>
        <v>site2-m1-vc</v>
      </c>
      <c r="G22" s="108" t="s">
        <v>385</v>
      </c>
      <c r="H22" s="102"/>
      <c r="I22" s="76" t="s">
        <v>127</v>
      </c>
      <c r="J22" s="150" t="s">
        <v>380</v>
      </c>
      <c r="K22" s="150"/>
    </row>
    <row r="23" spans="2:12" s="18" customFormat="1" ht="15" customHeight="1">
      <c r="B23" s="107" t="str">
        <f>IF((AND(F22&lt;&gt;"",G22&lt;&gt;"")),"✓","")</f>
        <v>✓</v>
      </c>
      <c r="C23" s="18" t="s">
        <v>128</v>
      </c>
      <c r="F23" s="16"/>
      <c r="H23" s="16"/>
      <c r="I23" s="76" t="s">
        <v>129</v>
      </c>
      <c r="J23" s="150" t="s">
        <v>381</v>
      </c>
      <c r="K23" s="150"/>
    </row>
    <row r="24" spans="2:12" s="18" customFormat="1" ht="15" customHeight="1">
      <c r="B24" s="107" t="str">
        <f>IF((AND(J22&lt;&gt;"",J23&lt;&gt;"")),"✓","")</f>
        <v>✓</v>
      </c>
      <c r="C24" s="18" t="s">
        <v>130</v>
      </c>
      <c r="E24" s="76" t="s">
        <v>131</v>
      </c>
      <c r="F24" s="168" t="s">
        <v>132</v>
      </c>
      <c r="G24" s="168"/>
      <c r="H24" s="16"/>
    </row>
    <row r="25" spans="2:12" s="18" customFormat="1" ht="15" customHeight="1">
      <c r="B25" s="107" t="str">
        <f>IF((AND(F26&lt;&gt;"",F27&lt;&gt;"",F28&lt;&gt;"",F29&lt;&gt;"")),"✓","")</f>
        <v>✓</v>
      </c>
      <c r="C25" s="18" t="s">
        <v>133</v>
      </c>
      <c r="E25" s="76" t="s">
        <v>134</v>
      </c>
      <c r="F25" s="161" t="s">
        <v>56</v>
      </c>
      <c r="G25" s="161"/>
      <c r="I25" s="111" t="s">
        <v>135</v>
      </c>
      <c r="J25" s="161" t="s">
        <v>56</v>
      </c>
      <c r="K25" s="161"/>
    </row>
    <row r="26" spans="2:12" s="18" customFormat="1" ht="13.5">
      <c r="B26" s="112" t="str">
        <f>IF(AND('Hosts and Networks'!E13&lt;&gt;"",'Hosts and Networks'!E14&lt;&gt;""),"✓","")</f>
        <v>✓</v>
      </c>
      <c r="C26" s="18" t="s">
        <v>136</v>
      </c>
      <c r="E26" s="76" t="s">
        <v>137</v>
      </c>
      <c r="F26" s="150" t="s">
        <v>138</v>
      </c>
      <c r="G26" s="150"/>
      <c r="H26" s="16"/>
      <c r="I26" s="76" t="s">
        <v>139</v>
      </c>
      <c r="J26" s="150" t="s">
        <v>382</v>
      </c>
      <c r="K26" s="150"/>
    </row>
    <row r="27" spans="2:12" s="18" customFormat="1" ht="15" customHeight="1">
      <c r="B27" s="112" t="str">
        <f>IF(AND(J26&lt;&gt;""),"✓","")</f>
        <v>✓</v>
      </c>
      <c r="C27" s="18" t="s">
        <v>140</v>
      </c>
      <c r="E27" s="76" t="s">
        <v>141</v>
      </c>
      <c r="F27" s="150" t="s">
        <v>142</v>
      </c>
      <c r="G27" s="150"/>
      <c r="H27" s="16"/>
    </row>
    <row r="28" spans="2:12" s="18" customFormat="1" ht="15" customHeight="1">
      <c r="E28" s="76" t="s">
        <v>143</v>
      </c>
      <c r="F28" s="150" t="s">
        <v>144</v>
      </c>
      <c r="G28" s="150"/>
      <c r="H28" s="16"/>
      <c r="I28" s="171" t="str">
        <f>IF(F24="Standard","You have selected the Standard Architecture, as a result VMware Cloud Builder will not create vSphere Resource Pools within the Management Domain","")</f>
        <v>You have selected the Standard Architecture, as a result VMware Cloud Builder will not create vSphere Resource Pools within the Management Domain</v>
      </c>
      <c r="J28" s="171"/>
      <c r="K28" s="171"/>
    </row>
    <row r="29" spans="2:12" s="18" customFormat="1" ht="15" customHeight="1">
      <c r="E29" s="76" t="s">
        <v>145</v>
      </c>
      <c r="F29" s="150" t="s">
        <v>146</v>
      </c>
      <c r="G29" s="150"/>
      <c r="H29" s="16"/>
      <c r="I29" s="171"/>
      <c r="J29" s="171"/>
      <c r="K29" s="171"/>
    </row>
    <row r="30" spans="2:12" s="18" customFormat="1" ht="15" customHeight="1">
      <c r="H30" s="16"/>
      <c r="I30" s="113"/>
      <c r="J30" s="113"/>
      <c r="K30" s="113"/>
    </row>
    <row r="31" spans="2:12" s="18" customFormat="1" ht="20.100000000000001" customHeight="1">
      <c r="B31" s="97" t="s">
        <v>20</v>
      </c>
      <c r="C31" s="105"/>
      <c r="E31" s="75" t="s">
        <v>147</v>
      </c>
      <c r="F31" s="110" t="s">
        <v>57</v>
      </c>
      <c r="G31" s="110" t="s">
        <v>124</v>
      </c>
      <c r="H31" s="114"/>
      <c r="I31" s="94"/>
      <c r="J31" s="94"/>
      <c r="K31" s="94"/>
    </row>
    <row r="32" spans="2:12" s="18" customFormat="1" ht="15" customHeight="1">
      <c r="B32" s="107" t="str">
        <f>IF((AND(F32&lt;&gt;"",F33&lt;&gt;"",F34&lt;&gt;"",F35&lt;&gt;"",G32&lt;&gt;"",G33&lt;&gt;"",G34&lt;&gt;"",G35&lt;&gt;"")),"✓","")</f>
        <v>✓</v>
      </c>
      <c r="C32" s="18" t="s">
        <v>148</v>
      </c>
      <c r="E32" s="76" t="s">
        <v>149</v>
      </c>
      <c r="F32" s="73" t="s">
        <v>386</v>
      </c>
      <c r="G32" s="108" t="s">
        <v>390</v>
      </c>
      <c r="H32" s="114"/>
      <c r="I32" s="94"/>
      <c r="J32" s="94"/>
      <c r="K32" s="94"/>
      <c r="L32" s="94"/>
    </row>
    <row r="33" spans="2:12" s="18" customFormat="1" ht="15" customHeight="1">
      <c r="E33" s="76" t="s">
        <v>150</v>
      </c>
      <c r="F33" s="73" t="s">
        <v>387</v>
      </c>
      <c r="G33" s="108" t="s">
        <v>391</v>
      </c>
      <c r="H33" s="115" t="b">
        <f>MID(G34,FIND(".",G34,FIND(".",G34,FIND(".",G34)+1)+1)+1,LEN(G34)-FIND(".",G34,FIND(".",G34,FIND(".",G34)+1)+1))-(MID(G33,FIND(".",G33,FIND(".",G33,FIND(".",G33)+1)+1)+1,LEN(G33)-FIND(".",G33,FIND(".",G33,FIND(".",G33)+1)+1))-1)&lt;3</f>
        <v>1</v>
      </c>
      <c r="I33" s="94"/>
      <c r="J33" s="94"/>
      <c r="K33" s="94"/>
      <c r="L33" s="94"/>
    </row>
    <row r="34" spans="2:12" s="18" customFormat="1" ht="15" customHeight="1">
      <c r="E34" s="76" t="s">
        <v>151</v>
      </c>
      <c r="F34" s="73" t="s">
        <v>388</v>
      </c>
      <c r="G34" s="108" t="s">
        <v>392</v>
      </c>
      <c r="H34" s="115"/>
      <c r="I34" s="94"/>
      <c r="J34" s="94"/>
      <c r="K34" s="94"/>
      <c r="L34" s="94"/>
    </row>
    <row r="35" spans="2:12" s="18" customFormat="1" ht="15" customHeight="1">
      <c r="E35" s="76" t="s">
        <v>152</v>
      </c>
      <c r="F35" s="73" t="s">
        <v>389</v>
      </c>
      <c r="G35" s="108" t="s">
        <v>393</v>
      </c>
      <c r="H35" s="115" t="e">
        <f>MID(#REF!,FIND(".",#REF!,FIND(".",#REF!,FIND(".",#REF!)+1)+1)+1,LEN(#REF!)-FIND(".",#REF!,FIND(".",#REF!,FIND(".",#REF!)+1)+1))-(MID(#REF!,FIND(".",#REF!,FIND(".",#REF!,FIND(".",#REF!)+1)+1)+1,LEN(#REF!)-FIND(".",#REF!,FIND(".",#REF!,FIND(".",#REF!)+1)+1))-1)&lt;((8-#REF!)*2)</f>
        <v>#REF!</v>
      </c>
      <c r="I35" s="94"/>
      <c r="J35" s="94"/>
      <c r="K35" s="94"/>
      <c r="L35" s="94"/>
    </row>
    <row r="36" spans="2:12" s="18" customFormat="1" ht="15" customHeight="1">
      <c r="E36" s="76" t="s">
        <v>153</v>
      </c>
      <c r="F36" s="73" t="s">
        <v>154</v>
      </c>
      <c r="H36" s="115"/>
      <c r="I36" s="94"/>
      <c r="J36" s="94"/>
      <c r="K36" s="94"/>
      <c r="L36" s="94"/>
    </row>
    <row r="37" spans="2:12" s="18" customFormat="1" ht="15" customHeight="1">
      <c r="H37" s="16"/>
      <c r="I37" s="94"/>
      <c r="J37" s="94"/>
      <c r="K37" s="94"/>
      <c r="L37" s="94"/>
    </row>
    <row r="38" spans="2:12" s="18" customFormat="1" ht="20.100000000000001" customHeight="1">
      <c r="B38" s="97" t="s">
        <v>26</v>
      </c>
      <c r="C38" s="105"/>
      <c r="E38" s="75" t="s">
        <v>26</v>
      </c>
      <c r="F38" s="161" t="s">
        <v>56</v>
      </c>
      <c r="G38" s="161"/>
      <c r="H38" s="16"/>
      <c r="I38" s="94"/>
      <c r="J38" s="94"/>
      <c r="K38" s="94"/>
      <c r="L38" s="94"/>
    </row>
    <row r="39" spans="2:12" ht="15" customHeight="1">
      <c r="B39" s="107" t="str">
        <f>IF((AND(F39&lt;&gt;"",F40&lt;&gt;"")),"✓","")</f>
        <v>✓</v>
      </c>
      <c r="C39" s="18" t="s">
        <v>155</v>
      </c>
      <c r="E39" s="76" t="s">
        <v>156</v>
      </c>
      <c r="F39" s="172" t="s">
        <v>394</v>
      </c>
      <c r="G39" s="172"/>
    </row>
    <row r="40" spans="2:12" ht="15" customHeight="1">
      <c r="E40" s="76" t="s">
        <v>157</v>
      </c>
      <c r="F40" s="173" t="s">
        <v>395</v>
      </c>
      <c r="G40" s="173"/>
    </row>
    <row r="41" spans="2:12" ht="15" customHeight="1"/>
    <row r="42" spans="2:12" ht="15" customHeight="1">
      <c r="E42" s="75" t="s">
        <v>158</v>
      </c>
      <c r="F42" s="150" t="s">
        <v>396</v>
      </c>
      <c r="G42" s="150"/>
    </row>
    <row r="43" spans="2:12" ht="15" customHeight="1"/>
  </sheetData>
  <sheetProtection sheet="1" objects="1" scenarios="1"/>
  <mergeCells count="34">
    <mergeCell ref="F39:G39"/>
    <mergeCell ref="F40:G40"/>
    <mergeCell ref="F42:G42"/>
    <mergeCell ref="F27:G27"/>
    <mergeCell ref="F28:G28"/>
    <mergeCell ref="J23:K23"/>
    <mergeCell ref="I28:K29"/>
    <mergeCell ref="F29:G29"/>
    <mergeCell ref="F38:G38"/>
    <mergeCell ref="F24:G24"/>
    <mergeCell ref="F25:G25"/>
    <mergeCell ref="J25:K25"/>
    <mergeCell ref="F26:G26"/>
    <mergeCell ref="J26:K26"/>
    <mergeCell ref="F18:G18"/>
    <mergeCell ref="F14:G14"/>
    <mergeCell ref="F19:G19"/>
    <mergeCell ref="J21:K21"/>
    <mergeCell ref="J22:K22"/>
    <mergeCell ref="I14:K17"/>
    <mergeCell ref="I8:J8"/>
    <mergeCell ref="F9:G9"/>
    <mergeCell ref="I9:J9"/>
    <mergeCell ref="B3:K3"/>
    <mergeCell ref="F5:G5"/>
    <mergeCell ref="J5:K5"/>
    <mergeCell ref="F6:G6"/>
    <mergeCell ref="J6:K6"/>
    <mergeCell ref="F11:G11"/>
    <mergeCell ref="F15:G15"/>
    <mergeCell ref="F16:G16"/>
    <mergeCell ref="F17:G17"/>
    <mergeCell ref="F7:G7"/>
    <mergeCell ref="F8:G8"/>
  </mergeCells>
  <phoneticPr fontId="60" type="noConversion"/>
  <conditionalFormatting sqref="B42:B298 B5 B7 B31:B32 B39 B17:B26">
    <cfRule type="cellIs" dxfId="65" priority="5" operator="equal">
      <formula>"✓"</formula>
    </cfRule>
  </conditionalFormatting>
  <conditionalFormatting sqref="B26">
    <cfRule type="cellIs" dxfId="64" priority="6" operator="equal">
      <formula>"✓"</formula>
    </cfRule>
  </conditionalFormatting>
  <conditionalFormatting sqref="B6">
    <cfRule type="cellIs" dxfId="63" priority="7" operator="equal">
      <formula>"✓"</formula>
    </cfRule>
  </conditionalFormatting>
  <conditionalFormatting sqref="J26:K26 G22">
    <cfRule type="expression" dxfId="62" priority="8">
      <formula>LEN(TRIM(G22))=0</formula>
    </cfRule>
  </conditionalFormatting>
  <conditionalFormatting sqref="F7">
    <cfRule type="expression" dxfId="61" priority="9">
      <formula>LEN(TRIM(F7))=0</formula>
    </cfRule>
    <cfRule type="containsText" dxfId="60" priority="10" operator="containsText" text="n/a">
      <formula>NOT(ISERROR(SEARCH("n/a",F7)))</formula>
    </cfRule>
    <cfRule type="expression" dxfId="59" priority="11">
      <formula>IF(LEN(F7)-LEN(SUBSTITUTE(F7,".",""))=3,0,1)</formula>
    </cfRule>
  </conditionalFormatting>
  <conditionalFormatting sqref="F8 J22:J23">
    <cfRule type="containsText" dxfId="58" priority="12" operator="containsText" text="n/a">
      <formula>NOT(ISERROR(SEARCH("n/a",F8)))</formula>
    </cfRule>
    <cfRule type="expression" dxfId="57" priority="13">
      <formula>LEN(TRIM(F8))=0</formula>
    </cfRule>
  </conditionalFormatting>
  <conditionalFormatting sqref="F32">
    <cfRule type="containsText" dxfId="56" priority="14" operator="containsText" text="n/a">
      <formula>NOT(ISERROR(SEARCH("n/a",F32)))</formula>
    </cfRule>
    <cfRule type="expression" dxfId="55" priority="15">
      <formula>LEN(TRIM(F32))=0</formula>
    </cfRule>
  </conditionalFormatting>
  <conditionalFormatting sqref="F42:G42">
    <cfRule type="containsText" dxfId="54" priority="19" operator="containsText" text="n/a">
      <formula>NOT(ISERROR(SEARCH("n/a",F42)))</formula>
    </cfRule>
    <cfRule type="expression" dxfId="53" priority="20">
      <formula>LEN(TRIM(F42))=0</formula>
    </cfRule>
  </conditionalFormatting>
  <conditionalFormatting sqref="G32:G35">
    <cfRule type="expression" dxfId="52" priority="21">
      <formula>LEN(TRIM(G32))=0</formula>
    </cfRule>
  </conditionalFormatting>
  <conditionalFormatting sqref="F9">
    <cfRule type="expression" dxfId="51" priority="22">
      <formula>LEN(TRIM(F9))=0</formula>
    </cfRule>
    <cfRule type="containsText" dxfId="50" priority="23" operator="containsText" text="n/a">
      <formula>NOT(ISERROR(SEARCH("n/a",F9)))</formula>
    </cfRule>
  </conditionalFormatting>
  <conditionalFormatting sqref="B38">
    <cfRule type="cellIs" dxfId="49" priority="24" operator="equal">
      <formula>"✓"</formula>
    </cfRule>
  </conditionalFormatting>
  <conditionalFormatting sqref="F6">
    <cfRule type="expression" dxfId="48" priority="25">
      <formula>IF(LEN(F6)-LEN(SUBSTITUTE(F6,".",""))=3,0,1)</formula>
    </cfRule>
    <cfRule type="containsText" dxfId="47" priority="26" operator="containsText" text="n/a">
      <formula>NOT(ISERROR(SEARCH("n/a",F6)))</formula>
    </cfRule>
    <cfRule type="expression" dxfId="46" priority="27">
      <formula>LEN(TRIM(F6))=0</formula>
    </cfRule>
  </conditionalFormatting>
  <conditionalFormatting sqref="J6:K6">
    <cfRule type="containsText" dxfId="45" priority="28" operator="containsText" text="n/a">
      <formula>NOT(ISERROR(SEARCH("n/a",J6)))</formula>
    </cfRule>
    <cfRule type="expression" dxfId="44" priority="29">
      <formula>LEN(TRIM(J6))=0</formula>
    </cfRule>
  </conditionalFormatting>
  <conditionalFormatting sqref="J26:K26">
    <cfRule type="top10" dxfId="43" priority="30" rank="10"/>
  </conditionalFormatting>
  <conditionalFormatting sqref="F26:G26">
    <cfRule type="containsText" dxfId="42" priority="31" operator="containsText" text="n/a">
      <formula>NOT(ISERROR(SEARCH("n/a",F26)))</formula>
    </cfRule>
    <cfRule type="expression" dxfId="41" priority="32">
      <formula>LEN(TRIM(F26))=0</formula>
    </cfRule>
  </conditionalFormatting>
  <conditionalFormatting sqref="F27:G27">
    <cfRule type="containsText" dxfId="40" priority="33" operator="containsText" text="n/a">
      <formula>NOT(ISERROR(SEARCH("n/a",F27)))</formula>
    </cfRule>
    <cfRule type="expression" dxfId="39" priority="34">
      <formula>LEN(TRIM(F27))=0</formula>
    </cfRule>
  </conditionalFormatting>
  <conditionalFormatting sqref="F40:G40 G22 G32:G35">
    <cfRule type="duplicateValues" dxfId="38" priority="35"/>
  </conditionalFormatting>
  <conditionalFormatting sqref="F40:G40">
    <cfRule type="containsText" dxfId="37" priority="36" operator="containsText" text="n/a">
      <formula>NOT(ISERROR(SEARCH("n/a",F40)))</formula>
    </cfRule>
    <cfRule type="expression" dxfId="36" priority="37">
      <formula>LEN(TRIM(F40))=0</formula>
    </cfRule>
  </conditionalFormatting>
  <conditionalFormatting sqref="F39:G39 F32">
    <cfRule type="duplicateValues" dxfId="35" priority="38"/>
  </conditionalFormatting>
  <conditionalFormatting sqref="B11">
    <cfRule type="cellIs" dxfId="34" priority="39" operator="equal">
      <formula>"✓"</formula>
    </cfRule>
  </conditionalFormatting>
  <conditionalFormatting sqref="G12">
    <cfRule type="containsText" dxfId="33" priority="40" operator="containsText" text="n/a">
      <formula>NOT(ISERROR(SEARCH("n/a",G12)))</formula>
    </cfRule>
    <cfRule type="expression" dxfId="32" priority="41">
      <formula>LEN(TRIM(G12))=0</formula>
    </cfRule>
  </conditionalFormatting>
  <conditionalFormatting sqref="B12">
    <cfRule type="cellIs" dxfId="31" priority="42" operator="equal">
      <formula>"✓"</formula>
    </cfRule>
  </conditionalFormatting>
  <conditionalFormatting sqref="B13:B14">
    <cfRule type="cellIs" dxfId="30" priority="45" operator="equal">
      <formula>"✓"</formula>
    </cfRule>
  </conditionalFormatting>
  <conditionalFormatting sqref="B27">
    <cfRule type="cellIs" dxfId="29" priority="46" operator="equal">
      <formula>"✓"</formula>
    </cfRule>
  </conditionalFormatting>
  <conditionalFormatting sqref="B27">
    <cfRule type="cellIs" dxfId="28" priority="47" operator="equal">
      <formula>"✓"</formula>
    </cfRule>
  </conditionalFormatting>
  <conditionalFormatting sqref="F33">
    <cfRule type="containsText" dxfId="27" priority="48" operator="containsText" text="n/a">
      <formula>NOT(ISERROR(SEARCH("n/a",F33)))</formula>
    </cfRule>
    <cfRule type="expression" dxfId="26" priority="49">
      <formula>LEN(TRIM(F33))=0</formula>
    </cfRule>
  </conditionalFormatting>
  <conditionalFormatting sqref="G33">
    <cfRule type="expression" dxfId="25" priority="50">
      <formula>LEN(TRIM(G33))=0</formula>
    </cfRule>
  </conditionalFormatting>
  <conditionalFormatting sqref="F34">
    <cfRule type="containsText" dxfId="24" priority="51" operator="containsText" text="n/a">
      <formula>NOT(ISERROR(SEARCH("n/a",F34)))</formula>
    </cfRule>
    <cfRule type="expression" dxfId="23" priority="52">
      <formula>LEN(TRIM(F34))=0</formula>
    </cfRule>
  </conditionalFormatting>
  <conditionalFormatting sqref="G34">
    <cfRule type="expression" dxfId="22" priority="53">
      <formula>LEN(TRIM(G34))=0</formula>
    </cfRule>
  </conditionalFormatting>
  <conditionalFormatting sqref="F35">
    <cfRule type="containsText" dxfId="21" priority="54" operator="containsText" text="n/a">
      <formula>NOT(ISERROR(SEARCH("n/a",F35)))</formula>
    </cfRule>
    <cfRule type="expression" dxfId="20" priority="55">
      <formula>LEN(TRIM(F35))=0</formula>
    </cfRule>
  </conditionalFormatting>
  <conditionalFormatting sqref="G35">
    <cfRule type="expression" dxfId="19" priority="56">
      <formula>LEN(TRIM(G35))=0</formula>
    </cfRule>
  </conditionalFormatting>
  <conditionalFormatting sqref="F39:G39 F32:F35">
    <cfRule type="duplicateValues" dxfId="18" priority="57"/>
  </conditionalFormatting>
  <conditionalFormatting sqref="F40:G40 G12 G22 G32:G35">
    <cfRule type="duplicateValues" dxfId="17" priority="58"/>
  </conditionalFormatting>
  <conditionalFormatting sqref="E25:G29">
    <cfRule type="expression" dxfId="16" priority="59">
      <formula>$F$24="Standard"</formula>
    </cfRule>
  </conditionalFormatting>
  <conditionalFormatting sqref="E24">
    <cfRule type="expression" dxfId="15" priority="60">
      <formula>#REF!="Standard"</formula>
    </cfRule>
  </conditionalFormatting>
  <conditionalFormatting sqref="B15">
    <cfRule type="cellIs" dxfId="14" priority="61" operator="equal">
      <formula>"✓"</formula>
    </cfRule>
  </conditionalFormatting>
  <conditionalFormatting sqref="B16">
    <cfRule type="cellIs" dxfId="13" priority="64" operator="equal">
      <formula>"✓"</formula>
    </cfRule>
  </conditionalFormatting>
  <conditionalFormatting sqref="E15:G19">
    <cfRule type="expression" dxfId="12" priority="3">
      <formula>$F$14="Yes"</formula>
    </cfRule>
  </conditionalFormatting>
  <conditionalFormatting sqref="F16:F19">
    <cfRule type="duplicateValues" dxfId="11" priority="76"/>
    <cfRule type="expression" dxfId="10" priority="77">
      <formula>LEN(TRIM(F16))=0</formula>
    </cfRule>
  </conditionalFormatting>
  <conditionalFormatting sqref="F12">
    <cfRule type="expression" dxfId="9" priority="2">
      <formula>IF(F12="",1)</formula>
    </cfRule>
  </conditionalFormatting>
  <conditionalFormatting sqref="F22">
    <cfRule type="expression" dxfId="8" priority="1">
      <formula>IF(F22="",1)</formula>
    </cfRule>
  </conditionalFormatting>
  <dataValidations count="11">
    <dataValidation type="custom" allowBlank="1" showInputMessage="1" showErrorMessage="1" errorTitle="Invalid IP Address" error="Please enter a valid IP Address" sqref="F6:F7 G32:G35 F40:G40" xr:uid="{00000000-0002-0000-0400-000000000000}">
      <formula1>IF(ISNUMBER(VALUE(SUBSTITUTE(F6,".",""))),AND(--LEFT(F6,FIND(".",F6)-1)&lt;256,--MID(SUBSTITUTE(F6,".",REPT(" ",99)),99,99)&lt;256,--MID(SUBSTITUTE(F6,".",REPT(" ",99)),198,99)&lt;256,--RIGHT(SUBSTITUTE(F6,".",REPT(" ",99)),99)&lt;256),F6="n/a")</formula1>
      <formula2>0</formula2>
    </dataValidation>
    <dataValidation type="custom" allowBlank="1" showInputMessage="1" showErrorMessage="1" errorTitle="Invalid IP Address" error="Please enter a valid IP Address" prompt="Data from VxRail configuration" sqref="G22" xr:uid="{00000000-0002-0000-0400-000001000000}">
      <formula1>IF(ISNUMBER(VALUE(SUBSTITUTE(G22,".",""))),AND(--LEFT(G22,FIND(".",G22)-1)&lt;256,--MID(SUBSTITUTE(G22,".",REPT(" ",99)),99,99)&lt;256,--MID(SUBSTITUTE(G22,".",REPT(" ",99)),198,99)&lt;256,--RIGHT(SUBSTITUTE(G22,".",REPT(" ",99)),99)&lt;256),G22="n/a")</formula1>
      <formula2>0</formula2>
    </dataValidation>
    <dataValidation type="list" allowBlank="1" showInputMessage="1" showErrorMessage="1" promptTitle="FIPS" prompt="Setting value to YES instructs Cloud Builder to enable FIPS Security Mode on SDDC Manager." sqref="K9" xr:uid="{00000000-0002-0000-0400-000002000000}">
      <formula1>"Yes,No"</formula1>
      <formula2>0</formula2>
    </dataValidation>
    <dataValidation allowBlank="1" showInputMessage="1" showErrorMessage="1" promptTitle="NTP Server" prompt="Input can be either an IP Address (e.g. 172.16.11.253) or an FQDN (e.g. time.vmware.com)" sqref="F9" xr:uid="{00000000-0002-0000-0400-000003000000}">
      <formula1>0</formula1>
      <formula2>0</formula2>
    </dataValidation>
    <dataValidation allowBlank="1" showInputMessage="1" showErrorMessage="1" promptTitle="NTP Server" prompt="Input value can be either an IP Address (e.g. 172.16.11.253) or an FQDN (e.g. time.vmware.com)" sqref="F8" xr:uid="{00000000-0002-0000-0400-000004000000}">
      <formula1>0</formula1>
      <formula2>0</formula2>
    </dataValidation>
    <dataValidation type="list" allowBlank="1" showInputMessage="1" showErrorMessage="1" sqref="F36" xr:uid="{00000000-0002-0000-0400-000005000000}">
      <formula1>"small,medium,large"</formula1>
      <formula2>0</formula2>
    </dataValidation>
    <dataValidation allowBlank="1" showInputMessage="1" showErrorMessage="1" promptTitle="ESXi Hostname" prompt="The length of the vCenter Server hostname must not exceed 15 characters, this is to accomodate NetBIOS naming and allows for joining the system to an Active Directory Domain." sqref="F22" xr:uid="{00000000-0002-0000-0400-000006000000}">
      <formula1>0</formula1>
      <formula2>0</formula2>
    </dataValidation>
    <dataValidation type="list" allowBlank="1" showInputMessage="1" showErrorMessage="1" sqref="F24:G24" xr:uid="{00000000-0002-0000-0400-000007000000}">
      <formula1>"Standard,Consolidated"</formula1>
      <formula2>0</formula2>
    </dataValidation>
    <dataValidation type="list" allowBlank="1" showInputMessage="1" showErrorMessage="1" promptTitle="CEIP" prompt="Setting value to YES instructs Cloud Builder to enable VMware Customer Experience Improvement Program (&quot;CEIP&quot;) for vCenter Server, vSAN, NSX-T Data Center_x000a_." sqref="K8" xr:uid="{00000000-0002-0000-0400-000008000000}">
      <formula1>"Yes,No"</formula1>
      <formula2>0</formula2>
    </dataValidation>
    <dataValidation type="custom" allowBlank="1" showInputMessage="1" showErrorMessage="1" errorTitle="Invalid License Key" error="Please enter a valid license key_x000a_xxxxx-xxxxx-xxxxx-xxxxx-xxxxx" sqref="F16:F19" xr:uid="{00000000-0002-0000-0400-000009000000}">
      <formula1>AND(EXACT(F16,UPPER(F16)),LEN(F16)=29,6=FIND("-",F16),12=FIND("-",F16,FIND("-",F16)+1),18=FIND("-",F16,FIND("-",F16,FIND("-",F16)+1)+1),24=FIND("-",F16,FIND("-",F16,FIND("-",F16,FIND("-",F16)+1)+1)+1))</formula1>
      <formula2>0</formula2>
    </dataValidation>
    <dataValidation type="list" allowBlank="1" showInputMessage="1" showErrorMessage="1" sqref="F14:G14" xr:uid="{D5A2775D-92E4-174B-954E-3AACEC06A170}">
      <formula1>"Yes, No"</formula1>
    </dataValidation>
  </dataValidations>
  <printOptions horizontalCentered="1"/>
  <pageMargins left="0.5" right="0.5" top="0.5" bottom="0.5" header="0.51180555555555496" footer="0.25"/>
  <pageSetup firstPageNumber="0" orientation="portrait" horizontalDpi="300" verticalDpi="300" r:id="rId1"/>
  <headerFooter>
    <oddHeader>&amp;L&amp;"Calibri"&amp;10&amp;K737373Dell Customer Communication - Confidential&amp;1#</oddHeader>
    <oddFooter>&amp;L&amp;8http://www.vertex42.com/ExcelTemplates/spring-cleaning-checklist.html</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95"/>
  <sheetViews>
    <sheetView zoomScale="129" zoomScaleNormal="129" workbookViewId="0">
      <selection activeCell="B185" sqref="B185"/>
    </sheetView>
  </sheetViews>
  <sheetFormatPr defaultColWidth="8.85546875" defaultRowHeight="15"/>
  <cols>
    <col min="1" max="1" width="120.7109375" style="116" customWidth="1"/>
    <col min="2" max="2" width="78.85546875" style="116" customWidth="1"/>
    <col min="3" max="1024" width="8.85546875" style="116"/>
  </cols>
  <sheetData>
    <row r="1" spans="1:2">
      <c r="A1" s="116" t="s">
        <v>159</v>
      </c>
    </row>
    <row r="2" spans="1:2">
      <c r="A2" s="117" t="str">
        <f>"workflowName.vcf-ems=workflowconfig/workflowspec-vxrail.json"</f>
        <v>workflowName.vcf-ems=workflowconfig/workflowspec-vxrail.json</v>
      </c>
      <c r="B2" s="116" t="s">
        <v>160</v>
      </c>
    </row>
    <row r="3" spans="1:2" s="116" customFormat="1">
      <c r="A3" s="117" t="str">
        <f>IF('Deploy Parameters'!K8="Yes","CeipEnabled=true","CeipEnabled=false")</f>
        <v>CeipEnabled=false</v>
      </c>
      <c r="B3" s="116" t="s">
        <v>161</v>
      </c>
    </row>
    <row r="4" spans="1:2" s="116" customFormat="1">
      <c r="A4" s="117" t="str">
        <f>(IF('Deploy Parameters'!K9="Yes","FipsEnabled=true","FipsEnabled=false"))</f>
        <v>FipsEnabled=false</v>
      </c>
      <c r="B4" s="116" t="s">
        <v>162</v>
      </c>
    </row>
    <row r="5" spans="1:2" s="116" customFormat="1">
      <c r="A5" s="117" t="str">
        <f>"workflowVersion.vcf-ems="&amp;RIGHT(Introduction!F3,5)</f>
        <v>workflowVersion.vcf-ems=4.5.1</v>
      </c>
      <c r="B5" s="116" t="s">
        <v>163</v>
      </c>
    </row>
    <row r="6" spans="1:2" s="116" customFormat="1">
      <c r="A6" s="117" t="str">
        <f>(IF('Deploy Parameters'!F14="Yes","SubscriptionLicensing=true",IF('Deploy Parameters'!F14="No","SubscriptionLicensing=false","")))</f>
        <v>SubscriptionLicensing=false</v>
      </c>
    </row>
    <row r="7" spans="1:2" s="116" customFormat="1"/>
    <row r="8" spans="1:2" s="116" customFormat="1">
      <c r="A8" s="116" t="s">
        <v>164</v>
      </c>
    </row>
    <row r="9" spans="1:2" s="116" customFormat="1">
      <c r="A9" s="116" t="s">
        <v>165</v>
      </c>
    </row>
    <row r="10" spans="1:2">
      <c r="A10" s="117" t="str">
        <f>IF('Deploy Parameters'!F8="n/a","ntp-server@address=","ntp-server@address="&amp;'Deploy Parameters'!F8)</f>
        <v>ntp-server@address=200.100.100.10</v>
      </c>
      <c r="B10" s="116" t="s">
        <v>166</v>
      </c>
    </row>
    <row r="11" spans="1:2">
      <c r="A11" s="117" t="str">
        <f>IF('Deploy Parameters'!F9="n/a","remote-site-ntp-server@address=","remote-site-ntp-server@address="&amp;'Deploy Parameters'!F9)</f>
        <v>remote-site-ntp-server@address=</v>
      </c>
      <c r="B11" s="116" t="s">
        <v>166</v>
      </c>
    </row>
    <row r="12" spans="1:2">
      <c r="A12" s="116" t="s">
        <v>167</v>
      </c>
    </row>
    <row r="13" spans="1:2">
      <c r="A13" s="117" t="str">
        <f>IF('Deploy Parameters'!J7="child","root-dns-records@zoneName="&amp;'Deploy Parameters'!#REF!,"root-dns-records@zoneName="&amp;'Deploy Parameters'!J6)</f>
        <v>root-dns-records@zoneName=dnd.com</v>
      </c>
      <c r="B13" s="116" t="s">
        <v>168</v>
      </c>
    </row>
    <row r="14" spans="1:2">
      <c r="A14" s="117" t="str">
        <f>"managementNetwork.primaryDns="&amp;'Deploy Parameters'!F6</f>
        <v>managementNetwork.primaryDns=100.200.200.30</v>
      </c>
      <c r="B14" s="116" t="s">
        <v>169</v>
      </c>
    </row>
    <row r="15" spans="1:2">
      <c r="A15" s="117" t="str">
        <f>IF('Deploy Parameters'!J6="n/a","local-dns-records@zoneName="&amp;'Deploy Parameters'!J6,"local-dns-records@zoneName="&amp;'Deploy Parameters'!J6)</f>
        <v>local-dns-records@zoneName=dnd.com</v>
      </c>
      <c r="B15" s="116" t="s">
        <v>170</v>
      </c>
    </row>
    <row r="16" spans="1:2">
      <c r="A16" s="117" t="str">
        <f>IF('Deploy Parameters'!F7="n/a","managementNetwork.secondaryDns=","managementNetwork.secondaryDns="&amp;'Deploy Parameters'!F7)</f>
        <v>managementNetwork.secondaryDns=100.200.201.30</v>
      </c>
      <c r="B16" s="116" t="s">
        <v>171</v>
      </c>
    </row>
    <row r="18" spans="1:2">
      <c r="A18" s="116" t="s">
        <v>172</v>
      </c>
    </row>
    <row r="19" spans="1:2">
      <c r="A19" s="117" t="str">
        <f>"sddc-manager-root-credentials="&amp;Credentials!C18</f>
        <v>sddc-manager-root-credentials=VxR@il123!</v>
      </c>
      <c r="B19" s="116" t="s">
        <v>173</v>
      </c>
    </row>
    <row r="20" spans="1:2">
      <c r="A20" s="117" t="str">
        <f>"sddc-manager-superuser-credentials="&amp;Credentials!C19</f>
        <v>sddc-manager-superuser-credentials=VxR@il123!</v>
      </c>
      <c r="B20" s="116" t="s">
        <v>174</v>
      </c>
    </row>
    <row r="21" spans="1:2">
      <c r="A21" s="117" t="str">
        <f>"sddc-manager-localUser-credentials="&amp;Credentials!C20</f>
        <v>sddc-manager-localUser-credentials=VxR@il123SDDC</v>
      </c>
      <c r="B21" s="116" t="s">
        <v>175</v>
      </c>
    </row>
    <row r="22" spans="1:2">
      <c r="A22" s="117" t="str">
        <f>"sddcManagerIp.Address="&amp;'Deploy Parameters'!F40</f>
        <v>sddcManagerIp.Address=50.50.51.99</v>
      </c>
      <c r="B22" s="116" t="s">
        <v>176</v>
      </c>
    </row>
    <row r="23" spans="1:2">
      <c r="A23" s="117" t="str">
        <f>"sddcManager-deployment-vmname="&amp;'Deploy Parameters'!F39</f>
        <v>sddcManager-deployment-vmname=site2-vcf</v>
      </c>
      <c r="B23" s="116" t="s">
        <v>177</v>
      </c>
    </row>
    <row r="24" spans="1:2">
      <c r="A24" s="117" t="str">
        <f>IF('Deploy Parameters'!F42="n/a","sddcManager-mgmt-domainName=","sddcManager-mgmt-domainName="&amp;'Deploy Parameters'!F42)</f>
        <v>sddcManager-mgmt-domainName=MGMT</v>
      </c>
    </row>
    <row r="26" spans="1:2">
      <c r="A26" s="116" t="s">
        <v>178</v>
      </c>
    </row>
    <row r="27" spans="1:2">
      <c r="A27" s="117" t="str">
        <f>IF('Deploy Parameters'!F18="n/a","mgmt-vcenter-6-license@key=","mgmt-vcenter-6-license@key="&amp;'Deploy Parameters'!F18)</f>
        <v>mgmt-vcenter-6-license@key=</v>
      </c>
      <c r="B27" s="116" t="s">
        <v>179</v>
      </c>
    </row>
    <row r="28" spans="1:2">
      <c r="A28" s="117" t="str">
        <f>"vcenter-root-credentials@password="&amp;Credentials!C12</f>
        <v>vcenter-root-credentials@password=VxR@il123!</v>
      </c>
      <c r="B28" s="116" t="s">
        <v>180</v>
      </c>
    </row>
    <row r="29" spans="1:2">
      <c r="A29" s="117" t="str">
        <f>"vcenterManagementIp.address="&amp;'Deploy Parameters'!G22</f>
        <v>vcenterManagementIp.address=50.50.51.40</v>
      </c>
      <c r="B29" s="116" t="s">
        <v>181</v>
      </c>
    </row>
    <row r="30" spans="1:2">
      <c r="A30" s="117" t="str">
        <f>"vcenter-mgmt-deployment-vmname="&amp;'Deploy Parameters'!F22</f>
        <v>vcenter-mgmt-deployment-vmname=site2-m1-vc</v>
      </c>
      <c r="B30" s="116" t="s">
        <v>182</v>
      </c>
    </row>
    <row r="31" spans="1:2">
      <c r="A31" s="116" t="s">
        <v>183</v>
      </c>
    </row>
    <row r="32" spans="1:2">
      <c r="A32" s="117" t="str">
        <f>"vcenter-admin-credentials@password="&amp;Credentials!C11</f>
        <v>vcenter-admin-credentials@password=VxR@il123!</v>
      </c>
      <c r="B32" s="116" t="s">
        <v>184</v>
      </c>
    </row>
    <row r="33" spans="1:2">
      <c r="A33" s="118" t="str">
        <f>IF('Deploy Parameters'!F42="n/a","sso-site-name@value=","sso-site-name@value="&amp;'Deploy Parameters'!F42)</f>
        <v>sso-site-name@value=MGMT</v>
      </c>
      <c r="B33" s="116" t="s">
        <v>185</v>
      </c>
    </row>
    <row r="34" spans="1:2">
      <c r="A34" s="119"/>
    </row>
    <row r="35" spans="1:2">
      <c r="A35" s="116" t="s">
        <v>186</v>
      </c>
    </row>
    <row r="36" spans="1:2">
      <c r="A36" s="116" t="s">
        <v>187</v>
      </c>
    </row>
    <row r="37" spans="1:2">
      <c r="A37" s="117" t="str">
        <f>"region-a-sso-join=No"</f>
        <v>region-a-sso-join=No</v>
      </c>
    </row>
    <row r="38" spans="1:2">
      <c r="A38" s="117" t="str">
        <f>"region-a-psc-mgmt.address="</f>
        <v>region-a-psc-mgmt.address=</v>
      </c>
      <c r="B38" s="116" t="s">
        <v>188</v>
      </c>
    </row>
    <row r="39" spans="1:2">
      <c r="A39" s="117" t="str">
        <f>"region-a-vc-psc-username="</f>
        <v>region-a-vc-psc-username=</v>
      </c>
      <c r="B39" s="116" t="s">
        <v>189</v>
      </c>
    </row>
    <row r="40" spans="1:2">
      <c r="A40" s="117" t="str">
        <f>"region-a-vc-psc-password="</f>
        <v>region-a-vc-psc-password=</v>
      </c>
      <c r="B40" s="116" t="s">
        <v>190</v>
      </c>
    </row>
    <row r="42" spans="1:2">
      <c r="A42" s="116" t="s">
        <v>191</v>
      </c>
    </row>
    <row r="43" spans="1:2" s="116" customFormat="1">
      <c r="A43" s="117" t="str">
        <f>IF('Deploy Parameters'!F17="n/a","vsan-license@key=","vsan-license@key="&amp;'Deploy Parameters'!F17)</f>
        <v>vsan-license@key=</v>
      </c>
      <c r="B43" s="116" t="s">
        <v>192</v>
      </c>
    </row>
    <row r="44" spans="1:2">
      <c r="A44" s="118" t="str">
        <f>IF('Deploy Parameters'!J26="n/a","management-vsan-datastore-name@value=","management-vsan-datastore-name@value="&amp;'Deploy Parameters'!J26)</f>
        <v>management-vsan-datastore-name@value=site2-mgmt-vsan</v>
      </c>
      <c r="B44" s="116" t="s">
        <v>193</v>
      </c>
    </row>
    <row r="46" spans="1:2">
      <c r="A46" s="116" t="s">
        <v>194</v>
      </c>
    </row>
    <row r="47" spans="1:2" s="116" customFormat="1">
      <c r="A47" s="116" t="s">
        <v>195</v>
      </c>
    </row>
    <row r="48" spans="1:2" s="116" customFormat="1">
      <c r="A48" s="117" t="str">
        <f>IF('Deploy Parameters'!F16="n/a","vcloud-suite-license@key=","vcloud-suite-license@key="&amp;'Deploy Parameters'!F16)</f>
        <v>vcloud-suite-license@key=</v>
      </c>
      <c r="B48" s="116" t="s">
        <v>196</v>
      </c>
    </row>
    <row r="49" spans="1:2">
      <c r="A49" s="116" t="s">
        <v>197</v>
      </c>
    </row>
    <row r="50" spans="1:2">
      <c r="A50" s="117" t="str">
        <f>"esxi.username="&amp;Credentials!B10</f>
        <v>esxi.username=root</v>
      </c>
      <c r="B50" s="116" t="s">
        <v>198</v>
      </c>
    </row>
    <row r="51" spans="1:2">
      <c r="A51" s="117" t="str">
        <f>"esxi.password="&amp;Credentials!C10</f>
        <v>esxi.password=VxR@il123!</v>
      </c>
      <c r="B51" s="116" t="s">
        <v>199</v>
      </c>
    </row>
    <row r="52" spans="1:2">
      <c r="A52" s="116" t="s">
        <v>200</v>
      </c>
    </row>
    <row r="53" spans="1:2">
      <c r="A53" s="117" t="str">
        <f>IF('Hosts and Networks'!I7="n/a","esxi.mgmt-1.address=","esxi.mgmt-1.address="&amp;'Hosts and Networks'!I7)</f>
        <v>esxi.mgmt-1.address=50.50.51.131</v>
      </c>
      <c r="B53" s="116" t="s">
        <v>201</v>
      </c>
    </row>
    <row r="54" spans="1:2">
      <c r="A54" s="117" t="str">
        <f>IF('Hosts and Networks'!I6="n/a","esxi.mgmt-1.hostname=","esxi.mgmt-1.hostname="&amp;'Hosts and Networks'!I6)</f>
        <v>esxi.mgmt-1.hostname=site2-mgmt-cluster-esxi01</v>
      </c>
      <c r="B54" s="116" t="s">
        <v>202</v>
      </c>
    </row>
    <row r="55" spans="1:2">
      <c r="A55" s="117" t="str">
        <f>IF('Hosts and Networks'!J7="n/a","esxi.mgmt-2.address=","esxi.mgmt-2.address="&amp;'Hosts and Networks'!J7)</f>
        <v>esxi.mgmt-2.address=50.50.51.132</v>
      </c>
      <c r="B55" s="116" t="s">
        <v>201</v>
      </c>
    </row>
    <row r="56" spans="1:2">
      <c r="A56" s="117" t="str">
        <f>IF('Hosts and Networks'!J6="n/a","esxi.mgmt-2.hostname=","esxi.mgmt-2.hostname="&amp;'Hosts and Networks'!J6)</f>
        <v>esxi.mgmt-2.hostname=site2-mgmt-cluster-esxi02</v>
      </c>
      <c r="B56" s="116" t="s">
        <v>202</v>
      </c>
    </row>
    <row r="57" spans="1:2">
      <c r="A57" s="117" t="str">
        <f>IF('Hosts and Networks'!K7="n/a","esxi.mgmt-3.address=","esxi.mgmt-3.address="&amp;'Hosts and Networks'!K7)</f>
        <v>esxi.mgmt-3.address=50.50.51.133</v>
      </c>
      <c r="B57" s="116" t="s">
        <v>201</v>
      </c>
    </row>
    <row r="58" spans="1:2">
      <c r="A58" s="117" t="str">
        <f>IF('Hosts and Networks'!K6="n/a","esxi.mgmt-3.hostname=","esxi.mgmt-3.hostname="&amp;'Hosts and Networks'!K6)</f>
        <v>esxi.mgmt-3.hostname=site2-mgmt-cluster-esxi03</v>
      </c>
      <c r="B58" s="116" t="s">
        <v>202</v>
      </c>
    </row>
    <row r="59" spans="1:2">
      <c r="A59" s="117" t="str">
        <f>IF('Hosts and Networks'!L7="n/a","esxi.mgmt-4.address=","esxi.mgmt-4.address="&amp;'Hosts and Networks'!L7)</f>
        <v>esxi.mgmt-4.address=50.50.51.134</v>
      </c>
      <c r="B59" s="116" t="s">
        <v>201</v>
      </c>
    </row>
    <row r="60" spans="1:2">
      <c r="A60" s="117" t="str">
        <f>IF('Hosts and Networks'!L6="n/a","esxi.mgmt-4.hostname=","esxi.mgmt-4.hostname="&amp;'Hosts and Networks'!L6)</f>
        <v>esxi.mgmt-4.hostname=site2-mgmt-cluster-esxi04</v>
      </c>
      <c r="B60" s="116" t="s">
        <v>202</v>
      </c>
    </row>
    <row r="62" spans="1:2">
      <c r="A62" s="116" t="s">
        <v>203</v>
      </c>
    </row>
    <row r="63" spans="1:2">
      <c r="A63" s="117" t="str">
        <f>IF('Hosts and Networks'!K11="Yes","skipThumbprintValidation=false",IF('Hosts and Networks'!K11="No","skipThumbprintValidation=true"))</f>
        <v>skipThumbprintValidation=true</v>
      </c>
      <c r="B63" s="116" t="s">
        <v>204</v>
      </c>
    </row>
    <row r="64" spans="1:2">
      <c r="A64" s="116" t="s">
        <v>205</v>
      </c>
    </row>
    <row r="65" spans="1:2">
      <c r="A65" s="117" t="str">
        <f>IF('Hosts and Networks'!J14="n/a","vxrailManager.sshThumbprint=","vxrailManager.sshThumbprint="&amp;'Hosts and Networks'!J14)</f>
        <v>vxrailManager.sshThumbprint=</v>
      </c>
    </row>
    <row r="66" spans="1:2">
      <c r="A66" s="117" t="str">
        <f>IF('Hosts and Networks'!J15="n/a","vcenter.sshThumbprint=","vcenter.sshThumbprint="&amp;'Hosts and Networks'!J15)</f>
        <v>vcenter.sshThumbprint=</v>
      </c>
    </row>
    <row r="67" spans="1:2">
      <c r="A67" s="117" t="str">
        <f>IF('Hosts and Networks'!J16="n/a","esxi.mgmt-1.sshThumbprint=","esxi.mgmt-1.sshThumbprint="&amp;'Hosts and Networks'!J16)</f>
        <v>esxi.mgmt-1.sshThumbprint=</v>
      </c>
    </row>
    <row r="68" spans="1:2">
      <c r="A68" s="117" t="str">
        <f>IF('Hosts and Networks'!J17="n/a","esxi.mgmt-2.sshThumbprint=","esxi.mgmt-2.sshThumbprint="&amp;'Hosts and Networks'!J17)</f>
        <v>esxi.mgmt-2.sshThumbprint=</v>
      </c>
    </row>
    <row r="69" spans="1:2">
      <c r="A69" s="117" t="str">
        <f>IF('Hosts and Networks'!J18="n/a","esxi.mgmt-3.sshThumbprint=","esxi.mgmt-3.sshThumbprint="&amp;'Hosts and Networks'!J18)</f>
        <v>esxi.mgmt-3.sshThumbprint=</v>
      </c>
    </row>
    <row r="70" spans="1:2">
      <c r="A70" s="117" t="str">
        <f>IF('Hosts and Networks'!J19="n/a","esxi.mgmt-4.sshThumbprint=","esxi.mgmt-4.sshThumbprint="&amp;'Hosts and Networks'!J19)</f>
        <v>esxi.mgmt-4.sshThumbprint=</v>
      </c>
    </row>
    <row r="71" spans="1:2">
      <c r="A71" s="116" t="s">
        <v>206</v>
      </c>
    </row>
    <row r="72" spans="1:2">
      <c r="A72" s="117" t="str">
        <f>IF('Hosts and Networks'!L14="n/a","vxrailManager.sslThumbprint=","vxrailManager.sslThumbprint="&amp;'Hosts and Networks'!L14)</f>
        <v>vxrailManager.sslThumbprint=</v>
      </c>
    </row>
    <row r="73" spans="1:2">
      <c r="A73" s="117" t="str">
        <f>IF('Hosts and Networks'!L15="n/a","vcenter.sslThumbprint=","vcenter.sslThumbprint="&amp;'Hosts and Networks'!L15)</f>
        <v>vcenter.sslThumbprint=</v>
      </c>
    </row>
    <row r="75" spans="1:2">
      <c r="A75" s="116" t="s">
        <v>207</v>
      </c>
    </row>
    <row r="76" spans="1:2">
      <c r="A76" s="117" t="str">
        <f>IF('Deploy Parameters'!J22="n/a","mgmt-datacenter-name=","mgmt-datacenter-name="&amp;'Deploy Parameters'!J22)</f>
        <v>mgmt-datacenter-name=site2-mgmt-dc</v>
      </c>
      <c r="B76" s="116" t="s">
        <v>208</v>
      </c>
    </row>
    <row r="77" spans="1:2">
      <c r="A77" s="117" t="str">
        <f>IF('Deploy Parameters'!J23="n/a","management-cluster-name=","management-cluster-name="&amp;'Deploy Parameters'!J23)</f>
        <v>management-cluster-name=site2-mgmt-cluster</v>
      </c>
      <c r="B77" s="116" t="s">
        <v>209</v>
      </c>
    </row>
    <row r="78" spans="1:2">
      <c r="A78" s="116" t="s">
        <v>210</v>
      </c>
    </row>
    <row r="79" spans="1:2">
      <c r="A79" s="116" t="str">
        <f>IF('Deploy Parameters'!F24="Standard","skipResourcePoolCreation=true","skipResourcePoolCreation=false")</f>
        <v>skipResourcePoolCreation=true</v>
      </c>
    </row>
    <row r="80" spans="1:2">
      <c r="A80" s="120" t="str">
        <f>IF('Deploy Parameters'!F24="Standard","vsphere-resource-pools[1]=","vsphere-resource-pools[1]="&amp;'Deploy Parameters'!F26)</f>
        <v>vsphere-resource-pools[1]=</v>
      </c>
      <c r="B80" s="116" t="s">
        <v>211</v>
      </c>
    </row>
    <row r="81" spans="1:2">
      <c r="A81" s="120" t="str">
        <f>IF('Deploy Parameters'!F24="Standard","vsphere-resource-pools[2]=","vsphere-resource-pools[2]="&amp;'Deploy Parameters'!F27)</f>
        <v>vsphere-resource-pools[2]=</v>
      </c>
      <c r="B81" s="116" t="s">
        <v>211</v>
      </c>
    </row>
    <row r="82" spans="1:2">
      <c r="A82" s="120" t="str">
        <f>IF('Deploy Parameters'!F24="Standard","vsphere-resource-pools[3]=","vsphere-resource-pools[3]="&amp;'Deploy Parameters'!F28)</f>
        <v>vsphere-resource-pools[3]=</v>
      </c>
      <c r="B82" s="116" t="s">
        <v>211</v>
      </c>
    </row>
    <row r="83" spans="1:2">
      <c r="A83" s="120" t="str">
        <f>IF('Deploy Parameters'!F24="Standard","vsphere-resource-pools[4]=","vsphere-resource-pools[4]="&amp;'Deploy Parameters'!F29)</f>
        <v>vsphere-resource-pools[4]=</v>
      </c>
      <c r="B83" s="116" t="s">
        <v>211</v>
      </c>
    </row>
    <row r="85" spans="1:2">
      <c r="A85" s="116" t="s">
        <v>212</v>
      </c>
    </row>
    <row r="86" spans="1:2">
      <c r="A86" s="120" t="str">
        <f>IF('Hosts and Networks'!F11="Yes","vds-primary-switchName="&amp;'Hosts and Networks'!E13,"vds-primary-switchName=")</f>
        <v>vds-primary-switchName=</v>
      </c>
      <c r="B86" s="116" t="s">
        <v>213</v>
      </c>
    </row>
    <row r="87" spans="1:2">
      <c r="A87" s="120" t="str">
        <f>IF('Hosts and Networks'!F11="Yes","vds-primary-vmnics="&amp;'Hosts and Networks'!E14,"vds-primary-vmnics=")</f>
        <v>vds-primary-vmnics=</v>
      </c>
      <c r="B87" s="116" t="s">
        <v>214</v>
      </c>
    </row>
    <row r="88" spans="1:2">
      <c r="A88" s="120" t="str">
        <f>IF('Hosts and Networks'!F16="Yes","vds-secondary-switchName="&amp;'Hosts and Networks'!E18,"vds-secondary-switchName=")</f>
        <v>vds-secondary-switchName=site2-mgmt-nsx01</v>
      </c>
      <c r="B88" s="116" t="s">
        <v>213</v>
      </c>
    </row>
    <row r="89" spans="1:2">
      <c r="A89" s="120" t="str">
        <f>IF('Hosts and Networks'!F16="Yes","vds-secondary-vmnics="&amp;'Hosts and Networks'!E19,"vds-secondary-vmnics=")</f>
        <v>vds-secondary-vmnics=vmnic1,vmnic2</v>
      </c>
      <c r="B89" s="116" t="s">
        <v>214</v>
      </c>
    </row>
    <row r="90" spans="1:2">
      <c r="A90" s="120" t="str">
        <f>IF('Hosts and Networks'!F16="No","vds-secondary-mtu=","vds-secondary-mtu="&amp;'Hosts and Networks'!E20)</f>
        <v>vds-secondary-mtu=9000</v>
      </c>
      <c r="B90" s="116" t="s">
        <v>215</v>
      </c>
    </row>
    <row r="91" spans="1:2">
      <c r="A91" s="120" t="str">
        <f>IF('Hosts and Networks'!F16="No","overlayVdsEnabled=false","overlayVdsEnabled=true")</f>
        <v>overlayVdsEnabled=true</v>
      </c>
    </row>
    <row r="93" spans="1:2">
      <c r="A93" s="116" t="s">
        <v>216</v>
      </c>
    </row>
    <row r="94" spans="1:2">
      <c r="A94" s="117" t="str">
        <f>"managementNetwork.cidrNotation="&amp;'Hosts and Networks'!E7</f>
        <v>managementNetwork.cidrNotation=50.50.51.0/24</v>
      </c>
      <c r="B94" s="116" t="s">
        <v>217</v>
      </c>
    </row>
    <row r="95" spans="1:2">
      <c r="A95" s="117" t="str">
        <f>IF('Hosts and Networks'!F7="n/a","managementNetwork.gateway=","managementNetwork.gateway="&amp;'Hosts and Networks'!F7)</f>
        <v>managementNetwork.gateway=50.50.51.1</v>
      </c>
      <c r="B95" s="116" t="s">
        <v>218</v>
      </c>
    </row>
    <row r="96" spans="1:2">
      <c r="A96" s="117" t="str">
        <f>"vlan-mgmt-management.vlanId="&amp;'Hosts and Networks'!C7</f>
        <v>vlan-mgmt-management.vlanId=144</v>
      </c>
      <c r="B96" s="116" t="s">
        <v>219</v>
      </c>
    </row>
    <row r="97" spans="1:2">
      <c r="A97" s="117" t="str">
        <f>"vlan-mgmt-management-mtu@mtu="&amp;'Hosts and Networks'!G7</f>
        <v>vlan-mgmt-management-mtu@mtu=1500</v>
      </c>
      <c r="B97" s="116" t="s">
        <v>220</v>
      </c>
    </row>
    <row r="98" spans="1:2">
      <c r="A98" s="117" t="str">
        <f>IF('Hosts and Networks'!D7="n/a","vds-management-initial-configuration@dvPortGroups[1].name=","vds-management-initial-configuration@dvPortGroups[1].name="&amp;'Hosts and Networks'!D7)</f>
        <v>vds-management-initial-configuration@dvPortGroups[1].name=vCenter Server Network-*</v>
      </c>
      <c r="B98" s="116" t="s">
        <v>221</v>
      </c>
    </row>
    <row r="99" spans="1:2" s="116" customFormat="1"/>
    <row r="100" spans="1:2">
      <c r="A100" s="116" t="s">
        <v>222</v>
      </c>
    </row>
    <row r="101" spans="1:2">
      <c r="A101" s="117" t="str">
        <f>IF('Hosts and Networks'!E9="n/a","mgmtVsanNetwork.cidrNotation=","mgmtVsanNetwork.cidrNotation="&amp;'Hosts and Networks'!E9)</f>
        <v>mgmtVsanNetwork.cidrNotation=</v>
      </c>
      <c r="B101" s="116" t="s">
        <v>217</v>
      </c>
    </row>
    <row r="102" spans="1:2">
      <c r="A102" s="117" t="str">
        <f>IF('Hosts and Networks'!F9="n/a","mgmtVsanNetwork.gateway=","mgmtVsanNetwork.gateway="&amp;'Hosts and Networks'!F9)</f>
        <v>mgmtVsanNetwork.gateway=</v>
      </c>
      <c r="B102" s="116" t="s">
        <v>218</v>
      </c>
    </row>
    <row r="103" spans="1:2">
      <c r="A103" s="117" t="str">
        <f>IF('Hosts and Networks'!C9="n/a","vlan-management-vsan.vlanId=","vlan-management-vsan.vlanId="&amp;'Hosts and Networks'!C9)</f>
        <v>vlan-management-vsan.vlanId=146</v>
      </c>
      <c r="B103" s="116" t="s">
        <v>219</v>
      </c>
    </row>
    <row r="104" spans="1:2">
      <c r="A104" s="117" t="str">
        <f>IF('Hosts and Networks'!G9="n/a","vlan-management-vsan-mtu@mtu=","vlan-management-vsan-mtu@mtu="&amp;'Hosts and Networks'!G9)</f>
        <v>vlan-management-vsan-mtu@mtu=</v>
      </c>
      <c r="B104" s="116" t="s">
        <v>220</v>
      </c>
    </row>
    <row r="105" spans="1:2">
      <c r="A105" s="117" t="str">
        <f>IF('Hosts and Networks'!D9="n/a","vds-management-initial-configuration@dvPortGroups[2].name=","vds-management-initial-configuration@dvPortGroups[2].name="&amp;'Hosts and Networks'!D9)</f>
        <v>vds-management-initial-configuration@dvPortGroups[2].name=Virtual SAN-</v>
      </c>
      <c r="B105" s="116" t="s">
        <v>221</v>
      </c>
    </row>
    <row r="106" spans="1:2" s="116" customFormat="1"/>
    <row r="107" spans="1:2">
      <c r="A107" s="116" t="s">
        <v>223</v>
      </c>
    </row>
    <row r="108" spans="1:2">
      <c r="A108" s="117" t="str">
        <f>IF('Hosts and Networks'!E8="n/a","mgmtVmotionNetwork.cidrNotation=","mgmtVmotionNetwork.cidrNotation="&amp;'Hosts and Networks'!E8)</f>
        <v>mgmtVmotionNetwork.cidrNotation=</v>
      </c>
      <c r="B108" s="116" t="s">
        <v>217</v>
      </c>
    </row>
    <row r="109" spans="1:2">
      <c r="A109" s="117" t="str">
        <f>IF('Hosts and Networks'!F8="n/a","mgmtVmotionNetwork.gateway=","mgmtVmotionNetwork.gateway="&amp;'Hosts and Networks'!F8)</f>
        <v>mgmtVmotionNetwork.gateway=</v>
      </c>
      <c r="B109" s="116" t="s">
        <v>218</v>
      </c>
    </row>
    <row r="110" spans="1:2">
      <c r="A110" s="117" t="str">
        <f>IF('Hosts and Networks'!C8="n/a","vlan-management-vmotion.vlanId=","vlan-management-vmotion.vlanId="&amp;'Hosts and Networks'!C8)</f>
        <v>vlan-management-vmotion.vlanId=147</v>
      </c>
      <c r="B110" s="116" t="s">
        <v>219</v>
      </c>
    </row>
    <row r="111" spans="1:2">
      <c r="A111" s="117" t="str">
        <f>IF('Hosts and Networks'!G8="n/a","vlan-management-vmotion-mtu@mtu=","vlan-management-vmotion-mtu@mtu="&amp;'Hosts and Networks'!G8)</f>
        <v>vlan-management-vmotion-mtu@mtu=</v>
      </c>
      <c r="B111" s="116" t="s">
        <v>220</v>
      </c>
    </row>
    <row r="112" spans="1:2">
      <c r="A112" s="117" t="str">
        <f>IF('Hosts and Networks'!D8="n/a","vds-management-initial-configuration@dvPortGroups[3].name=","vds-management-initial-configuration@dvPortGroups[3].name="&amp;'Hosts and Networks'!D8)</f>
        <v>vds-management-initial-configuration@dvPortGroups[3].name=vSphere vMotion-*</v>
      </c>
      <c r="B112" s="116" t="s">
        <v>221</v>
      </c>
    </row>
    <row r="114" spans="1:2">
      <c r="A114" s="116" t="s">
        <v>224</v>
      </c>
    </row>
    <row r="115" spans="1:2">
      <c r="A115" s="117" t="str">
        <f>IF('Hosts and Networks'!J8="n/a","inclusion-range-start-vmotion01=","inclusion-range-start-vmotion01="&amp;'Hosts and Networks'!J8)</f>
        <v>inclusion-range-start-vmotion01=</v>
      </c>
      <c r="B115" s="116" t="s">
        <v>225</v>
      </c>
    </row>
    <row r="116" spans="1:2">
      <c r="A116" s="117" t="str">
        <f>IF('Hosts and Networks'!L8="n/a","inclusion-range-end-vmotion01=","inclusion-range-end-vmotion01="&amp;'Hosts and Networks'!L8)</f>
        <v>inclusion-range-end-vmotion01=</v>
      </c>
      <c r="B116" s="116" t="s">
        <v>225</v>
      </c>
    </row>
    <row r="117" spans="1:2">
      <c r="A117" s="117" t="str">
        <f>"inclusion-range-start-vmotion02="</f>
        <v>inclusion-range-start-vmotion02=</v>
      </c>
      <c r="B117" s="116" t="s">
        <v>225</v>
      </c>
    </row>
    <row r="118" spans="1:2">
      <c r="A118" s="117" t="str">
        <f>"inclusion-range-end-vmotion02="</f>
        <v>inclusion-range-end-vmotion02=</v>
      </c>
      <c r="B118" s="116" t="s">
        <v>225</v>
      </c>
    </row>
    <row r="119" spans="1:2">
      <c r="A119" s="117" t="str">
        <f>"inclusion-ips-vmotion="</f>
        <v>inclusion-ips-vmotion=</v>
      </c>
    </row>
    <row r="120" spans="1:2">
      <c r="A120" s="117" t="str">
        <f>IF('Hosts and Networks'!J9="n/a","inclusion-range-start-vsan01=","inclusion-range-start-vsan01="&amp;'Hosts and Networks'!J9)</f>
        <v>inclusion-range-start-vsan01=</v>
      </c>
      <c r="B120" s="116" t="s">
        <v>225</v>
      </c>
    </row>
    <row r="121" spans="1:2">
      <c r="A121" s="117" t="str">
        <f>IF('Hosts and Networks'!L9="n/a","inclusion-range-end-vsan01=","inclusion-range-end-vsan01="&amp;'Hosts and Networks'!L9)</f>
        <v>inclusion-range-end-vsan01=</v>
      </c>
      <c r="B121" s="116" t="s">
        <v>225</v>
      </c>
    </row>
    <row r="122" spans="1:2">
      <c r="A122" s="117" t="str">
        <f>"inclusion-range-start-vsan02="</f>
        <v>inclusion-range-start-vsan02=</v>
      </c>
      <c r="B122" s="116" t="s">
        <v>225</v>
      </c>
    </row>
    <row r="123" spans="1:2">
      <c r="A123" s="117" t="str">
        <f>"inclusion-range-end-vsan02="</f>
        <v>inclusion-range-end-vsan02=</v>
      </c>
      <c r="B123" s="116" t="s">
        <v>225</v>
      </c>
    </row>
    <row r="124" spans="1:2">
      <c r="A124" s="117" t="str">
        <f>"inclusion-ips-vsan="</f>
        <v>inclusion-ips-vsan=</v>
      </c>
    </row>
    <row r="126" spans="1:2">
      <c r="A126" s="116" t="s">
        <v>226</v>
      </c>
    </row>
    <row r="127" spans="1:2">
      <c r="A127" s="120" t="str">
        <f>IF('Deploy Parameters'!F42="n/a","mgmt-vm-folder-name@value=","mgmt-vm-folder-name@value="&amp;'Deploy Parameters'!F42&amp;"-fd-mgmt")</f>
        <v>mgmt-vm-folder-name@value=MGMT-fd-mgmt</v>
      </c>
      <c r="B127" s="116" t="s">
        <v>227</v>
      </c>
    </row>
    <row r="128" spans="1:2">
      <c r="A128" s="120" t="str">
        <f>IF('Deploy Parameters'!F42="n/a","nsx-vm-folder-name@value=","nsx-vm-folder-name@value="&amp;'Deploy Parameters'!F42&amp;"-fd-nsx")</f>
        <v>nsx-vm-folder-name@value=MGMT-fd-nsx</v>
      </c>
      <c r="B128" s="116" t="s">
        <v>228</v>
      </c>
    </row>
    <row r="129" spans="1:2">
      <c r="A129" s="120" t="str">
        <f>IF('Deploy Parameters'!F42="n/a","edge-vm-folder-name@value=","edge-vm-folder-name@value="&amp;'Deploy Parameters'!F42&amp;"-fd-edge")</f>
        <v>edge-vm-folder-name@value=MGMT-fd-edge</v>
      </c>
      <c r="B129" s="116" t="s">
        <v>229</v>
      </c>
    </row>
    <row r="130" spans="1:2">
      <c r="A130"/>
    </row>
    <row r="131" spans="1:2">
      <c r="A131" s="116" t="s">
        <v>230</v>
      </c>
    </row>
    <row r="132" spans="1:2">
      <c r="A132" s="120" t="str">
        <f>IF('Deploy Parameters'!G12="n/a","vxrail-manager.mgmt-address=","vxrail-manager.mgmt-address="&amp;'Deploy Parameters'!G12)</f>
        <v>vxrail-manager.mgmt-address=50.50.51.49</v>
      </c>
    </row>
    <row r="133" spans="1:2">
      <c r="A133" s="120" t="str">
        <f>IF('Deploy Parameters'!F12="n/a","vxrail-manager.mgmt-hostname=","vxrail-manager.mgmt-hostname="&amp;'Deploy Parameters'!F12)</f>
        <v>vxrail-manager.mgmt-hostname=site2-mgmt-cluster-vrm</v>
      </c>
    </row>
    <row r="134" spans="1:2">
      <c r="A134" s="116" t="s">
        <v>231</v>
      </c>
    </row>
    <row r="135" spans="1:2">
      <c r="A135" s="117" t="str">
        <f>IF(Credentials!B8="n/a","vxrail-manager.username=","vxrail-manager.username="&amp;Credentials!B8)</f>
        <v>vxrail-manager.username=root</v>
      </c>
    </row>
    <row r="136" spans="1:2">
      <c r="A136" s="117" t="str">
        <f>IF(Credentials!C8="n/a","vxrail-manager.password=","vxrail-manager.password="&amp;Credentials!C8)</f>
        <v>vxrail-manager.password=VxR@il123!</v>
      </c>
    </row>
    <row r="137" spans="1:2">
      <c r="A137" s="116" t="s">
        <v>232</v>
      </c>
    </row>
    <row r="138" spans="1:2">
      <c r="A138" s="117" t="str">
        <f>IF(Credentials!B9="n/a","vxrail-service.username=","vxrail-service.username="&amp;Credentials!B9)</f>
        <v>vxrail-service.username=mystic</v>
      </c>
    </row>
    <row r="139" spans="1:2">
      <c r="A139" s="117" t="str">
        <f>IF(Credentials!C9="n/a","vxrail-service.password=","vxrail-service.password="&amp;Credentials!C9)</f>
        <v>vxrail-service.password=VxMyst1c123!</v>
      </c>
    </row>
    <row r="140" spans="1:2">
      <c r="A140"/>
    </row>
    <row r="141" spans="1:2">
      <c r="A141" s="116" t="s">
        <v>233</v>
      </c>
    </row>
    <row r="142" spans="1:2">
      <c r="A142" s="120" t="str">
        <f>"mgmt-VsanDataStoreNamePrefix=VxRail-Virtual-SAN-Datastore-"</f>
        <v>mgmt-VsanDataStoreNamePrefix=VxRail-Virtual-SAN-Datastore-</v>
      </c>
    </row>
    <row r="143" spans="1:2">
      <c r="A143" s="120" t="str">
        <f>"mgmt-DatacenterName=VxRail-Datacenter"</f>
        <v>mgmt-DatacenterName=VxRail-Datacenter</v>
      </c>
    </row>
    <row r="144" spans="1:2">
      <c r="A144" s="120" t="str">
        <f>"mgmt-DvsName=VMware HCIA Distributed Switch"</f>
        <v>mgmt-DvsName=VMware HCIA Distributed Switch</v>
      </c>
    </row>
    <row r="145" spans="1:2">
      <c r="A145" s="120" t="str">
        <f>"mgmt-VmotionPortGroupNamePrefix=vSphere vMotion-"</f>
        <v>mgmt-VmotionPortGroupNamePrefix=vSphere vMotion-</v>
      </c>
    </row>
    <row r="146" spans="1:2">
      <c r="A146" s="120" t="str">
        <f>"mgmt-VsanPortGroupNamePrefix=Virtual SAN-"</f>
        <v>mgmt-VsanPortGroupNamePrefix=Virtual SAN-</v>
      </c>
    </row>
    <row r="147" spans="1:2">
      <c r="A147" s="120" t="str">
        <f>"mgmt-ManagementPortGroupNamePrefix=vCenter Server Network-"</f>
        <v>mgmt-ManagementPortGroupNamePrefix=vCenter Server Network-</v>
      </c>
    </row>
    <row r="148" spans="1:2">
      <c r="A148" s="120" t="str">
        <f>"mgmt-ManagementPortInternalGroupNamePrefix=Management Network-"</f>
        <v>mgmt-ManagementPortInternalGroupNamePrefix=Management Network-</v>
      </c>
    </row>
    <row r="149" spans="1:2">
      <c r="A149" s="120" t="str">
        <f>"mgmt-VcenterVmName=VMware vCenter Server Appliance"</f>
        <v>mgmt-VcenterVmName=VMware vCenter Server Appliance</v>
      </c>
    </row>
    <row r="150" spans="1:2">
      <c r="A150" s="120" t="str">
        <f>"mgmt-PscVmName=VMware vCenter Server Platform Services Controller"</f>
        <v>mgmt-PscVmName=VMware vCenter Server Platform Services Controller</v>
      </c>
    </row>
    <row r="151" spans="1:2">
      <c r="A151" s="120" t="str">
        <f>"mgmt-ClusterNamePrefix=VxRail-Virtual-SAN-Cluster-"</f>
        <v>mgmt-ClusterNamePrefix=VxRail-Virtual-SAN-Cluster-</v>
      </c>
    </row>
    <row r="152" spans="1:2">
      <c r="A152" s="120" t="str">
        <f>"mgmt-VmFolderName=VMware HCIA Folder"</f>
        <v>mgmt-VmFolderName=VMware HCIA Folder</v>
      </c>
    </row>
    <row r="153" spans="1:2">
      <c r="A153" s="120" t="str">
        <f>"mgmt-NativePortGroupNamePrefix=VxRail Management"</f>
        <v>mgmt-NativePortGroupNamePrefix=VxRail Management</v>
      </c>
    </row>
    <row r="154" spans="1:2">
      <c r="A154"/>
    </row>
    <row r="155" spans="1:2">
      <c r="A155" s="116" t="s">
        <v>234</v>
      </c>
    </row>
    <row r="156" spans="1:2">
      <c r="A156" s="116" t="s">
        <v>235</v>
      </c>
    </row>
    <row r="157" spans="1:2">
      <c r="A157" s="117" t="str">
        <f>IF('Deploy Parameters'!F19="n/a","nsxt-license@key=","nsxt-license@key="&amp;'Deploy Parameters'!F19)</f>
        <v>nsxt-license@key=</v>
      </c>
      <c r="B157" s="116" t="s">
        <v>236</v>
      </c>
    </row>
    <row r="158" spans="1:2">
      <c r="A158" s="116" t="s">
        <v>237</v>
      </c>
    </row>
    <row r="159" spans="1:2">
      <c r="A159" s="117" t="str">
        <f>"nsxt-va-deployment-size="&amp;'Deploy Parameters'!F36</f>
        <v>nsxt-va-deployment-size=medium</v>
      </c>
      <c r="B159" s="116" t="s">
        <v>238</v>
      </c>
    </row>
    <row r="160" spans="1:2">
      <c r="A160" s="116" t="s">
        <v>239</v>
      </c>
    </row>
    <row r="161" spans="1:2">
      <c r="A161" s="117" t="str">
        <f>"nsxt-root-credentials@password="&amp;Credentials!C14</f>
        <v>nsxt-root-credentials@password=VxR@il123NSX</v>
      </c>
      <c r="B161" s="116" t="s">
        <v>240</v>
      </c>
    </row>
    <row r="162" spans="1:2">
      <c r="A162" s="117" t="str">
        <f>"nsxt-admin-credentials@password="&amp;Credentials!C15</f>
        <v>nsxt-admin-credentials@password=VxR@il123NSX</v>
      </c>
      <c r="B162" s="116" t="s">
        <v>241</v>
      </c>
    </row>
    <row r="163" spans="1:2">
      <c r="A163" s="117" t="str">
        <f>"nsxt-cli-privilege-credentials@password="&amp;Credentials!C16</f>
        <v>nsxt-cli-privilege-credentials@password=VxR@il123NSX</v>
      </c>
      <c r="B163" s="116" t="s">
        <v>242</v>
      </c>
    </row>
    <row r="164" spans="1:2">
      <c r="A164" s="116" t="s">
        <v>243</v>
      </c>
      <c r="B164" s="116" t="s">
        <v>244</v>
      </c>
    </row>
    <row r="165" spans="1:2">
      <c r="A165" s="116" t="s">
        <v>245</v>
      </c>
      <c r="B165" s="116" t="s">
        <v>246</v>
      </c>
    </row>
    <row r="166" spans="1:2">
      <c r="A166" s="116" t="s">
        <v>247</v>
      </c>
    </row>
    <row r="167" spans="1:2">
      <c r="A167" s="117" t="str">
        <f>"nsxt-vip-hostname="&amp;'Deploy Parameters'!F32</f>
        <v>nsxt-vip-hostname=site2-m1-nsx</v>
      </c>
      <c r="B167" s="116" t="s">
        <v>248</v>
      </c>
    </row>
    <row r="168" spans="1:2">
      <c r="A168" s="117" t="str">
        <f>"nsxt-vip-address="&amp;'Deploy Parameters'!G32</f>
        <v>nsxt-vip-address=50.50.51.50</v>
      </c>
      <c r="B168" s="116" t="s">
        <v>249</v>
      </c>
    </row>
    <row r="169" spans="1:2">
      <c r="A169" s="117" t="str">
        <f>"nsxt-node1-hostname="&amp;'Deploy Parameters'!F33</f>
        <v>nsxt-node1-hostname=site2-m1-nsx1</v>
      </c>
      <c r="B169" s="116" t="s">
        <v>250</v>
      </c>
    </row>
    <row r="170" spans="1:2">
      <c r="A170" s="117" t="str">
        <f>"nsxt-node1-address="&amp;'Deploy Parameters'!G33</f>
        <v>nsxt-node1-address=50.50.51.51</v>
      </c>
      <c r="B170" s="116" t="s">
        <v>250</v>
      </c>
    </row>
    <row r="171" spans="1:2">
      <c r="A171" s="117" t="str">
        <f>"nsxt-node2-hostname="&amp;'Deploy Parameters'!F34</f>
        <v>nsxt-node2-hostname=site2-m1-nsx2</v>
      </c>
      <c r="B171" s="116" t="s">
        <v>250</v>
      </c>
    </row>
    <row r="172" spans="1:2">
      <c r="A172" s="117" t="str">
        <f>"nsxt-node2-address="&amp;'Deploy Parameters'!G34</f>
        <v>nsxt-node2-address=50.50.51.52</v>
      </c>
      <c r="B172" s="116" t="s">
        <v>250</v>
      </c>
    </row>
    <row r="173" spans="1:2">
      <c r="A173" s="117" t="str">
        <f>"nsxt-node3-hostname="&amp;'Deploy Parameters'!F35</f>
        <v>nsxt-node3-hostname=site2-m1-nsx3</v>
      </c>
      <c r="B173" s="116" t="s">
        <v>250</v>
      </c>
    </row>
    <row r="174" spans="1:2">
      <c r="A174" s="117" t="str">
        <f>"nsxt-node3-address="&amp;'Deploy Parameters'!G35</f>
        <v>nsxt-node3-address=50.50.51.53</v>
      </c>
      <c r="B174" s="116" t="s">
        <v>250</v>
      </c>
    </row>
    <row r="175" spans="1:2">
      <c r="A175" s="116" t="s">
        <v>251</v>
      </c>
    </row>
    <row r="176" spans="1:2">
      <c r="A176" s="117" t="str">
        <f>"nsxt-transport-vlan-zoneName-1="&amp;'Deploy Parameters'!F42&amp;"-tz-vlan01"</f>
        <v>nsxt-transport-vlan-zoneName-1=MGMT-tz-vlan01</v>
      </c>
      <c r="B176" s="116" t="s">
        <v>252</v>
      </c>
    </row>
    <row r="177" spans="1:2">
      <c r="A177" s="117" t="str">
        <f>"nsxt-transport-vlan-zoneName-2="&amp;'Deploy Parameters'!F42&amp;"-tz-vlan02"</f>
        <v>nsxt-transport-vlan-zoneName-2=MGMT-tz-vlan02</v>
      </c>
    </row>
    <row r="178" spans="1:2">
      <c r="A178" s="117" t="str">
        <f>"nsxt-transport-vlan-zoneName-3="&amp;'Deploy Parameters'!F42&amp;"-tz-vlan03"</f>
        <v>nsxt-transport-vlan-zoneName-3=MGMT-tz-vlan03</v>
      </c>
    </row>
    <row r="179" spans="1:2">
      <c r="A179" s="117" t="s">
        <v>253</v>
      </c>
      <c r="B179" s="116" t="s">
        <v>254</v>
      </c>
    </row>
    <row r="180" spans="1:2">
      <c r="A180" s="117" t="str">
        <f>"nsxt-transport-vlanid="&amp;'Hosts and Networks'!J23</f>
        <v>nsxt-transport-vlanid=148</v>
      </c>
      <c r="B180" s="116" t="s">
        <v>255</v>
      </c>
    </row>
    <row r="181" spans="1:2">
      <c r="A181" s="117" t="str">
        <f>"nsxt-transport-overlay-zoneName="&amp;'Deploy Parameters'!F42&amp;"-tz-overlay01"</f>
        <v>nsxt-transport-overlay-zoneName=MGMT-tz-overlay01</v>
      </c>
      <c r="B181" s="116" t="s">
        <v>256</v>
      </c>
    </row>
    <row r="182" spans="1:2">
      <c r="A182" s="117" t="str">
        <f>"nsxt-transport-overlay-zoneName-2="&amp;'Deploy Parameters'!F42&amp;"-tz-overlay02"</f>
        <v>nsxt-transport-overlay-zoneName-2=MGMT-tz-overlay02</v>
      </c>
    </row>
    <row r="183" spans="1:2">
      <c r="A183" s="117" t="str">
        <f>"nsxt-transport-overlay-zoneName-3="&amp;'Deploy Parameters'!F42&amp;"-tz-overlay03"</f>
        <v>nsxt-transport-overlay-zoneName-3=MGMT-tz-overlay03</v>
      </c>
    </row>
    <row r="184" spans="1:2">
      <c r="A184" s="117" t="s">
        <v>257</v>
      </c>
      <c r="B184" s="116" t="s">
        <v>258</v>
      </c>
    </row>
    <row r="186" spans="1:2">
      <c r="A186" s="116" t="s">
        <v>259</v>
      </c>
    </row>
    <row r="187" spans="1:2">
      <c r="A187" s="117" t="str">
        <f>IF('Hosts and Networks'!K25="Yes","nsxt-hostStaticIpPool=true","nsxt-hostStaticIpPool=false")</f>
        <v>nsxt-hostStaticIpPool=true</v>
      </c>
    </row>
    <row r="188" spans="1:2">
      <c r="A188" s="117" t="str">
        <f>IF('Hosts and Networks'!K25="No","nsxt-hostStaticIpPool-name=","nsxt-hostStaticIpPool-name="&amp;'Hosts and Networks'!J27)</f>
        <v>nsxt-hostStaticIpPool-name=site2-mgmt-cluster-tep01</v>
      </c>
      <c r="B188" s="116" t="s">
        <v>260</v>
      </c>
    </row>
    <row r="189" spans="1:2">
      <c r="A189" s="117" t="str">
        <f>IF('Hosts and Networks'!K25="No","nsxt-hostStaticIpPool-description=","nsxt-hostStaticIpPool-description="&amp;'Hosts and Networks'!J26)</f>
        <v>nsxt-hostStaticIpPool-description=SITE2 MGMT CLUSTER HOST TEP POOL</v>
      </c>
      <c r="B189" s="116" t="s">
        <v>261</v>
      </c>
    </row>
    <row r="190" spans="1:2">
      <c r="A190" s="117" t="str">
        <f>IF('Hosts and Networks'!K25="No","nsxt-hostStaticIpPool-ipStart=","nsxt-hostStaticIpPool-ipStart="&amp;'Hosts and Networks'!J29)</f>
        <v>nsxt-hostStaticIpPool-ipStart=50.50.54.101</v>
      </c>
      <c r="B190" s="116" t="s">
        <v>262</v>
      </c>
    </row>
    <row r="191" spans="1:2">
      <c r="A191" s="117" t="str">
        <f>IF('Hosts and Networks'!K25="No","nsxt-hostStaticIpPool-ipEnd=","nsxt-hostStaticIpPool-ipEnd="&amp;'Hosts and Networks'!L29)</f>
        <v>nsxt-hostStaticIpPool-ipEnd=50.50.54.250</v>
      </c>
      <c r="B191" s="116" t="s">
        <v>263</v>
      </c>
    </row>
    <row r="192" spans="1:2">
      <c r="A192" s="117" t="str">
        <f>IF('Hosts and Networks'!K25="No","nsxt-hostStaticIpPool-ipCidr=","nsxt-hostStaticIpPool-ipCidr="&amp;'Hosts and Networks'!J28)</f>
        <v>nsxt-hostStaticIpPool-ipCidr=50.50.54.0/24</v>
      </c>
      <c r="B192" s="116" t="s">
        <v>264</v>
      </c>
    </row>
    <row r="193" spans="1:2">
      <c r="A193" s="117" t="str">
        <f>IF('Hosts and Networks'!K25="No","nsxt-hostStaticIpPool-ipGateway=","nsxt-hostStaticIpPool-ipGateway="&amp;'Hosts and Networks'!L28)</f>
        <v>nsxt-hostStaticIpPool-ipGateway=50.50.54.1</v>
      </c>
      <c r="B193" s="116" t="s">
        <v>265</v>
      </c>
    </row>
    <row r="195" spans="1:2">
      <c r="A195" s="116" t="s">
        <v>266</v>
      </c>
    </row>
  </sheetData>
  <sheetProtection sheet="1" objects="1" scenarios="1"/>
  <conditionalFormatting sqref="A25:A85 A194:A1048576 A92:A175 A179:A181 A184:A185 A1:A23">
    <cfRule type="containsText" dxfId="7" priority="2" operator="containsText" text="#">
      <formula>NOT(ISERROR(SEARCH("#",A1)))</formula>
    </cfRule>
  </conditionalFormatting>
  <conditionalFormatting sqref="A180">
    <cfRule type="beginsWith" dxfId="6" priority="3" operator="beginsWith" text="#">
      <formula>LEFT(A180,LEN("#"))="#"</formula>
    </cfRule>
  </conditionalFormatting>
  <conditionalFormatting sqref="A24">
    <cfRule type="containsText" dxfId="5" priority="4" operator="containsText" text="#">
      <formula>NOT(ISERROR(SEARCH("#",A24)))</formula>
    </cfRule>
  </conditionalFormatting>
  <conditionalFormatting sqref="A186:A193">
    <cfRule type="containsText" dxfId="4" priority="5" operator="containsText" text="#">
      <formula>NOT(ISERROR(SEARCH("#",A186)))</formula>
    </cfRule>
  </conditionalFormatting>
  <conditionalFormatting sqref="A186:A193">
    <cfRule type="beginsWith" dxfId="3" priority="6" operator="beginsWith" text="#">
      <formula>LEFT(A186,LEN("#"))="#"</formula>
    </cfRule>
  </conditionalFormatting>
  <conditionalFormatting sqref="A86">
    <cfRule type="containsText" dxfId="2" priority="7" operator="containsText" text="#">
      <formula>NOT(ISERROR(SEARCH("#",A86)))</formula>
    </cfRule>
  </conditionalFormatting>
  <conditionalFormatting sqref="A87">
    <cfRule type="containsText" dxfId="1" priority="9" operator="containsText" text="#">
      <formula>NOT(ISERROR(SEARCH("#",A87)))</formula>
    </cfRule>
  </conditionalFormatting>
  <conditionalFormatting sqref="A91">
    <cfRule type="containsText" dxfId="0" priority="10" operator="containsText" text="#">
      <formula>NOT(ISERROR(SEARCH("#",A91)))</formula>
    </cfRule>
  </conditionalFormatting>
  <hyperlinks>
    <hyperlink ref="A33" r:id="rId1" display="mailto:sso-site-name@value%3D" xr:uid="{00000000-0004-0000-0500-000000000000}"/>
    <hyperlink ref="A44" r:id="rId2" display="mailto:management-vsan-datastore-name@value%3D" xr:uid="{00000000-0004-0000-0500-000001000000}"/>
  </hyperlinks>
  <pageMargins left="0.7" right="0.7" top="0.75" bottom="0.75" header="0.51180555555555496" footer="0.51180555555555496"/>
  <pageSetup paperSize="9" firstPageNumber="0" orientation="portrait" horizontalDpi="300" verticalDpi="300" r:id="rId3"/>
  <headerFooter>
    <oddHeader>&amp;L&amp;"Calibri"&amp;10&amp;K737373Dell Customer Communication - Confidential&amp;1#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86"/>
  <sheetViews>
    <sheetView zoomScale="115" zoomScaleNormal="115" workbookViewId="0">
      <pane ySplit="1" topLeftCell="A62" activePane="bottomLeft" state="frozen"/>
      <selection pane="bottomLeft" activeCell="B86" sqref="B86"/>
    </sheetView>
  </sheetViews>
  <sheetFormatPr defaultColWidth="11.42578125" defaultRowHeight="15"/>
  <cols>
    <col min="1" max="1" width="11.42578125" style="121"/>
    <col min="2" max="2" width="139.140625" style="93" customWidth="1"/>
    <col min="23" max="23" width="131.140625" customWidth="1"/>
  </cols>
  <sheetData>
    <row r="1" spans="1:2">
      <c r="A1" s="121" t="s">
        <v>267</v>
      </c>
      <c r="B1" s="93" t="s">
        <v>10</v>
      </c>
    </row>
    <row r="2" spans="1:2">
      <c r="A2" s="121">
        <v>43448</v>
      </c>
      <c r="B2" s="93" t="s">
        <v>268</v>
      </c>
    </row>
    <row r="3" spans="1:2">
      <c r="A3" s="121">
        <v>43486</v>
      </c>
      <c r="B3" s="93" t="s">
        <v>269</v>
      </c>
    </row>
    <row r="4" spans="1:2" ht="75">
      <c r="A4" s="121">
        <v>43503</v>
      </c>
      <c r="B4" s="93" t="s">
        <v>270</v>
      </c>
    </row>
    <row r="5" spans="1:2" ht="30">
      <c r="A5" s="121">
        <v>43515</v>
      </c>
      <c r="B5" s="93" t="s">
        <v>271</v>
      </c>
    </row>
    <row r="6" spans="1:2">
      <c r="A6" s="121">
        <v>43523</v>
      </c>
      <c r="B6" s="93" t="s">
        <v>272</v>
      </c>
    </row>
    <row r="7" spans="1:2">
      <c r="A7" s="121">
        <v>43532</v>
      </c>
      <c r="B7" s="93" t="s">
        <v>273</v>
      </c>
    </row>
    <row r="8" spans="1:2" ht="30">
      <c r="A8" s="121">
        <v>43557</v>
      </c>
      <c r="B8" s="93" t="s">
        <v>274</v>
      </c>
    </row>
    <row r="9" spans="1:2" ht="30">
      <c r="A9" s="121">
        <v>43598</v>
      </c>
      <c r="B9" s="93" t="s">
        <v>275</v>
      </c>
    </row>
    <row r="10" spans="1:2">
      <c r="A10" s="121">
        <v>43583</v>
      </c>
      <c r="B10" s="93" t="s">
        <v>276</v>
      </c>
    </row>
    <row r="11" spans="1:2">
      <c r="A11" s="122">
        <v>43614</v>
      </c>
      <c r="B11" s="123" t="s">
        <v>277</v>
      </c>
    </row>
    <row r="12" spans="1:2">
      <c r="A12" s="124">
        <v>43621</v>
      </c>
      <c r="B12" s="125" t="s">
        <v>278</v>
      </c>
    </row>
    <row r="13" spans="1:2" ht="30">
      <c r="A13" s="124">
        <v>43622</v>
      </c>
      <c r="B13" s="125" t="s">
        <v>279</v>
      </c>
    </row>
    <row r="14" spans="1:2">
      <c r="A14" s="121">
        <v>43634</v>
      </c>
      <c r="B14" s="93" t="s">
        <v>280</v>
      </c>
    </row>
    <row r="15" spans="1:2" ht="30">
      <c r="A15" s="121">
        <v>43640</v>
      </c>
      <c r="B15" s="93" t="s">
        <v>281</v>
      </c>
    </row>
    <row r="16" spans="1:2">
      <c r="A16" s="121">
        <v>43664</v>
      </c>
      <c r="B16" s="93" t="s">
        <v>282</v>
      </c>
    </row>
    <row r="17" spans="1:2">
      <c r="A17" s="121">
        <v>43684</v>
      </c>
      <c r="B17" s="93" t="s">
        <v>283</v>
      </c>
    </row>
    <row r="18" spans="1:2" ht="30">
      <c r="A18" s="121">
        <v>43690</v>
      </c>
      <c r="B18" s="93" t="s">
        <v>284</v>
      </c>
    </row>
    <row r="19" spans="1:2">
      <c r="A19" s="121">
        <v>43724</v>
      </c>
      <c r="B19" s="93" t="s">
        <v>285</v>
      </c>
    </row>
    <row r="20" spans="1:2">
      <c r="A20" s="121">
        <v>43724</v>
      </c>
      <c r="B20" s="93" t="s">
        <v>286</v>
      </c>
    </row>
    <row r="21" spans="1:2">
      <c r="A21" s="121">
        <v>43738</v>
      </c>
      <c r="B21" s="93" t="s">
        <v>287</v>
      </c>
    </row>
    <row r="22" spans="1:2">
      <c r="A22" s="121">
        <v>43747</v>
      </c>
      <c r="B22" s="93" t="s">
        <v>288</v>
      </c>
    </row>
    <row r="23" spans="1:2">
      <c r="A23" s="121">
        <v>43762</v>
      </c>
      <c r="B23" s="93" t="s">
        <v>289</v>
      </c>
    </row>
    <row r="24" spans="1:2" ht="14.25" customHeight="1">
      <c r="A24" s="121">
        <v>43762</v>
      </c>
      <c r="B24" s="93" t="s">
        <v>290</v>
      </c>
    </row>
    <row r="25" spans="1:2" ht="14.25" customHeight="1">
      <c r="A25" s="121">
        <v>43777</v>
      </c>
      <c r="B25" s="93" t="s">
        <v>291</v>
      </c>
    </row>
    <row r="26" spans="1:2" ht="14.25" customHeight="1">
      <c r="A26" s="121">
        <v>43781</v>
      </c>
      <c r="B26" s="93" t="s">
        <v>292</v>
      </c>
    </row>
    <row r="27" spans="1:2" ht="14.25" customHeight="1">
      <c r="A27" s="121">
        <v>43782</v>
      </c>
      <c r="B27" s="93" t="s">
        <v>293</v>
      </c>
    </row>
    <row r="28" spans="1:2" ht="14.25" customHeight="1">
      <c r="A28" s="121">
        <v>43783</v>
      </c>
      <c r="B28" s="93" t="s">
        <v>294</v>
      </c>
    </row>
    <row r="29" spans="1:2" ht="75">
      <c r="A29" s="121">
        <v>43811</v>
      </c>
      <c r="B29" s="93" t="s">
        <v>295</v>
      </c>
    </row>
    <row r="30" spans="1:2" ht="180">
      <c r="A30" s="121">
        <v>43832</v>
      </c>
      <c r="B30" s="93" t="s">
        <v>296</v>
      </c>
    </row>
    <row r="31" spans="1:2" ht="60">
      <c r="A31" s="121">
        <v>43864</v>
      </c>
      <c r="B31" s="93" t="s">
        <v>297</v>
      </c>
    </row>
    <row r="32" spans="1:2">
      <c r="A32" s="121">
        <v>43838</v>
      </c>
      <c r="B32" s="93" t="s">
        <v>298</v>
      </c>
    </row>
    <row r="33" spans="1:2">
      <c r="A33" s="121">
        <v>43843</v>
      </c>
      <c r="B33" s="93" t="s">
        <v>299</v>
      </c>
    </row>
    <row r="34" spans="1:2">
      <c r="A34" s="121">
        <v>43857</v>
      </c>
      <c r="B34" s="93" t="s">
        <v>300</v>
      </c>
    </row>
    <row r="35" spans="1:2">
      <c r="A35" s="121">
        <v>43878</v>
      </c>
      <c r="B35" s="93" t="s">
        <v>301</v>
      </c>
    </row>
    <row r="36" spans="1:2" ht="45">
      <c r="A36" s="121">
        <v>43882</v>
      </c>
      <c r="B36" s="93" t="s">
        <v>302</v>
      </c>
    </row>
    <row r="37" spans="1:2" ht="30">
      <c r="A37" s="121">
        <v>43887</v>
      </c>
      <c r="B37" s="93" t="s">
        <v>303</v>
      </c>
    </row>
    <row r="38" spans="1:2">
      <c r="A38" s="121">
        <v>43893</v>
      </c>
      <c r="B38" s="93" t="s">
        <v>304</v>
      </c>
    </row>
    <row r="39" spans="1:2">
      <c r="A39" s="121">
        <v>43894</v>
      </c>
      <c r="B39" s="93" t="s">
        <v>305</v>
      </c>
    </row>
    <row r="40" spans="1:2">
      <c r="A40" s="121">
        <v>43895</v>
      </c>
      <c r="B40" s="93" t="s">
        <v>306</v>
      </c>
    </row>
    <row r="41" spans="1:2">
      <c r="A41" s="121">
        <v>43896</v>
      </c>
      <c r="B41" s="93" t="s">
        <v>307</v>
      </c>
    </row>
    <row r="42" spans="1:2" ht="30">
      <c r="A42" s="121">
        <v>43899</v>
      </c>
      <c r="B42" s="93" t="s">
        <v>308</v>
      </c>
    </row>
    <row r="43" spans="1:2" ht="30">
      <c r="A43" s="121">
        <v>43900</v>
      </c>
      <c r="B43" s="93" t="s">
        <v>309</v>
      </c>
    </row>
    <row r="44" spans="1:2">
      <c r="A44" s="121">
        <v>43901</v>
      </c>
      <c r="B44" s="93" t="s">
        <v>287</v>
      </c>
    </row>
    <row r="45" spans="1:2" ht="30">
      <c r="A45" s="121">
        <v>43903</v>
      </c>
      <c r="B45" s="93" t="s">
        <v>310</v>
      </c>
    </row>
    <row r="46" spans="1:2">
      <c r="A46" s="121">
        <v>43915</v>
      </c>
      <c r="B46" s="93" t="s">
        <v>311</v>
      </c>
    </row>
    <row r="47" spans="1:2" ht="30">
      <c r="A47" s="121">
        <v>43916</v>
      </c>
      <c r="B47" s="93" t="s">
        <v>312</v>
      </c>
    </row>
    <row r="48" spans="1:2" ht="45">
      <c r="A48" s="121">
        <v>43929</v>
      </c>
      <c r="B48" s="93" t="s">
        <v>313</v>
      </c>
    </row>
    <row r="49" spans="1:2">
      <c r="A49" s="121">
        <v>43935</v>
      </c>
      <c r="B49" s="93" t="s">
        <v>314</v>
      </c>
    </row>
    <row r="50" spans="1:2" ht="60">
      <c r="A50" s="121">
        <v>43942</v>
      </c>
      <c r="B50" s="93" t="s">
        <v>315</v>
      </c>
    </row>
    <row r="51" spans="1:2">
      <c r="A51" s="121">
        <v>43955</v>
      </c>
      <c r="B51" s="93" t="s">
        <v>316</v>
      </c>
    </row>
    <row r="52" spans="1:2">
      <c r="A52" s="121">
        <v>43957</v>
      </c>
      <c r="B52" s="93" t="s">
        <v>317</v>
      </c>
    </row>
    <row r="53" spans="1:2">
      <c r="A53" s="121">
        <v>43958</v>
      </c>
      <c r="B53" s="93" t="s">
        <v>318</v>
      </c>
    </row>
    <row r="54" spans="1:2">
      <c r="A54" s="121">
        <v>43984</v>
      </c>
      <c r="B54" s="93" t="s">
        <v>319</v>
      </c>
    </row>
    <row r="55" spans="1:2">
      <c r="A55" s="121">
        <v>43987</v>
      </c>
      <c r="B55" s="93" t="s">
        <v>320</v>
      </c>
    </row>
    <row r="56" spans="1:2">
      <c r="A56" s="121">
        <v>44001</v>
      </c>
      <c r="B56" s="93" t="s">
        <v>321</v>
      </c>
    </row>
    <row r="57" spans="1:2" ht="30">
      <c r="A57" s="121">
        <v>44021</v>
      </c>
      <c r="B57" s="93" t="s">
        <v>322</v>
      </c>
    </row>
    <row r="58" spans="1:2">
      <c r="A58" s="121">
        <v>44039</v>
      </c>
      <c r="B58" s="93" t="s">
        <v>323</v>
      </c>
    </row>
    <row r="59" spans="1:2" ht="30">
      <c r="A59" s="121">
        <v>44054</v>
      </c>
      <c r="B59" s="93" t="s">
        <v>324</v>
      </c>
    </row>
    <row r="60" spans="1:2">
      <c r="A60" s="121">
        <v>44055</v>
      </c>
      <c r="B60" s="93" t="s">
        <v>325</v>
      </c>
    </row>
    <row r="61" spans="1:2">
      <c r="A61" s="121">
        <v>44061</v>
      </c>
      <c r="B61" s="93" t="s">
        <v>326</v>
      </c>
    </row>
    <row r="62" spans="1:2" ht="75">
      <c r="A62" s="121">
        <v>44092</v>
      </c>
      <c r="B62" s="93" t="s">
        <v>327</v>
      </c>
    </row>
    <row r="63" spans="1:2">
      <c r="A63" s="121">
        <v>44096</v>
      </c>
      <c r="B63" s="93" t="s">
        <v>328</v>
      </c>
    </row>
    <row r="64" spans="1:2" ht="30">
      <c r="A64" s="121">
        <v>44102</v>
      </c>
      <c r="B64" s="93" t="s">
        <v>329</v>
      </c>
    </row>
    <row r="65" spans="1:2">
      <c r="A65" s="121">
        <v>44104</v>
      </c>
      <c r="B65" s="93" t="s">
        <v>330</v>
      </c>
    </row>
    <row r="66" spans="1:2" ht="45">
      <c r="A66" s="121">
        <v>44116</v>
      </c>
      <c r="B66" s="93" t="s">
        <v>331</v>
      </c>
    </row>
    <row r="67" spans="1:2" ht="60">
      <c r="A67" s="121">
        <v>44130</v>
      </c>
      <c r="B67" s="93" t="s">
        <v>332</v>
      </c>
    </row>
    <row r="68" spans="1:2">
      <c r="A68" s="121">
        <v>44137</v>
      </c>
      <c r="B68" s="93" t="s">
        <v>333</v>
      </c>
    </row>
    <row r="69" spans="1:2">
      <c r="A69" s="121">
        <v>44140</v>
      </c>
      <c r="B69" s="93" t="s">
        <v>334</v>
      </c>
    </row>
    <row r="70" spans="1:2">
      <c r="A70" s="121">
        <v>44147</v>
      </c>
      <c r="B70" s="93" t="s">
        <v>335</v>
      </c>
    </row>
    <row r="71" spans="1:2" ht="45">
      <c r="A71" s="121">
        <v>44166</v>
      </c>
      <c r="B71" s="93" t="s">
        <v>336</v>
      </c>
    </row>
    <row r="72" spans="1:2" ht="30">
      <c r="A72" s="121">
        <v>44215</v>
      </c>
      <c r="B72" s="93" t="s">
        <v>337</v>
      </c>
    </row>
    <row r="73" spans="1:2">
      <c r="A73" s="121">
        <v>44223</v>
      </c>
      <c r="B73" s="93" t="s">
        <v>338</v>
      </c>
    </row>
    <row r="74" spans="1:2">
      <c r="A74" s="121">
        <v>44239</v>
      </c>
      <c r="B74" s="93" t="s">
        <v>339</v>
      </c>
    </row>
    <row r="75" spans="1:2" ht="90">
      <c r="A75" s="121">
        <v>44271</v>
      </c>
      <c r="B75" s="93" t="s">
        <v>340</v>
      </c>
    </row>
    <row r="76" spans="1:2">
      <c r="A76" s="121">
        <v>44318</v>
      </c>
      <c r="B76" s="93" t="s">
        <v>341</v>
      </c>
    </row>
    <row r="77" spans="1:2">
      <c r="A77" s="121">
        <v>44342</v>
      </c>
      <c r="B77" s="93" t="s">
        <v>342</v>
      </c>
    </row>
    <row r="78" spans="1:2">
      <c r="A78" s="121">
        <v>44357</v>
      </c>
      <c r="B78" s="93" t="s">
        <v>330</v>
      </c>
    </row>
    <row r="79" spans="1:2">
      <c r="A79" s="121">
        <v>44482</v>
      </c>
      <c r="B79" s="93" t="s">
        <v>343</v>
      </c>
    </row>
    <row r="80" spans="1:2">
      <c r="A80" s="121">
        <v>44495</v>
      </c>
      <c r="B80" s="93" t="s">
        <v>344</v>
      </c>
    </row>
    <row r="81" spans="1:2" ht="14.1" customHeight="1">
      <c r="A81" s="121">
        <v>44615</v>
      </c>
      <c r="B81" s="93" t="s">
        <v>345</v>
      </c>
    </row>
    <row r="82" spans="1:2" ht="15" customHeight="1">
      <c r="A82" s="121">
        <v>44638</v>
      </c>
      <c r="B82" s="93" t="s">
        <v>346</v>
      </c>
    </row>
    <row r="83" spans="1:2" ht="15" customHeight="1">
      <c r="A83" s="121">
        <v>44753</v>
      </c>
      <c r="B83" s="93" t="s">
        <v>349</v>
      </c>
    </row>
    <row r="84" spans="1:2" ht="15" customHeight="1">
      <c r="A84" s="121">
        <v>44803</v>
      </c>
      <c r="B84" s="93" t="s">
        <v>351</v>
      </c>
    </row>
    <row r="85" spans="1:2" ht="15" customHeight="1">
      <c r="A85" s="121">
        <v>44964</v>
      </c>
      <c r="B85" s="93" t="s">
        <v>354</v>
      </c>
    </row>
    <row r="86" spans="1:2" ht="18" customHeight="1">
      <c r="B86" s="126"/>
    </row>
  </sheetData>
  <sheetProtection sheet="1" objects="1" scenarios="1"/>
  <pageMargins left="0.7" right="0.7" top="0.75" bottom="0.75" header="0.51180555555555496" footer="0.51180555555555496"/>
  <pageSetup paperSize="9" firstPageNumber="0" orientation="portrait" horizontalDpi="300" verticalDpi="300" r:id="rId1"/>
  <headerFooter>
    <oddHeader>&amp;L&amp;"Calibri"&amp;10&amp;K737373Dell Customer Communication - Confidential&amp;1#</oddHeader>
  </headerFooter>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25</TotalTime>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Introduction</vt:lpstr>
      <vt:lpstr>Credentials</vt:lpstr>
      <vt:lpstr>Hosts and Networks</vt:lpstr>
      <vt:lpstr>Lookup_Lists</vt:lpstr>
      <vt:lpstr>Deploy Parameters</vt:lpstr>
      <vt:lpstr>Config_File_Build</vt:lpstr>
      <vt:lpstr>Change Log</vt:lpstr>
      <vt:lpstr>CLUSTER_SIZE_COMPONENT_M1C1</vt:lpstr>
      <vt:lpstr>EVC_Settings</vt:lpstr>
      <vt:lpstr>Credentials!Print_Area</vt:lpstr>
      <vt:lpstr>'Deploy Parameters'!Print_Area</vt:lpstr>
      <vt:lpstr>Credentials!Print_Area_0</vt:lpstr>
      <vt:lpstr>vds_Profiles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VMware Cloud Foundation</dc:title>
  <dc:subject>Deployment Parameters</dc:subject>
  <dc:creator>Cloud Infrastructure Business Group (CIBG)</dc:creator>
  <cp:keywords>v4.5.0</cp:keywords>
  <dc:description/>
  <cp:lastModifiedBy>Bacon, David</cp:lastModifiedBy>
  <cp:revision>3</cp:revision>
  <dcterms:created xsi:type="dcterms:W3CDTF">2015-04-26T05:38:09Z</dcterms:created>
  <dcterms:modified xsi:type="dcterms:W3CDTF">2023-09-15T12:25:00Z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Ids_UIVersion_4096">
    <vt:lpwstr>11</vt:lpwstr>
  </property>
  <property fmtid="{D5CDD505-2E9C-101B-9397-08002B2CF9AE}" pid="4" name="ContentTypeId">
    <vt:lpwstr>0x0101004385A577933F924685E4DAD91140489E</vt:lpwstr>
  </property>
  <property fmtid="{D5CDD505-2E9C-101B-9397-08002B2CF9AE}" pid="5" name="DocSecurity">
    <vt:i4>0</vt:i4>
  </property>
  <property fmtid="{D5CDD505-2E9C-101B-9397-08002B2CF9AE}" pid="6" name="Gap Analysis Complete">
    <vt:bool>true</vt:bool>
  </property>
  <property fmtid="{D5CDD505-2E9C-101B-9397-08002B2CF9AE}" pid="7" name="HyperlinksChanged">
    <vt:bool>false</vt:bool>
  </property>
  <property fmtid="{D5CDD505-2E9C-101B-9397-08002B2CF9AE}" pid="8" name="Latest Kit Archived on Perforce">
    <vt:bool>true</vt:bool>
  </property>
  <property fmtid="{D5CDD505-2E9C-101B-9397-08002B2CF9AE}" pid="9" name="Layer">
    <vt:lpwstr/>
  </property>
  <property fmtid="{D5CDD505-2E9C-101B-9397-08002B2CF9AE}" pid="10" name="LinksUpToDate">
    <vt:bool>false</vt:bool>
  </property>
  <property fmtid="{D5CDD505-2E9C-101B-9397-08002B2CF9AE}" pid="11" name="Order">
    <vt:i4>1823000</vt:i4>
  </property>
  <property fmtid="{D5CDD505-2E9C-101B-9397-08002B2CF9AE}" pid="12" name="Organization">
    <vt:lpwstr/>
  </property>
  <property fmtid="{D5CDD505-2E9C-101B-9397-08002B2CF9AE}" pid="13" name="ScaleCrop">
    <vt:bool>false</vt:bool>
  </property>
  <property fmtid="{D5CDD505-2E9C-101B-9397-08002B2CF9AE}" pid="14" name="ShareDoc">
    <vt:bool>false</vt:bool>
  </property>
  <property fmtid="{D5CDD505-2E9C-101B-9397-08002B2CF9AE}" pid="15" name="Team Developing">
    <vt:lpwstr/>
  </property>
  <property fmtid="{D5CDD505-2E9C-101B-9397-08002B2CF9AE}" pid="16" name="TemplateUrl">
    <vt:lpwstr/>
  </property>
  <property fmtid="{D5CDD505-2E9C-101B-9397-08002B2CF9AE}" pid="17" name="URL">
    <vt:lpwstr/>
  </property>
  <property fmtid="{D5CDD505-2E9C-101B-9397-08002B2CF9AE}" pid="18" name="xd_ProgID">
    <vt:lpwstr/>
  </property>
  <property fmtid="{D5CDD505-2E9C-101B-9397-08002B2CF9AE}" pid="19" name="MSIP_Label_80744d05-bb34-4b7a-90cc-132cbdb578be_Enabled">
    <vt:lpwstr>true</vt:lpwstr>
  </property>
  <property fmtid="{D5CDD505-2E9C-101B-9397-08002B2CF9AE}" pid="20" name="MSIP_Label_80744d05-bb34-4b7a-90cc-132cbdb578be_SetDate">
    <vt:lpwstr>2023-09-12T19:26:46Z</vt:lpwstr>
  </property>
  <property fmtid="{D5CDD505-2E9C-101B-9397-08002B2CF9AE}" pid="21" name="MSIP_Label_80744d05-bb34-4b7a-90cc-132cbdb578be_Method">
    <vt:lpwstr>Privileged</vt:lpwstr>
  </property>
  <property fmtid="{D5CDD505-2E9C-101B-9397-08002B2CF9AE}" pid="22" name="MSIP_Label_80744d05-bb34-4b7a-90cc-132cbdb578be_Name">
    <vt:lpwstr>No Protection (Label Only)</vt:lpwstr>
  </property>
  <property fmtid="{D5CDD505-2E9C-101B-9397-08002B2CF9AE}" pid="23" name="MSIP_Label_80744d05-bb34-4b7a-90cc-132cbdb578be_SiteId">
    <vt:lpwstr>945c199a-83a2-4e80-9f8c-5a91be5752dd</vt:lpwstr>
  </property>
  <property fmtid="{D5CDD505-2E9C-101B-9397-08002B2CF9AE}" pid="24" name="MSIP_Label_80744d05-bb34-4b7a-90cc-132cbdb578be_ActionId">
    <vt:lpwstr>cab9f932-cd0d-49b5-9e6e-ff2d9a14cc78</vt:lpwstr>
  </property>
  <property fmtid="{D5CDD505-2E9C-101B-9397-08002B2CF9AE}" pid="25" name="MSIP_Label_80744d05-bb34-4b7a-90cc-132cbdb578be_ContentBits">
    <vt:lpwstr>1</vt:lpwstr>
  </property>
</Properties>
</file>