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codeName="ThisWorkbook"/>
  <mc:AlternateContent xmlns:mc="http://schemas.openxmlformats.org/markup-compatibility/2006">
    <mc:Choice Requires="x15">
      <x15ac:absPath xmlns:x15ac="http://schemas.microsoft.com/office/spreadsheetml/2010/11/ac" url="C:\vscode_workspace\python_workspace\lostark\search_market_item_proj\"/>
    </mc:Choice>
  </mc:AlternateContent>
  <bookViews>
    <workbookView xWindow="0" yWindow="0" windowWidth="21990" windowHeight="9990" tabRatio="500"/>
  </bookViews>
  <sheets>
    <sheet name="융화 재료" sheetId="1" r:id="rId1"/>
  </sheets>
  <calcPr calcId="171027"/>
</workbook>
</file>

<file path=xl/calcChain.xml><?xml version="1.0" encoding="utf-8"?>
<calcChain xmlns="http://schemas.openxmlformats.org/spreadsheetml/2006/main">
  <c r="Y44" i="1" l="1"/>
  <c r="Y43" i="1"/>
  <c r="Y42" i="1"/>
  <c r="Y40" i="1"/>
  <c r="Y39" i="1"/>
  <c r="Y38" i="1"/>
  <c r="K38" i="1"/>
  <c r="F37" i="1"/>
  <c r="E37" i="1"/>
  <c r="D37" i="1"/>
  <c r="K36" i="1"/>
  <c r="K35" i="1"/>
  <c r="F35" i="1"/>
  <c r="E35" i="1"/>
  <c r="D35" i="1"/>
  <c r="K32" i="1"/>
  <c r="F31" i="1"/>
  <c r="E31" i="1"/>
  <c r="D31" i="1"/>
  <c r="V30" i="1"/>
  <c r="F30" i="1"/>
  <c r="E30" i="1"/>
  <c r="D30" i="1"/>
  <c r="K29" i="1"/>
  <c r="K25" i="1"/>
  <c r="F24" i="1"/>
  <c r="E24" i="1"/>
  <c r="D24" i="1"/>
  <c r="K23" i="1"/>
  <c r="K22" i="1"/>
  <c r="L17" i="1"/>
  <c r="H17" i="1"/>
  <c r="D17" i="1"/>
  <c r="L16" i="1"/>
  <c r="H16" i="1"/>
  <c r="D16" i="1"/>
  <c r="L15" i="1"/>
  <c r="U30" i="1" s="1"/>
  <c r="H15" i="1"/>
  <c r="Q26" i="1" s="1"/>
  <c r="D15" i="1"/>
  <c r="Q22" i="1" s="1"/>
  <c r="L12" i="1"/>
  <c r="H12" i="1"/>
  <c r="D12" i="1"/>
  <c r="L11" i="1"/>
  <c r="H11" i="1"/>
  <c r="D11" i="1"/>
  <c r="L10" i="1"/>
  <c r="J36" i="1" s="1"/>
  <c r="H10" i="1"/>
  <c r="J29" i="1" s="1"/>
  <c r="D10" i="1"/>
  <c r="J23" i="1" s="1"/>
  <c r="L9" i="1"/>
  <c r="J38" i="1" s="1"/>
  <c r="H9" i="1"/>
  <c r="J32" i="1" s="1"/>
  <c r="D9" i="1"/>
  <c r="J25" i="1" s="1"/>
  <c r="P22" i="1" l="1"/>
  <c r="R22" i="1"/>
  <c r="G24" i="1"/>
  <c r="R26" i="1"/>
  <c r="G30" i="1"/>
  <c r="G31" i="1"/>
  <c r="G35" i="1"/>
  <c r="G37" i="1"/>
  <c r="S22" i="1"/>
  <c r="H24" i="1"/>
  <c r="S26" i="1"/>
  <c r="H30" i="1"/>
  <c r="H31" i="1"/>
  <c r="H35" i="1"/>
  <c r="H37" i="1"/>
  <c r="T26" i="1"/>
  <c r="I30" i="1"/>
  <c r="I31" i="1"/>
  <c r="I35" i="1"/>
  <c r="I37" i="1"/>
  <c r="U22" i="1"/>
  <c r="J24" i="1"/>
  <c r="U26" i="1"/>
  <c r="J30" i="1"/>
  <c r="J31" i="1"/>
  <c r="J35" i="1"/>
  <c r="J37" i="1"/>
  <c r="K37" i="1"/>
  <c r="T22" i="1"/>
  <c r="V26" i="1"/>
  <c r="D22" i="1"/>
  <c r="D25" i="1"/>
  <c r="D29" i="1"/>
  <c r="O30" i="1"/>
  <c r="D32" i="1"/>
  <c r="D36" i="1"/>
  <c r="D38" i="1"/>
  <c r="E25" i="1"/>
  <c r="E29" i="1"/>
  <c r="P30" i="1"/>
  <c r="E32" i="1"/>
  <c r="E36" i="1"/>
  <c r="E38" i="1"/>
  <c r="O22" i="1"/>
  <c r="O26" i="1"/>
  <c r="V22" i="1"/>
  <c r="E23" i="1"/>
  <c r="F22" i="1"/>
  <c r="F23" i="1"/>
  <c r="F25" i="1"/>
  <c r="F29" i="1"/>
  <c r="Q30" i="1"/>
  <c r="F32" i="1"/>
  <c r="F36" i="1"/>
  <c r="F38" i="1"/>
  <c r="P26" i="1"/>
  <c r="I24" i="1"/>
  <c r="K24" i="1"/>
  <c r="G22" i="1"/>
  <c r="G23" i="1"/>
  <c r="G25" i="1"/>
  <c r="G29" i="1"/>
  <c r="R30" i="1"/>
  <c r="G32" i="1"/>
  <c r="G36" i="1"/>
  <c r="G38" i="1"/>
  <c r="K31" i="1"/>
  <c r="H22" i="1"/>
  <c r="H23" i="1"/>
  <c r="H25" i="1"/>
  <c r="H29" i="1"/>
  <c r="S30" i="1"/>
  <c r="H32" i="1"/>
  <c r="H36" i="1"/>
  <c r="H38" i="1"/>
  <c r="D23" i="1"/>
  <c r="I22" i="1"/>
  <c r="I23" i="1"/>
  <c r="I25" i="1"/>
  <c r="I29" i="1"/>
  <c r="T30" i="1"/>
  <c r="I32" i="1"/>
  <c r="I36" i="1"/>
  <c r="I38" i="1"/>
  <c r="K30" i="1"/>
  <c r="E22" i="1"/>
  <c r="J22" i="1"/>
</calcChain>
</file>

<file path=xl/sharedStrings.xml><?xml version="1.0" encoding="utf-8"?>
<sst xmlns="http://schemas.openxmlformats.org/spreadsheetml/2006/main" count="158" uniqueCount="69">
  <si>
    <t>제작자: 명인은죽었다</t>
  </si>
  <si>
    <t>최신 수정일</t>
  </si>
  <si>
    <t>매뉴얼</t>
  </si>
  <si>
    <t>python 스크립트가 없다면</t>
  </si>
  <si>
    <t>* 구매 없음: 모든 재료를 가지고 있을 때 아이템 제작 시 수입에서 원재료 판매 시의 수입을 뺀 값. 음수면 재료를 파는 것이 이익</t>
  </si>
  <si>
    <t>1. 회색 칸의 값들을 수동으로 수정한다.</t>
  </si>
  <si>
    <t>* 모두 구매: 모든 재료를 구매하여 제작했을 때의 손익</t>
  </si>
  <si>
    <t>python 스크립트가 있다면</t>
  </si>
  <si>
    <t>* 시트의 손익은 '한 묶음 당' 기준 (아비도스 10개, 최상레하 15개, 상레하 20개, 중레하 30개가 한 묶음)</t>
  </si>
  <si>
    <t>1. 스크립트를 실행한 후 파일을 연다.</t>
  </si>
  <si>
    <t>* 빨간 테두리(최대 이득) 기준: 1) 최상급 오레하의 '구매 없음', 2) 최상급 오레하의 '모두 구매', 3) 아비도스의 '구매 없음', 4) 아비도스의 '모두 구매'</t>
  </si>
  <si>
    <t>2. 제작 수수료 절감률을 수동으로 수정한다.</t>
  </si>
  <si>
    <t>고고학 재료</t>
  </si>
  <si>
    <t>거래소 가격</t>
  </si>
  <si>
    <t>낚시 재료</t>
  </si>
  <si>
    <t>수렵 재료</t>
  </si>
  <si>
    <t>제작품</t>
  </si>
  <si>
    <t>제작 수수료 절감률(%)</t>
  </si>
  <si>
    <t>아비도스 유물</t>
  </si>
  <si>
    <t>아비도스 태양 잉어</t>
  </si>
  <si>
    <t>아비도스 두툼한 생고기</t>
  </si>
  <si>
    <t>오레하</t>
  </si>
  <si>
    <t>오레하 유물</t>
  </si>
  <si>
    <t>오레하 태양 잉어</t>
  </si>
  <si>
    <t>오레하 두툼한 생고기</t>
  </si>
  <si>
    <t>상급 오레하</t>
  </si>
  <si>
    <t>희귀한 유물</t>
  </si>
  <si>
    <t>붉은 살 생선</t>
  </si>
  <si>
    <t>다듬은 생고기</t>
  </si>
  <si>
    <t>최상급 오레하</t>
  </si>
  <si>
    <t>고대 유물</t>
  </si>
  <si>
    <t>생선</t>
  </si>
  <si>
    <t>두툼한 생고기</t>
  </si>
  <si>
    <t>아비도스</t>
  </si>
  <si>
    <t>벌목 재료</t>
  </si>
  <si>
    <t>채광 재료</t>
  </si>
  <si>
    <t>채집 재료</t>
  </si>
  <si>
    <t>목재</t>
  </si>
  <si>
    <t>아비도스 목재</t>
  </si>
  <si>
    <t>아비도스 철광석</t>
  </si>
  <si>
    <t>아비도스 들꽃</t>
  </si>
  <si>
    <t>철광석</t>
  </si>
  <si>
    <t>부드러운 목재</t>
  </si>
  <si>
    <t>묵직한 철광석</t>
  </si>
  <si>
    <t>수줍은 들꽃</t>
  </si>
  <si>
    <t>들꽃</t>
  </si>
  <si>
    <t>손익(묶음 당)</t>
  </si>
  <si>
    <t>고고학</t>
  </si>
  <si>
    <t>벌목</t>
  </si>
  <si>
    <t>구매 없음</t>
  </si>
  <si>
    <t>모두 구매</t>
  </si>
  <si>
    <t>일반 구매</t>
  </si>
  <si>
    <t>고급 구매</t>
  </si>
  <si>
    <t>희귀 구매</t>
  </si>
  <si>
    <t>일반+고급</t>
  </si>
  <si>
    <t>일반+희귀</t>
  </si>
  <si>
    <t>고급+희귀</t>
  </si>
  <si>
    <t>채광</t>
  </si>
  <si>
    <t>낚시</t>
  </si>
  <si>
    <t>채집</t>
  </si>
  <si>
    <t>수렵</t>
  </si>
  <si>
    <t>구매 재료</t>
  </si>
  <si>
    <t>최상레하</t>
  </si>
  <si>
    <t>52*40</t>
  </si>
  <si>
    <t>69*40</t>
  </si>
  <si>
    <t>142*40</t>
  </si>
  <si>
    <t>33*40</t>
  </si>
  <si>
    <t>45*40</t>
  </si>
  <si>
    <t>86*40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</si>
</sst>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</font>
    <font>
      <sz val="11"/>
      <color rgb="FF000000"/>
      <name val="함초롬돋움"/>
      <family val="3"/>
      <charset val="129"/>
    </font>
    <font>
      <sz val="10"/>
      <color rgb="FF000000"/>
      <name val="함초롬돋움"/>
      <family val="3"/>
      <charset val="129"/>
    </font>
    <font>
      <b/>
      <sz val="11"/>
      <color rgb="FF000000"/>
      <name val="함초롬돋움"/>
      <family val="3"/>
      <charset val="129"/>
    </font>
    <font>
      <sz val="9"/>
      <color rgb="FF000000"/>
      <name val="함초롬돋움"/>
      <family val="3"/>
      <charset val="129"/>
    </font>
    <font>
      <sz val="8"/>
      <name val="돋움체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5050"/>
        <bgColor indexed="64"/>
      </patternFill>
    </fill>
  </fills>
  <borders count="15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 applyAlignment="1">
      <alignment vertical="center"/>
    </xf>
    <xf numFmtId="2" fontId="1" fillId="0" borderId="0" xfId="0" applyNumberFormat="1" applyFont="1" applyAlignment="1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/>
    <xf numFmtId="0" fontId="1" fillId="7" borderId="4" xfId="0" applyFont="1" applyFill="1" applyBorder="1" applyAlignment="1">
      <alignment horizontal="center" vertical="center"/>
    </xf>
    <xf numFmtId="0" fontId="0" fillId="0" borderId="10" xfId="0" applyBorder="1" applyAlignment="1"/>
    <xf numFmtId="0" fontId="1" fillId="6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1" fillId="8" borderId="14" xfId="0" applyFont="1" applyFill="1" applyBorder="1" applyAlignment="1">
      <alignment horizontal="center" vertical="center"/>
    </xf>
    <xf numFmtId="0" fontId="0" fillId="0" borderId="3" xfId="0" applyBorder="1" applyAlignment="1"/>
    <xf numFmtId="14" fontId="1" fillId="2" borderId="12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1" fillId="3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0" fillId="0" borderId="8" xfId="0" applyBorder="1" applyAlignment="1"/>
    <xf numFmtId="0" fontId="1" fillId="5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/>
    <xf numFmtId="14" fontId="1" fillId="2" borderId="4" xfId="0" applyNumberFormat="1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0" borderId="9" xfId="0" applyBorder="1" applyAlignment="1"/>
    <xf numFmtId="0" fontId="1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vertical="center"/>
    </xf>
    <xf numFmtId="0" fontId="1" fillId="4" borderId="12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0" fillId="0" borderId="11" xfId="0" applyBorder="1" applyAlignment="1"/>
    <xf numFmtId="0" fontId="1" fillId="0" borderId="12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</cellXfs>
  <cellStyles count="1">
    <cellStyle name="표준" xfId="0" builtinId="0"/>
  </cellStyles>
  <dxfs count="18"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  <tableStyle name="Light Style 1 - Accent 1" table="0" count="7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AB1000"/>
  <sheetViews>
    <sheetView tabSelected="1" zoomScale="85" zoomScaleNormal="85" zoomScaleSheetLayoutView="75" workbookViewId="0">
      <selection activeCell="B2" sqref="B2"/>
    </sheetView>
  </sheetViews>
  <sheetFormatPr defaultColWidth="14.42578125" defaultRowHeight="15" customHeight="1" x14ac:dyDescent="0.25"/>
  <cols>
    <col min="1" max="11" width="9.28515625" style="7" customWidth="1"/>
    <col min="12" max="12" width="9.140625" style="7" customWidth="1"/>
    <col min="13" max="25" width="9.28515625" style="7" customWidth="1"/>
    <col min="26" max="26" width="11.42578125" style="7" customWidth="1"/>
    <col min="27" max="34" width="14.42578125" style="7" customWidth="1"/>
    <col min="35" max="16384" width="14.42578125" style="7"/>
  </cols>
  <sheetData>
    <row r="1" spans="2:28" ht="16.5" customHeight="1" x14ac:dyDescent="0.25">
      <c r="B1" s="7" t="s">
        <v>0</v>
      </c>
      <c r="E1" s="6" t="s">
        <v>1</v>
      </c>
      <c r="G1" s="18">
        <v>45584</v>
      </c>
      <c r="H1" s="19"/>
    </row>
    <row r="2" spans="2:28" ht="16.5" customHeight="1" x14ac:dyDescent="0.25"/>
    <row r="3" spans="2:28" ht="16.5" customHeight="1" x14ac:dyDescent="0.25">
      <c r="B3" s="2" t="s">
        <v>2</v>
      </c>
      <c r="C3" s="7" t="s">
        <v>3</v>
      </c>
      <c r="I3" s="7" t="s">
        <v>4</v>
      </c>
      <c r="Z3" s="1"/>
      <c r="AA3" s="1"/>
    </row>
    <row r="4" spans="2:28" ht="16.5" customHeight="1" x14ac:dyDescent="0.25">
      <c r="C4" s="7" t="s">
        <v>5</v>
      </c>
      <c r="I4" s="7" t="s">
        <v>6</v>
      </c>
      <c r="Z4" s="1"/>
      <c r="AA4" s="1"/>
    </row>
    <row r="5" spans="2:28" ht="16.5" customHeight="1" x14ac:dyDescent="0.25">
      <c r="C5" s="7" t="s">
        <v>7</v>
      </c>
      <c r="I5" s="7" t="s">
        <v>8</v>
      </c>
      <c r="Z5" s="1"/>
      <c r="AA5" s="1"/>
    </row>
    <row r="6" spans="2:28" ht="16.5" customHeight="1" x14ac:dyDescent="0.25">
      <c r="C6" s="7" t="s">
        <v>9</v>
      </c>
      <c r="I6" s="3" t="s">
        <v>10</v>
      </c>
      <c r="Z6" s="1"/>
      <c r="AA6" s="1"/>
    </row>
    <row r="7" spans="2:28" ht="16.5" customHeight="1" x14ac:dyDescent="0.25">
      <c r="C7" s="7" t="s">
        <v>11</v>
      </c>
      <c r="S7" s="1"/>
      <c r="Z7" s="1"/>
      <c r="AA7" s="1"/>
    </row>
    <row r="8" spans="2:28" ht="16.5" customHeight="1" x14ac:dyDescent="0.25">
      <c r="B8" s="29" t="s">
        <v>12</v>
      </c>
      <c r="C8" s="22"/>
      <c r="D8" s="8" t="s">
        <v>13</v>
      </c>
      <c r="E8" s="9"/>
      <c r="F8" s="8" t="s">
        <v>14</v>
      </c>
      <c r="G8" s="9"/>
      <c r="H8" s="8" t="s">
        <v>13</v>
      </c>
      <c r="I8" s="9"/>
      <c r="J8" s="8" t="s">
        <v>15</v>
      </c>
      <c r="K8" s="9"/>
      <c r="L8" s="24" t="s">
        <v>13</v>
      </c>
      <c r="M8" s="25"/>
      <c r="N8" s="1"/>
      <c r="O8" s="29" t="s">
        <v>16</v>
      </c>
      <c r="P8" s="22"/>
      <c r="Q8" s="24" t="s">
        <v>13</v>
      </c>
      <c r="R8" s="25"/>
      <c r="S8" s="1"/>
      <c r="T8" s="37" t="s">
        <v>17</v>
      </c>
      <c r="U8" s="22"/>
      <c r="V8" s="13"/>
      <c r="Z8" s="1"/>
      <c r="AA8" s="1"/>
    </row>
    <row r="9" spans="2:28" ht="16.5" customHeight="1" x14ac:dyDescent="0.25">
      <c r="B9" s="26" t="s">
        <v>18</v>
      </c>
      <c r="C9" s="11"/>
      <c r="D9" s="20">
        <f>Z26</f>
        <v>590</v>
      </c>
      <c r="E9" s="11"/>
      <c r="F9" s="26" t="s">
        <v>19</v>
      </c>
      <c r="G9" s="11"/>
      <c r="H9" s="20">
        <f>Z29</f>
        <v>575</v>
      </c>
      <c r="I9" s="11"/>
      <c r="J9" s="38" t="s">
        <v>20</v>
      </c>
      <c r="K9" s="11"/>
      <c r="L9" s="28">
        <f>Z30</f>
        <v>585</v>
      </c>
      <c r="M9" s="11"/>
      <c r="N9" s="1"/>
      <c r="O9" s="34" t="s">
        <v>21</v>
      </c>
      <c r="P9" s="13"/>
      <c r="Q9" s="21">
        <v>10</v>
      </c>
      <c r="R9" s="11"/>
      <c r="S9" s="1"/>
      <c r="T9" s="21">
        <v>13</v>
      </c>
      <c r="U9" s="22"/>
      <c r="V9" s="11"/>
      <c r="Z9" s="1"/>
      <c r="AA9" s="1"/>
    </row>
    <row r="10" spans="2:28" ht="16.5" customHeight="1" x14ac:dyDescent="0.25">
      <c r="B10" s="30" t="s">
        <v>22</v>
      </c>
      <c r="C10" s="31"/>
      <c r="D10" s="17">
        <f>Z33</f>
        <v>581</v>
      </c>
      <c r="E10" s="11"/>
      <c r="F10" s="32" t="s">
        <v>23</v>
      </c>
      <c r="G10" s="11"/>
      <c r="H10" s="20">
        <f>Z31</f>
        <v>518</v>
      </c>
      <c r="I10" s="11"/>
      <c r="J10" s="33" t="s">
        <v>24</v>
      </c>
      <c r="K10" s="11"/>
      <c r="L10" s="20">
        <f>Z32</f>
        <v>505</v>
      </c>
      <c r="M10" s="11"/>
      <c r="N10" s="1"/>
      <c r="O10" s="14" t="s">
        <v>25</v>
      </c>
      <c r="P10" s="15"/>
      <c r="Q10" s="21">
        <v>20</v>
      </c>
      <c r="R10" s="11"/>
      <c r="S10" s="1"/>
    </row>
    <row r="11" spans="2:28" ht="16.5" customHeight="1" x14ac:dyDescent="0.25">
      <c r="B11" s="10" t="s">
        <v>26</v>
      </c>
      <c r="C11" s="11"/>
      <c r="D11" s="17">
        <f>Z24</f>
        <v>92</v>
      </c>
      <c r="E11" s="11"/>
      <c r="F11" s="10" t="s">
        <v>27</v>
      </c>
      <c r="G11" s="11"/>
      <c r="H11" s="20">
        <f>Z23</f>
        <v>85</v>
      </c>
      <c r="I11" s="11"/>
      <c r="J11" s="10" t="s">
        <v>28</v>
      </c>
      <c r="K11" s="11"/>
      <c r="L11" s="20">
        <f>Z25</f>
        <v>89</v>
      </c>
      <c r="M11" s="11"/>
      <c r="N11" s="1"/>
      <c r="O11" s="35" t="s">
        <v>29</v>
      </c>
      <c r="P11" s="36"/>
      <c r="Q11" s="21">
        <v>46</v>
      </c>
      <c r="R11" s="11"/>
      <c r="S11" s="1"/>
    </row>
    <row r="12" spans="2:28" ht="16.5" customHeight="1" x14ac:dyDescent="0.25">
      <c r="B12" s="20" t="s">
        <v>30</v>
      </c>
      <c r="C12" s="11"/>
      <c r="D12" s="17">
        <f>Z19</f>
        <v>45</v>
      </c>
      <c r="E12" s="11"/>
      <c r="F12" s="20" t="s">
        <v>31</v>
      </c>
      <c r="G12" s="11"/>
      <c r="H12" s="20">
        <f>Z17</f>
        <v>43</v>
      </c>
      <c r="I12" s="11"/>
      <c r="J12" s="20" t="s">
        <v>32</v>
      </c>
      <c r="K12" s="11"/>
      <c r="L12" s="20">
        <f>Z18</f>
        <v>43</v>
      </c>
      <c r="M12" s="11"/>
      <c r="N12" s="1"/>
      <c r="O12" s="27" t="s">
        <v>33</v>
      </c>
      <c r="P12" s="13"/>
      <c r="Q12" s="21">
        <v>65</v>
      </c>
      <c r="R12" s="11"/>
      <c r="S12" s="1"/>
      <c r="Z12" s="4"/>
    </row>
    <row r="13" spans="2:28" ht="16.5" customHeight="1" x14ac:dyDescent="0.25">
      <c r="Q13" s="1"/>
      <c r="R13" s="1"/>
      <c r="Z13" s="1"/>
      <c r="AA13" s="1"/>
      <c r="AB13" s="1"/>
    </row>
    <row r="14" spans="2:28" ht="16.5" customHeight="1" x14ac:dyDescent="0.25">
      <c r="B14" s="29" t="s">
        <v>34</v>
      </c>
      <c r="C14" s="22"/>
      <c r="D14" s="8" t="s">
        <v>13</v>
      </c>
      <c r="E14" s="9"/>
      <c r="F14" s="8" t="s">
        <v>35</v>
      </c>
      <c r="G14" s="9"/>
      <c r="H14" s="8" t="s">
        <v>13</v>
      </c>
      <c r="I14" s="9"/>
      <c r="J14" s="8" t="s">
        <v>36</v>
      </c>
      <c r="K14" s="9"/>
      <c r="L14" s="24" t="s">
        <v>13</v>
      </c>
      <c r="M14" s="25"/>
      <c r="P14" s="1"/>
      <c r="Q14" s="1"/>
      <c r="R14" s="1"/>
      <c r="X14" s="20" t="s">
        <v>37</v>
      </c>
      <c r="Y14" s="11"/>
      <c r="Z14" s="12">
        <v>44</v>
      </c>
      <c r="AA14" s="13"/>
      <c r="AB14" s="1"/>
    </row>
    <row r="15" spans="2:28" ht="16.5" customHeight="1" x14ac:dyDescent="0.25">
      <c r="B15" s="26" t="s">
        <v>38</v>
      </c>
      <c r="C15" s="11"/>
      <c r="D15" s="20">
        <f>Z34</f>
        <v>569</v>
      </c>
      <c r="E15" s="11"/>
      <c r="F15" s="26" t="s">
        <v>39</v>
      </c>
      <c r="G15" s="11"/>
      <c r="H15" s="20">
        <f>Z27</f>
        <v>576</v>
      </c>
      <c r="I15" s="11"/>
      <c r="J15" s="26" t="s">
        <v>40</v>
      </c>
      <c r="K15" s="11"/>
      <c r="L15" s="20">
        <f>Z28</f>
        <v>565</v>
      </c>
      <c r="M15" s="11"/>
      <c r="P15" s="1"/>
      <c r="Q15" s="1"/>
      <c r="R15" s="1"/>
      <c r="X15" s="20" t="s">
        <v>41</v>
      </c>
      <c r="Y15" s="11"/>
      <c r="Z15" s="12">
        <v>47</v>
      </c>
      <c r="AA15" s="13"/>
    </row>
    <row r="16" spans="2:28" ht="16.5" customHeight="1" x14ac:dyDescent="0.25">
      <c r="B16" s="10" t="s">
        <v>42</v>
      </c>
      <c r="C16" s="11"/>
      <c r="D16" s="17">
        <f>Z22</f>
        <v>87</v>
      </c>
      <c r="E16" s="11"/>
      <c r="F16" s="10" t="s">
        <v>43</v>
      </c>
      <c r="G16" s="11"/>
      <c r="H16" s="20">
        <f>Z21</f>
        <v>86</v>
      </c>
      <c r="I16" s="11"/>
      <c r="J16" s="10" t="s">
        <v>44</v>
      </c>
      <c r="K16" s="11"/>
      <c r="L16" s="20">
        <f>Z20</f>
        <v>157</v>
      </c>
      <c r="M16" s="11"/>
      <c r="O16" s="1"/>
      <c r="P16" s="1"/>
      <c r="Q16" s="1"/>
      <c r="R16" s="1"/>
      <c r="X16" s="20" t="s">
        <v>45</v>
      </c>
      <c r="Y16" s="11"/>
      <c r="Z16" s="12">
        <v>60</v>
      </c>
      <c r="AA16" s="13"/>
      <c r="AB16" s="1"/>
    </row>
    <row r="17" spans="2:28" ht="16.5" customHeight="1" x14ac:dyDescent="0.25">
      <c r="B17" s="17" t="s">
        <v>37</v>
      </c>
      <c r="C17" s="11"/>
      <c r="D17" s="17">
        <f>Z14</f>
        <v>44</v>
      </c>
      <c r="E17" s="11"/>
      <c r="F17" s="17" t="s">
        <v>41</v>
      </c>
      <c r="G17" s="11"/>
      <c r="H17" s="20">
        <f>Z15</f>
        <v>47</v>
      </c>
      <c r="I17" s="11"/>
      <c r="J17" s="17" t="s">
        <v>45</v>
      </c>
      <c r="K17" s="11"/>
      <c r="L17" s="20">
        <f>Z16</f>
        <v>60</v>
      </c>
      <c r="M17" s="11"/>
      <c r="N17" s="5"/>
      <c r="O17" s="1"/>
      <c r="P17" s="1"/>
      <c r="Q17" s="1"/>
      <c r="R17" s="1"/>
      <c r="X17" s="20" t="s">
        <v>31</v>
      </c>
      <c r="Y17" s="11"/>
      <c r="Z17" s="12">
        <v>43</v>
      </c>
      <c r="AA17" s="13"/>
      <c r="AB17" s="1"/>
    </row>
    <row r="18" spans="2:28" ht="16.5" customHeight="1" x14ac:dyDescent="0.25">
      <c r="N18" s="5"/>
      <c r="O18" s="1"/>
      <c r="P18" s="1"/>
      <c r="Q18" s="1"/>
      <c r="R18" s="1"/>
      <c r="X18" s="20" t="s">
        <v>32</v>
      </c>
      <c r="Y18" s="11"/>
      <c r="Z18" s="12">
        <v>43</v>
      </c>
      <c r="AA18" s="13"/>
      <c r="AB18" s="1"/>
    </row>
    <row r="19" spans="2:28" ht="16.5" customHeight="1" x14ac:dyDescent="0.25">
      <c r="B19" s="17" t="s">
        <v>46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11"/>
      <c r="X19" s="20" t="s">
        <v>30</v>
      </c>
      <c r="Y19" s="11"/>
      <c r="Z19" s="12">
        <v>45</v>
      </c>
      <c r="AA19" s="13"/>
    </row>
    <row r="20" spans="2:28" ht="16.5" customHeight="1" x14ac:dyDescent="0.25">
      <c r="B20" s="3"/>
      <c r="C20" s="3"/>
      <c r="D20" s="23" t="s">
        <v>47</v>
      </c>
      <c r="E20" s="22"/>
      <c r="F20" s="22"/>
      <c r="G20" s="22"/>
      <c r="H20" s="22"/>
      <c r="I20" s="22"/>
      <c r="J20" s="22"/>
      <c r="K20" s="11"/>
      <c r="L20" s="1"/>
      <c r="O20" s="23" t="s">
        <v>48</v>
      </c>
      <c r="P20" s="22"/>
      <c r="Q20" s="22"/>
      <c r="R20" s="22"/>
      <c r="S20" s="22"/>
      <c r="T20" s="22"/>
      <c r="U20" s="22"/>
      <c r="V20" s="11"/>
      <c r="W20" s="1"/>
      <c r="X20" s="10" t="s">
        <v>44</v>
      </c>
      <c r="Y20" s="11"/>
      <c r="Z20" s="12">
        <v>157</v>
      </c>
      <c r="AA20" s="13"/>
    </row>
    <row r="21" spans="2:28" ht="16.5" customHeight="1" x14ac:dyDescent="0.25">
      <c r="B21" s="20" t="s">
        <v>16</v>
      </c>
      <c r="C21" s="11"/>
      <c r="D21" s="7" t="s">
        <v>49</v>
      </c>
      <c r="E21" s="7" t="s">
        <v>50</v>
      </c>
      <c r="F21" s="7" t="s">
        <v>51</v>
      </c>
      <c r="G21" s="7" t="s">
        <v>52</v>
      </c>
      <c r="H21" s="7" t="s">
        <v>53</v>
      </c>
      <c r="I21" s="7" t="s">
        <v>54</v>
      </c>
      <c r="J21" s="7" t="s">
        <v>55</v>
      </c>
      <c r="K21" s="7" t="s">
        <v>56</v>
      </c>
      <c r="L21" s="1"/>
      <c r="M21" s="20" t="s">
        <v>16</v>
      </c>
      <c r="N21" s="11"/>
      <c r="O21" s="7" t="s">
        <v>49</v>
      </c>
      <c r="P21" s="7" t="s">
        <v>50</v>
      </c>
      <c r="Q21" s="7" t="s">
        <v>51</v>
      </c>
      <c r="R21" s="7" t="s">
        <v>52</v>
      </c>
      <c r="S21" s="7" t="s">
        <v>53</v>
      </c>
      <c r="T21" s="7" t="s">
        <v>54</v>
      </c>
      <c r="U21" s="7" t="s">
        <v>55</v>
      </c>
      <c r="V21" s="7" t="s">
        <v>56</v>
      </c>
      <c r="W21" s="1"/>
      <c r="X21" s="10" t="s">
        <v>43</v>
      </c>
      <c r="Y21" s="11"/>
      <c r="Z21" s="12">
        <v>86</v>
      </c>
      <c r="AA21" s="13"/>
    </row>
    <row r="22" spans="2:28" ht="16.5" customHeight="1" x14ac:dyDescent="0.25">
      <c r="B22" s="34" t="s">
        <v>21</v>
      </c>
      <c r="C22" s="13"/>
      <c r="D22" s="3">
        <f>($Q$9-ROUNDUP($Q$9*0.05,0))*30-(0.08*($D$10-ROUNDUP($D$10*0.05,0)))-(0.26*($D$11-ROUNDUP($D$11*0.05,0)))-(0.64*($D$12-ROUNDUP($D$12*0.05,0)))-(205-ROUNDUP(205*0.01*$T$9,0))</f>
        <v>-1.5799999999999841</v>
      </c>
      <c r="E22" s="3">
        <f>($Q$9-ROUNDUP($Q$9*0.05,0))*30-(0.08*$D$10)-(0.26*$D$11)-(0.64*$D$12)-(205-ROUNDUP(205*0.01*$T$9,0))</f>
        <v>-7.2000000000000455</v>
      </c>
      <c r="F22" s="3">
        <f>($Q$9-ROUNDUP($Q$9*0.05,0))*30-(0.08*($D$10-ROUNDUP($D$10*0.05,0)))-(0.26*($D$11-ROUNDUP($D$11*0.05,0)))-(0.64*$D$12)-(205-ROUNDUP(205*0.01*$T$9,0))</f>
        <v>-3.5</v>
      </c>
      <c r="G22" s="3">
        <f>($Q$9-ROUNDUP($Q$9*0.05,0))*30-(0.08*($D$10-ROUNDUP($D$10*0.05,0)))-(0.26*$D$11)-(0.64*($D$12-ROUNDUP($D$12*0.05,0)))-(205-ROUNDUP(205*0.01*$T$9,0))</f>
        <v>-2.8799999999999955</v>
      </c>
      <c r="H22" s="3">
        <f>($Q$9-ROUNDUP($Q$9*0.05,0))*30-(0.08*$D$10)-(0.26*($D$11-ROUNDUP($D$11*0.05,0)))-(0.64*($D$12-ROUNDUP($D$12*0.05,0)))-(205-ROUNDUP(205*0.01*$T$9,0))</f>
        <v>-3.9800000000000182</v>
      </c>
      <c r="I22" s="3">
        <f>($Q$9-ROUNDUP($Q$9*0.05,0))*30-(0.08*($D$10-ROUNDUP($D$10*0.05,0)))-(0.26*$D$11)-(0.64*$D$12)-(205-ROUNDUP(205*0.01*$T$9,0))</f>
        <v>-4.8000000000000114</v>
      </c>
      <c r="J22" s="3">
        <f>($Q$9-ROUNDUP($Q$9*0.05,0))*30-(0.08*$D$10)-(0.26*($D$11-ROUNDUP($D$11*0.05,0)))-(0.64*$D$12)-(205-ROUNDUP(205*0.01*$T$9,0))</f>
        <v>-5.9000000000000341</v>
      </c>
      <c r="K22" s="3">
        <f>($Q$9-ROUNDUP($Q$9*0.05,0))*30-(0.08*$D$10)-(0.26*$D$11)-(0.64*($D$12-ROUNDUP($D$12*0.05,0)))-(205-ROUNDUP(205*0.01*$T$9,0))</f>
        <v>-5.2800000000000296</v>
      </c>
      <c r="L22" s="1"/>
      <c r="M22" s="27" t="s">
        <v>33</v>
      </c>
      <c r="N22" s="13"/>
      <c r="O22" s="3">
        <f>($Q$12-ROUNDUP($Q$12*0.05,0))*10-(0.33*($D$15-ROUNDUP($D$15*0.05,0)))-(0.45*($D$16-ROUNDUP($D$16*0.05,0)))-(0.86*($D$17-ROUNDUP($D$17*0.05,0)))-(400-ROUNDUP(400*0.01*$T$9,0))</f>
        <v>11.639999999999986</v>
      </c>
      <c r="P22" s="3">
        <f>($Q$12-ROUNDUP($Q$12*0.05,0))*10-(0.33*$D$15)-(0.45*$D$16)-(0.86*$D$17)-(400-ROUNDUP(400*0.01*$T$9,0))</f>
        <v>-2.7599999999999341</v>
      </c>
      <c r="Q22" s="3">
        <f>($Q$12-ROUNDUP($Q$12*0.05,0))*10-(0.33*($D$15-ROUNDUP($D$15*0.05,0)))-(0.45*($D$16-ROUNDUP($D$16*0.05,0)))-(0.86*$D$17)-(400-ROUNDUP(400*0.01*$T$9,0))</f>
        <v>9.0600000000000023</v>
      </c>
      <c r="R22" s="3">
        <f>($Q$12-ROUNDUP($Q$12*0.05,0))*10-(0.33*($D$15-ROUNDUP($D$15*0.05,0)))-(0.45*$D$16)-(0.86*($D$17-ROUNDUP($D$17*0.05,0)))-(400-ROUNDUP(400*0.01*$T$9,0))</f>
        <v>9.3899999999999864</v>
      </c>
      <c r="S22" s="3">
        <f>($Q$12-ROUNDUP($Q$12*0.05,0))*10-(0.33*$D$15)-(0.45*($D$16-ROUNDUP($D$16*0.05,0)))-(0.86*($D$17-ROUNDUP($D$17*0.05,0)))-(400-ROUNDUP(400*0.01*$T$9,0))</f>
        <v>2.07000000000005</v>
      </c>
      <c r="T22" s="3">
        <f>($Q$12-ROUNDUP($Q$12*0.05,0))*10-(0.33*($D$15-ROUNDUP($D$15*0.05,0)))-(0.45*$D$16)-(0.86*$D$17)-(400-ROUNDUP(400*0.01*$T$9,0))</f>
        <v>6.8100000000000023</v>
      </c>
      <c r="U22" s="3">
        <f>($Q$12-ROUNDUP($Q$12*0.05,0))*10-(0.33*$D$15)-(0.45*($D$16-ROUNDUP($D$16*0.05,0)))-(0.86*$D$17)-(400-ROUNDUP(400*0.01*$T$9,0))</f>
        <v>-0.50999999999993406</v>
      </c>
      <c r="V22" s="3">
        <f>($Q$12-ROUNDUP($Q$12*0.05,0))*10-(0.33*$D$15)-(0.45*$D$16)-(0.86*($D$17-ROUNDUP($D$17*0.05,0)))-(400-ROUNDUP(400*0.01*$T$9,0))</f>
        <v>-0.17999999999994998</v>
      </c>
      <c r="W22" s="1"/>
      <c r="X22" s="10" t="s">
        <v>42</v>
      </c>
      <c r="Y22" s="11"/>
      <c r="Z22" s="12">
        <v>87</v>
      </c>
      <c r="AA22" s="13"/>
    </row>
    <row r="23" spans="2:28" ht="16.5" customHeight="1" x14ac:dyDescent="0.25">
      <c r="B23" s="14" t="s">
        <v>25</v>
      </c>
      <c r="C23" s="15"/>
      <c r="D23" s="3">
        <f>($Q$10-ROUNDUP($Q$10*0.05,0))*20-(0.16*($D$10-ROUNDUP($D$10*0.05,0)))-(0.29*($D$11-ROUNDUP($D$11*0.05,0)))-(0.94*($D$12-ROUNDUP($D$12*0.05,0)))-(250-ROUNDUP(250*0.01*$T$9,0))</f>
        <v>10.130000000000024</v>
      </c>
      <c r="E23" s="3">
        <f>($Q$10-ROUNDUP($Q$10*0.05,0))*20-(0.16*$D$10)-(0.29*$D$11)-(0.94*$D$12)-(250-ROUNDUP(250*0.01*$T$9,0))</f>
        <v>1.0599999999999454</v>
      </c>
      <c r="F23" s="3">
        <f>($Q$10-ROUNDUP($Q$10*0.05,0))*20-(0.16*($D$10-ROUNDUP($D$10*0.05,0)))-(0.29*($D$11-ROUNDUP($D$11*0.05,0)))-(0.94*$D$12)-(250-ROUNDUP(250*0.01*$T$9,0))</f>
        <v>7.3100000000000023</v>
      </c>
      <c r="G23" s="3">
        <f>($Q$10-ROUNDUP($Q$10*0.05,0))*20-(0.16*($D$10-ROUNDUP($D$10*0.05,0)))-(0.29*$D$11)-(0.94*($D$12-ROUNDUP($D$12*0.05,0)))-(250-ROUNDUP(250*0.01*$T$9,0))</f>
        <v>8.6800000000000352</v>
      </c>
      <c r="H23" s="3">
        <f>($Q$10-ROUNDUP($Q$10*0.05,0))*20-(0.16*$D$10)-(0.29*($D$11-ROUNDUP($D$11*0.05,0)))-(0.94*($D$12-ROUNDUP($D$12*0.05,0)))-(250-ROUNDUP(250*0.01*$T$9,0))</f>
        <v>5.3299999999999557</v>
      </c>
      <c r="I23" s="3">
        <f>($Q$10-ROUNDUP($Q$10*0.05,0))*20-(0.16*($D$10-ROUNDUP($D$10*0.05,0)))-(0.29*$D$11)-(0.94*$D$12)-(250-ROUNDUP(250*0.01*$T$9,0))</f>
        <v>5.8600000000000136</v>
      </c>
      <c r="J23" s="3">
        <f>($Q$10-ROUNDUP($Q$10*0.05,0))*20-(0.16*$D$10)-(0.29*($D$11-ROUNDUP($D$11*0.05,0)))-(0.94*$D$12)-(250-ROUNDUP(250*0.01*$T$9,0))</f>
        <v>2.5099999999999341</v>
      </c>
      <c r="K23" s="3">
        <f>($Q$10-ROUNDUP($Q$10*0.05,0))*20-(0.16*$D$10)-(0.29*$D$11)-(0.94*($D$12-ROUNDUP($D$12*0.05,0)))-(250-ROUNDUP(250*0.01*$T$9,0))</f>
        <v>3.879999999999967</v>
      </c>
      <c r="L23" s="1"/>
      <c r="M23" s="3"/>
      <c r="N23" s="3"/>
      <c r="O23" s="3"/>
      <c r="P23" s="3"/>
      <c r="Q23" s="3"/>
      <c r="R23" s="3"/>
      <c r="S23" s="3"/>
      <c r="T23" s="3"/>
      <c r="U23" s="3"/>
      <c r="V23" s="3"/>
      <c r="W23" s="1"/>
      <c r="X23" s="10" t="s">
        <v>27</v>
      </c>
      <c r="Y23" s="11"/>
      <c r="Z23" s="12">
        <v>85</v>
      </c>
      <c r="AA23" s="13"/>
    </row>
    <row r="24" spans="2:28" ht="16.5" customHeight="1" x14ac:dyDescent="0.25">
      <c r="B24" s="35" t="s">
        <v>29</v>
      </c>
      <c r="C24" s="36"/>
      <c r="D24" s="3">
        <f>($Q$11-ROUNDUP($Q$11*0.05,0))*15-(0.52*($D$10-ROUNDUP($D$10*0.05,0)))-(0.51*($D$11-ROUNDUP($D$11*0.05,0)))-(1.07*($D$12-ROUNDUP($D$12*0.05,0)))-(300-ROUNDUP(300*0.01*$T$9,0))</f>
        <v>8.1700000000000159</v>
      </c>
      <c r="E24" s="3">
        <f>($Q$11-ROUNDUP($Q$11*0.05,0))*15-(0.52*$D$10)-(0.51*$D$11)-(1.07*$D$12)-(300-ROUNDUP(300*0.01*$T$9,0))</f>
        <v>-13.190000000000026</v>
      </c>
      <c r="F24" s="3">
        <f>($Q$11-ROUNDUP($Q$11*0.05,0))*15-(0.52*($D$10-ROUNDUP($D$10*0.05,0)))-(0.51*($D$11-ROUNDUP($D$11*0.05,0)))-(1.07*$D$12)-(300-ROUNDUP(300*0.01*$T$9,0))</f>
        <v>4.9600000000000364</v>
      </c>
      <c r="G24" s="3">
        <f>($Q$11-ROUNDUP($Q$11*0.05,0))*15-(0.52*($D$10-ROUNDUP($D$10*0.05,0)))-(0.51*$D$11)-(1.07*($D$12-ROUNDUP($D$12*0.05,0)))-(300-ROUNDUP(300*0.01*$T$9,0))</f>
        <v>5.6200000000000045</v>
      </c>
      <c r="H24" s="3">
        <f>($Q$11-ROUNDUP($Q$11*0.05,0))*15-(0.52*$D$10)-(0.51*($D$11-ROUNDUP($D$11*0.05,0)))-(1.07*($D$12-ROUNDUP($D$12*0.05,0)))-(300-ROUNDUP(300*0.01*$T$9,0))</f>
        <v>-7.4300000000000068</v>
      </c>
      <c r="I24" s="3">
        <f>($Q$11-ROUNDUP($Q$11*0.05,0))*15-(0.52*($D$10-ROUNDUP($D$10*0.05,0)))-(0.51*$D$11)-(1.07*$D$12)-(300-ROUNDUP(300*0.01*$T$9,0))</f>
        <v>2.4099999999999682</v>
      </c>
      <c r="J24" s="3">
        <f>($Q$11-ROUNDUP($Q$11*0.05,0))*15-(0.52*$D$10)-(0.51*($D$11-ROUNDUP($D$11*0.05,0)))-(1.07*$D$12)-(300-ROUNDUP(300*0.01*$T$9,0))</f>
        <v>-10.640000000000015</v>
      </c>
      <c r="K24" s="3">
        <f>($Q$11-ROUNDUP($Q$11*0.05,0))*15-(0.52*$D$10)-(0.51*$D$11)-(1.07*($D$12-ROUNDUP($D$12*0.05,0)))-(300-ROUNDUP(300*0.01*$T$9,0))</f>
        <v>-9.9800000000000182</v>
      </c>
      <c r="L24" s="1"/>
      <c r="O24" s="23" t="s">
        <v>57</v>
      </c>
      <c r="P24" s="22"/>
      <c r="Q24" s="22"/>
      <c r="R24" s="22"/>
      <c r="S24" s="22"/>
      <c r="T24" s="22"/>
      <c r="U24" s="22"/>
      <c r="V24" s="11"/>
      <c r="W24" s="1"/>
      <c r="X24" s="10" t="s">
        <v>26</v>
      </c>
      <c r="Y24" s="11"/>
      <c r="Z24" s="12">
        <v>92</v>
      </c>
      <c r="AA24" s="13"/>
    </row>
    <row r="25" spans="2:28" ht="16.5" customHeight="1" x14ac:dyDescent="0.25">
      <c r="B25" s="27" t="s">
        <v>33</v>
      </c>
      <c r="C25" s="13"/>
      <c r="D25" s="3">
        <f>($Q$12-ROUNDUP($Q$12*0.05,0))*10-(0.33*($D$9-ROUNDUP($D$9*0.05,0)))-(0.45*($D$11-ROUNDUP($D$11*0.05,0)))-(0.86*($D$12-ROUNDUP($D$12*0.05,0)))-(400-ROUNDUP(400*0.01*$T$9,0))</f>
        <v>1.9300000000000068</v>
      </c>
      <c r="E25" s="3">
        <f>($Q$12-ROUNDUP($Q$12*0.05,0))*10-(0.33*$D$9)-(0.45*$D$11)-(0.86*$D$12)-(400-ROUNDUP(400*0.01*$T$9,0))</f>
        <v>-12.800000000000011</v>
      </c>
      <c r="F25" s="3">
        <f>($Q$12-ROUNDUP($Q$12*0.05,0))*10-(0.33*($D$9-ROUNDUP($D$9*0.05,0)))-(0.45*($D$11-ROUNDUP($D$11*0.05,0)))-(0.86*$D$12)-(400-ROUNDUP(400*0.01*$T$9,0))</f>
        <v>-0.64999999999997726</v>
      </c>
      <c r="G25" s="3">
        <f>($Q$12-ROUNDUP($Q$12*0.05,0))*10-(0.33*($D$9-ROUNDUP($D$9*0.05,0)))-(0.45*$D$11)-(0.86*($D$12-ROUNDUP($D$12*0.05,0)))-(400-ROUNDUP(400*0.01*$T$9,0))</f>
        <v>-0.31999999999999318</v>
      </c>
      <c r="H25" s="3">
        <f>($Q$12-ROUNDUP($Q$12*0.05,0))*10-(0.33*$D$9)-(0.45*($D$11-ROUNDUP($D$11*0.05,0)))-(0.86*($D$12-ROUNDUP($D$12*0.05,0)))-(400-ROUNDUP(400*0.01*$T$9,0))</f>
        <v>-7.9700000000000273</v>
      </c>
      <c r="I25" s="3">
        <f>($Q$12-ROUNDUP($Q$12*0.05,0))*10-(0.33*($D$9-ROUNDUP($D$9*0.05,0)))-(0.45*$D$11)-(0.86*$D$12)-(400-ROUNDUP(400*0.01*$T$9,0))</f>
        <v>-2.8999999999999773</v>
      </c>
      <c r="J25" s="3">
        <f>($Q$12-ROUNDUP($Q$12*0.05,0))*10-(0.33*$D$9)-(0.45*($D$11-ROUNDUP($D$11*0.05,0)))-(0.86*$D$12)-(400-ROUNDUP(400*0.01*$T$9,0))</f>
        <v>-10.550000000000011</v>
      </c>
      <c r="K25" s="3">
        <f>($Q$12-ROUNDUP($Q$12*0.05,0))*10-(0.33*$D$9)-(0.45*$D$11)-(0.86*($D$12-ROUNDUP($D$12*0.05,0)))-(400-ROUNDUP(400*0.01*$T$9,0))</f>
        <v>-10.220000000000027</v>
      </c>
      <c r="L25" s="1"/>
      <c r="M25" s="20" t="s">
        <v>16</v>
      </c>
      <c r="N25" s="11"/>
      <c r="O25" s="7" t="s">
        <v>49</v>
      </c>
      <c r="P25" s="7" t="s">
        <v>50</v>
      </c>
      <c r="Q25" s="7" t="s">
        <v>51</v>
      </c>
      <c r="R25" s="7" t="s">
        <v>52</v>
      </c>
      <c r="S25" s="7" t="s">
        <v>53</v>
      </c>
      <c r="T25" s="7" t="s">
        <v>54</v>
      </c>
      <c r="U25" s="7" t="s">
        <v>55</v>
      </c>
      <c r="V25" s="7" t="s">
        <v>56</v>
      </c>
      <c r="W25" s="1"/>
      <c r="X25" s="10" t="s">
        <v>28</v>
      </c>
      <c r="Y25" s="11"/>
      <c r="Z25" s="12">
        <v>89</v>
      </c>
      <c r="AA25" s="13"/>
    </row>
    <row r="26" spans="2:28" ht="16.5" customHeight="1" x14ac:dyDescent="0.25">
      <c r="M26" s="27" t="s">
        <v>33</v>
      </c>
      <c r="N26" s="13"/>
      <c r="O26" s="3">
        <f>($Q$12-ROUNDUP($Q$12*0.05,0))*10-(0.33*($H$15-ROUNDUP($H$15*0.05,0)))-(0.45*($H$16-ROUNDUP($H$16*0.05,0)))-(0.86*($H$17-ROUNDUP($H$17*0.05,0)))-(400-ROUNDUP(400*0.01*$T$9,0))</f>
        <v>7.2000000000000455</v>
      </c>
      <c r="P26" s="3">
        <f>($Q$12-ROUNDUP($Q$12*0.05,0))*10-(0.33*$H$15)-(0.45*$H$16)-(0.86*$H$17)-(400-ROUNDUP(400*0.01*$T$9,0))</f>
        <v>-7.2000000000000455</v>
      </c>
      <c r="Q26" s="3">
        <f>($Q$12-ROUNDUP($Q$12*0.05,0))*10-(0.33*($H$15-ROUNDUP($H$15*0.05,0)))-(0.45*($H$16-ROUNDUP($H$16*0.05,0)))-(0.86*$H$17)-(400-ROUNDUP(400*0.01*$T$9,0))</f>
        <v>4.6200000000000045</v>
      </c>
      <c r="R26" s="3">
        <f>($Q$12-ROUNDUP($Q$12*0.05,0))*10-(0.33*($H$15-ROUNDUP($H$15*0.05,0)))-(0.45*$H$16)-(0.86*($H$17-ROUNDUP($H$17*0.05,0)))-(400-ROUNDUP(400*0.01*$T$9,0))</f>
        <v>4.9500000000000455</v>
      </c>
      <c r="S26" s="3">
        <f>($Q$12-ROUNDUP($Q$12*0.05,0))*10-(0.33*$H$15)-(0.45*($H$16-ROUNDUP($H$16*0.05,0)))-(0.86*($H$17-ROUNDUP($H$17*0.05,0)))-(400-ROUNDUP(400*0.01*$T$9,0))</f>
        <v>-2.3700000000000045</v>
      </c>
      <c r="T26" s="3">
        <f>($Q$12-ROUNDUP($Q$12*0.05,0))*10-(0.33*($H$15-ROUNDUP($H$15*0.05,0)))-(0.45*$H$16)-(0.86*$H$17)-(400-ROUNDUP(400*0.01*$T$9,0))</f>
        <v>2.3700000000000045</v>
      </c>
      <c r="U26" s="3">
        <f>($Q$12-ROUNDUP($Q$12*0.05,0))*10-(0.33*$H$15)-(0.45*($H$16-ROUNDUP($H$16*0.05,0)))-(0.86*$H$17)-(400-ROUNDUP(400*0.01*$T$9,0))</f>
        <v>-4.9500000000000455</v>
      </c>
      <c r="V26" s="3">
        <f>($Q$12-ROUNDUP($Q$12*0.05,0))*10-(0.33*$H$15)-(0.45*$H$16)-(0.86*($H$17-ROUNDUP($H$17*0.05,0)))-(400-ROUNDUP(400*0.01*$T$9,0))</f>
        <v>-4.6200000000000045</v>
      </c>
      <c r="W26" s="1"/>
      <c r="X26" s="26" t="s">
        <v>18</v>
      </c>
      <c r="Y26" s="11"/>
      <c r="Z26" s="12">
        <v>590</v>
      </c>
      <c r="AA26" s="13"/>
    </row>
    <row r="27" spans="2:28" ht="16.5" customHeight="1" x14ac:dyDescent="0.25">
      <c r="B27" s="3"/>
      <c r="C27" s="3"/>
      <c r="D27" s="23" t="s">
        <v>58</v>
      </c>
      <c r="E27" s="22"/>
      <c r="F27" s="22"/>
      <c r="G27" s="22"/>
      <c r="H27" s="22"/>
      <c r="I27" s="22"/>
      <c r="J27" s="22"/>
      <c r="K27" s="11"/>
      <c r="W27" s="1"/>
      <c r="X27" s="16" t="s">
        <v>39</v>
      </c>
      <c r="Y27" s="13"/>
      <c r="Z27" s="12">
        <v>576</v>
      </c>
      <c r="AA27" s="13"/>
    </row>
    <row r="28" spans="2:28" ht="16.5" customHeight="1" x14ac:dyDescent="0.25">
      <c r="B28" s="20" t="s">
        <v>16</v>
      </c>
      <c r="C28" s="11"/>
      <c r="D28" s="7" t="s">
        <v>49</v>
      </c>
      <c r="E28" s="7" t="s">
        <v>50</v>
      </c>
      <c r="F28" s="7" t="s">
        <v>51</v>
      </c>
      <c r="G28" s="7" t="s">
        <v>52</v>
      </c>
      <c r="H28" s="7" t="s">
        <v>53</v>
      </c>
      <c r="I28" s="7" t="s">
        <v>54</v>
      </c>
      <c r="J28" s="7" t="s">
        <v>55</v>
      </c>
      <c r="K28" s="7" t="s">
        <v>56</v>
      </c>
      <c r="O28" s="23" t="s">
        <v>59</v>
      </c>
      <c r="P28" s="22"/>
      <c r="Q28" s="22"/>
      <c r="R28" s="22"/>
      <c r="S28" s="22"/>
      <c r="T28" s="22"/>
      <c r="U28" s="22"/>
      <c r="V28" s="11"/>
      <c r="W28" s="1"/>
      <c r="X28" s="26" t="s">
        <v>40</v>
      </c>
      <c r="Y28" s="11"/>
      <c r="Z28" s="12">
        <v>565</v>
      </c>
      <c r="AA28" s="13"/>
    </row>
    <row r="29" spans="2:28" ht="16.5" customHeight="1" x14ac:dyDescent="0.25">
      <c r="B29" s="34" t="s">
        <v>21</v>
      </c>
      <c r="C29" s="13"/>
      <c r="D29" s="3">
        <f>($Q$9-ROUNDUP($Q$9*0.05,0))*30-(0.1*($H$10-ROUNDUP($H$10*0.05,0)))-(0.4*($H$11-ROUNDUP($H$11*0.05,0)))-(0.8*($H$12-ROUNDUP($H$12*0.05,0)))-(80-ROUNDUP(80*0.01*$T$9,0))</f>
        <v>87.800000000000011</v>
      </c>
      <c r="E29" s="3">
        <f>($Q$9-ROUNDUP($Q$9*0.05,0))*30-(0.1*$H$10)-(0.4*$H$11)-(0.8*$H$12)-(80-ROUNDUP(80*0.01*$T$9,0))</f>
        <v>80.799999999999983</v>
      </c>
      <c r="F29" s="3">
        <f>($Q$9-ROUNDUP($Q$9*0.05,0))*30-(0.1*($H$10-ROUNDUP($H$10*0.05,0)))-(0.4*($H$11-ROUNDUP($H$11*0.05,0)))-(0.8*$H$12)-(80-ROUNDUP(80*0.01*$T$9,0))</f>
        <v>85.4</v>
      </c>
      <c r="G29" s="3">
        <f>($Q$9-ROUNDUP($Q$9*0.05,0))*30-(0.1*($H$10-ROUNDUP($H$10*0.05,0)))-(0.4*$H$11)-(0.8*($H$12-ROUNDUP($H$12*0.05,0)))-(80-ROUNDUP(80*0.01*$T$9,0))</f>
        <v>85.800000000000011</v>
      </c>
      <c r="H29" s="3">
        <f>($Q$9-ROUNDUP($Q$9*0.05,0))*30-(0.1*$H$10)-(0.4*($H$11-ROUNDUP($H$11*0.05,0)))-(0.8*($H$12-ROUNDUP($H$12*0.05,0)))-(80-ROUNDUP(80*0.01*$T$9,0))</f>
        <v>85.199999999999989</v>
      </c>
      <c r="I29" s="3">
        <f>($Q$9-ROUNDUP($Q$9*0.05,0))*30-(0.1*($H$10-ROUNDUP($H$10*0.05,0)))-(0.4*$H$11)-(0.8*$H$12)-(80-ROUNDUP(80*0.01*$T$9,0))</f>
        <v>83.4</v>
      </c>
      <c r="J29" s="3">
        <f>($Q$9-ROUNDUP($Q$9*0.05,0))*30-(0.1*$H$10)-(0.4*($H$11-ROUNDUP($H$11*0.05,0)))-(0.8*$H$12)-(80-ROUNDUP(80*0.01*$T$9,0))</f>
        <v>82.799999999999983</v>
      </c>
      <c r="K29" s="3">
        <f>($Q$9-ROUNDUP($Q$9*0.05,0))*30-(0.1*$H$10)-(0.4*$H$11)-(0.8*($H$12-ROUNDUP($H$12*0.05,0)))-(80-ROUNDUP(80*0.01*$T$9,0))</f>
        <v>83.199999999999989</v>
      </c>
      <c r="M29" s="20" t="s">
        <v>16</v>
      </c>
      <c r="N29" s="11"/>
      <c r="O29" s="7" t="s">
        <v>49</v>
      </c>
      <c r="P29" s="7" t="s">
        <v>50</v>
      </c>
      <c r="Q29" s="7" t="s">
        <v>51</v>
      </c>
      <c r="R29" s="7" t="s">
        <v>52</v>
      </c>
      <c r="S29" s="7" t="s">
        <v>53</v>
      </c>
      <c r="T29" s="7" t="s">
        <v>54</v>
      </c>
      <c r="U29" s="7" t="s">
        <v>55</v>
      </c>
      <c r="V29" s="7" t="s">
        <v>56</v>
      </c>
      <c r="W29" s="1"/>
      <c r="X29" s="26" t="s">
        <v>19</v>
      </c>
      <c r="Y29" s="11"/>
      <c r="Z29" s="12">
        <v>575</v>
      </c>
      <c r="AA29" s="13"/>
    </row>
    <row r="30" spans="2:28" ht="16.5" customHeight="1" x14ac:dyDescent="0.25">
      <c r="B30" s="14" t="s">
        <v>25</v>
      </c>
      <c r="C30" s="15"/>
      <c r="D30" s="3">
        <f>($Q$10-ROUNDUP($Q$10*0.05,0))*20-(0.16*($H$10-ROUNDUP($H$10*0.05,0)))-(0.64*($H$11-ROUNDUP($H$11*0.05,0)))-(1.28*($H$12-ROUNDUP($H$12*0.05,0)))-(250-ROUNDUP(250*0.01*$T$9,0))</f>
        <v>-18.120000000000005</v>
      </c>
      <c r="E30" s="3">
        <f>($Q$10-ROUNDUP($Q$10*0.05,0))*20-(0.16*$H$10)-(0.64*$H$11)-(1.28*$H$12)-(250-ROUNDUP(250*0.01*$T$9,0))</f>
        <v>-29.319999999999993</v>
      </c>
      <c r="F30" s="3">
        <f>($Q$10-ROUNDUP($Q$10*0.05,0))*20-(0.16*($H$10-ROUNDUP($H$10*0.05,0)))-(0.64*($H$11-ROUNDUP($H$11*0.05,0)))-(1.28*$H$12)-(250-ROUNDUP(250*0.01*$T$9,0))</f>
        <v>-21.960000000000008</v>
      </c>
      <c r="G30" s="3">
        <f>($Q$10-ROUNDUP($Q$10*0.05,0))*20-(0.16*($H$10-ROUNDUP($H$10*0.05,0)))-(0.64*$H$11)-(1.28*($H$12-ROUNDUP($H$12*0.05,0)))-(250-ROUNDUP(250*0.01*$T$9,0))</f>
        <v>-21.32000000000005</v>
      </c>
      <c r="H30" s="3">
        <f>($Q$10-ROUNDUP($Q$10*0.05,0))*20-(0.16*$H$10)-(0.64*($H$11-ROUNDUP($H$11*0.05,0)))-(1.28*($H$12-ROUNDUP($H$12*0.05,0)))-(250-ROUNDUP(250*0.01*$T$9,0))</f>
        <v>-22.279999999999973</v>
      </c>
      <c r="I30" s="3">
        <f>($Q$10-ROUNDUP($Q$10*0.05,0))*20-(0.16*($H$10-ROUNDUP($H$10*0.05,0)))-(0.64*$H$11)-(1.28*$H$12)-(250-ROUNDUP(250*0.01*$T$9,0))</f>
        <v>-25.160000000000025</v>
      </c>
      <c r="J30" s="3">
        <f>($Q$10-ROUNDUP($Q$10*0.05,0))*20-(0.16*$H$10)-(0.64*($H$11-ROUNDUP($H$11*0.05,0)))-(1.28*$H$12)-(250-ROUNDUP(250*0.01*$T$9,0))</f>
        <v>-26.119999999999976</v>
      </c>
      <c r="K30" s="3">
        <f>($Q$10-ROUNDUP($Q$10*0.05,0))*20-(0.16*$H$10)-(0.64*$H$11)-(1.28*($H$12-ROUNDUP($H$12*0.05,0)))-(250-ROUNDUP(250*0.01*$T$9,0))</f>
        <v>-25.480000000000018</v>
      </c>
      <c r="L30" s="1"/>
      <c r="M30" s="27" t="s">
        <v>33</v>
      </c>
      <c r="N30" s="13"/>
      <c r="O30" s="3">
        <f>($Q$12-ROUNDUP($Q$12*0.05,0))*10-(0.33*($L$15-ROUNDUP($L$15*0.05,0)))-(0.45*($L$16-ROUNDUP($L$16*0.05,0)))-(0.86*($L$17-ROUNDUP($L$17*0.05,0)))-(400-ROUNDUP(400*0.01*$T$9,0))</f>
        <v>-30.949999999999989</v>
      </c>
      <c r="P30" s="3">
        <f>($Q$12-ROUNDUP($Q$12*0.05,0))*10-(0.33*$L$15)-(0.45*$L$16)-(0.86*$L$17)-(400-ROUNDUP(400*0.01*$T$9,0))</f>
        <v>-46.700000000000045</v>
      </c>
      <c r="Q30" s="3">
        <f>($Q$12-ROUNDUP($Q$12*0.05,0))*10-(0.33*($L$15-ROUNDUP($L$15*0.05,0)))-(0.45*($L$16-ROUNDUP($L$16*0.05,0)))-(0.86*$L$17)-(400-ROUNDUP(400*0.01*$T$9,0))</f>
        <v>-33.53000000000003</v>
      </c>
      <c r="R30" s="3">
        <f>($Q$12-ROUNDUP($Q$12*0.05,0))*10-(0.33*($L$15-ROUNDUP($L$15*0.05,0)))-(0.45*$L$16)-(0.86*($L$17-ROUNDUP($L$17*0.05,0)))-(400-ROUNDUP(400*0.01*$T$9,0))</f>
        <v>-34.549999999999955</v>
      </c>
      <c r="S30" s="3">
        <f>($Q$12-ROUNDUP($Q$12*0.05,0))*10-(0.33*$L$15)-(0.45*($L$16-ROUNDUP($L$16*0.05,0)))-(0.86*($L$17-ROUNDUP($L$17*0.05,0)))-(400-ROUNDUP(400*0.01*$T$9,0))</f>
        <v>-40.520000000000039</v>
      </c>
      <c r="T30" s="3">
        <f>($Q$12-ROUNDUP($Q$12*0.05,0))*10-(0.33*($L$15-ROUNDUP($L$15*0.05,0)))-(0.45*$L$16)-(0.86*$L$17)-(400-ROUNDUP(400*0.01*$T$9,0))</f>
        <v>-37.129999999999995</v>
      </c>
      <c r="U30" s="3">
        <f>($Q$12-ROUNDUP($Q$12*0.05,0))*10-(0.33*$L$15)-(0.45*($L$16-ROUNDUP($L$16*0.05,0)))-(0.86*$L$17)-(400-ROUNDUP(400*0.01*$T$9,0))</f>
        <v>-43.10000000000008</v>
      </c>
      <c r="V30" s="3">
        <f>($Q$12-ROUNDUP($Q$12*0.05,0))*10-(0.33*$L$15)-(0.45*$L$16)-(0.86*($L$17-ROUNDUP($L$17*0.05,0)))-(400-ROUNDUP(400*0.01*$T$9,0))</f>
        <v>-44.120000000000005</v>
      </c>
      <c r="X30" s="38" t="s">
        <v>20</v>
      </c>
      <c r="Y30" s="11"/>
      <c r="Z30" s="12">
        <v>585</v>
      </c>
      <c r="AA30" s="13"/>
    </row>
    <row r="31" spans="2:28" ht="16.5" customHeight="1" x14ac:dyDescent="0.25">
      <c r="B31" s="35" t="s">
        <v>29</v>
      </c>
      <c r="C31" s="36"/>
      <c r="D31" s="3">
        <f>($Q$11-ROUNDUP($Q$11*0.05,0))*15-(0.52*($H$10-ROUNDUP($H$10*0.05,0)))-(0.69*($H$11-ROUNDUP($H$11*0.05,0)))-(1.42*($H$12-ROUNDUP($H$12*0.05,0)))-(300-ROUNDUP(300*0.01*$T$9,0))</f>
        <v>16.159999999999968</v>
      </c>
      <c r="E31" s="3">
        <f>($Q$11-ROUNDUP($Q$11*0.05,0))*15-(0.52*$H$10)-(0.69*$H$11)-(1.42*$H$12)-(300-ROUNDUP(300*0.01*$T$9,0))</f>
        <v>-5.0699999999999932</v>
      </c>
      <c r="F31" s="3">
        <f>($Q$11-ROUNDUP($Q$11*0.05,0))*15-(0.52*($H$10-ROUNDUP($H$10*0.05,0)))-(0.69*($H$11-ROUNDUP($H$11*0.05,0)))-(1.42*$H$12)-(300-ROUNDUP(300*0.01*$T$9,0))</f>
        <v>11.899999999999977</v>
      </c>
      <c r="G31" s="3">
        <f>($Q$11-ROUNDUP($Q$11*0.05,0))*15-(0.52*($H$10-ROUNDUP($H$10*0.05,0)))-(0.69*$H$11)-(1.42*($H$12-ROUNDUP($H$12*0.05,0)))-(300-ROUNDUP(300*0.01*$T$9,0))</f>
        <v>12.70999999999998</v>
      </c>
      <c r="H31" s="3">
        <f>($Q$11-ROUNDUP($Q$11*0.05,0))*15-(0.52*$H$10)-(0.69*($H$11-ROUNDUP($H$11*0.05,0)))-(1.42*($H$12-ROUNDUP($H$12*0.05,0)))-(300-ROUNDUP(300*0.01*$T$9,0))</f>
        <v>2.6399999999999864</v>
      </c>
      <c r="I31" s="3">
        <f>($Q$11-ROUNDUP($Q$11*0.05,0))*15-(0.52*($H$10-ROUNDUP($H$10*0.05,0)))-(0.69*$H$11)-(1.42*$H$12)-(300-ROUNDUP(300*0.01*$T$9,0))</f>
        <v>8.4499999999999886</v>
      </c>
      <c r="J31" s="3">
        <f>($Q$11-ROUNDUP($Q$11*0.05,0))*15-(0.52*$H$10)-(0.69*($H$11-ROUNDUP($H$11*0.05,0)))-(1.42*$H$12)-(300-ROUNDUP(300*0.01*$T$9,0))</f>
        <v>-1.6200000000000045</v>
      </c>
      <c r="K31" s="3">
        <f>($Q$11-ROUNDUP($Q$11*0.05,0))*15-(0.52*$H$10)-(0.69*$H$11)-(1.42*($H$12-ROUNDUP($H$12*0.05,0)))-(300-ROUNDUP(300*0.01*$T$9,0))</f>
        <v>-0.81000000000000227</v>
      </c>
      <c r="S31" s="1"/>
      <c r="X31" s="32" t="s">
        <v>23</v>
      </c>
      <c r="Y31" s="11"/>
      <c r="Z31" s="12">
        <v>518</v>
      </c>
      <c r="AA31" s="13"/>
    </row>
    <row r="32" spans="2:28" ht="16.5" customHeight="1" x14ac:dyDescent="0.25">
      <c r="B32" s="27" t="s">
        <v>33</v>
      </c>
      <c r="C32" s="13"/>
      <c r="D32" s="3">
        <f>($Q$12-ROUNDUP($Q$12*0.05,0))*10-(0.33*($H$9-ROUNDUP($H$9*0.05,0)))-(0.45*($H$11-ROUNDUP($H$11*0.05,0)))-(0.86*($H$12-ROUNDUP($H$12*0.05,0)))-(400-ROUNDUP(400*0.01*$T$9,0))</f>
        <v>11.420000000000016</v>
      </c>
      <c r="E32" s="3">
        <f>($Q$12-ROUNDUP($Q$12*0.05,0))*10-(0.33*$H$9)-(0.45*$H$11)-(0.86*$H$12)-(400-ROUNDUP(400*0.01*$T$9,0))</f>
        <v>-2.9800000000000182</v>
      </c>
      <c r="F32" s="3">
        <f>($Q$12-ROUNDUP($Q$12*0.05,0))*10-(0.33*($H$9-ROUNDUP($H$9*0.05,0)))-(0.45*($H$11-ROUNDUP($H$11*0.05,0)))-(0.86*$H$12)-(400-ROUNDUP(400*0.01*$T$9,0))</f>
        <v>8.839999999999975</v>
      </c>
      <c r="G32" s="3">
        <f>($Q$12-ROUNDUP($Q$12*0.05,0))*10-(0.33*($H$9-ROUNDUP($H$9*0.05,0)))-(0.45*$H$11)-(0.86*($H$12-ROUNDUP($H$12*0.05,0)))-(400-ROUNDUP(400*0.01*$T$9,0))</f>
        <v>9.1700000000000159</v>
      </c>
      <c r="H32" s="3">
        <f>($Q$12-ROUNDUP($Q$12*0.05,0))*10-(0.33*$H$9)-(0.45*($H$11-ROUNDUP($H$11*0.05,0)))-(0.86*($H$12-ROUNDUP($H$12*0.05,0)))-(400-ROUNDUP(400*0.01*$T$9,0))</f>
        <v>1.8500000000000227</v>
      </c>
      <c r="I32" s="3">
        <f>($Q$12-ROUNDUP($Q$12*0.05,0))*10-(0.33*($H$9-ROUNDUP($H$9*0.05,0)))-(0.45*$H$11)-(0.86*$H$12)-(400-ROUNDUP(400*0.01*$T$9,0))</f>
        <v>6.589999999999975</v>
      </c>
      <c r="J32" s="3">
        <f>($Q$12-ROUNDUP($Q$12*0.05,0))*10-(0.33*$H$9)-(0.45*($H$11-ROUNDUP($H$11*0.05,0)))-(0.86*$H$12)-(400-ROUNDUP(400*0.01*$T$9,0))</f>
        <v>-0.73000000000001819</v>
      </c>
      <c r="K32" s="3">
        <f>($Q$12-ROUNDUP($Q$12*0.05,0))*10-(0.33*$H$9)-(0.45*$H$11)-(0.86*($H$12-ROUNDUP($H$12*0.05,0)))-(400-ROUNDUP(400*0.01*$T$9,0))</f>
        <v>-0.39999999999997726</v>
      </c>
      <c r="S32" s="1"/>
      <c r="X32" s="33" t="s">
        <v>24</v>
      </c>
      <c r="Y32" s="11"/>
      <c r="Z32" s="12">
        <v>505</v>
      </c>
      <c r="AA32" s="13"/>
    </row>
    <row r="33" spans="2:27" ht="16.5" customHeight="1" x14ac:dyDescent="0.25">
      <c r="B33" s="3"/>
      <c r="C33" s="3"/>
      <c r="D33" s="23" t="s">
        <v>60</v>
      </c>
      <c r="E33" s="22"/>
      <c r="F33" s="22"/>
      <c r="G33" s="22"/>
      <c r="H33" s="22"/>
      <c r="I33" s="22"/>
      <c r="J33" s="22"/>
      <c r="K33" s="11"/>
      <c r="X33" s="30" t="s">
        <v>22</v>
      </c>
      <c r="Y33" s="31"/>
      <c r="Z33" s="12">
        <v>581</v>
      </c>
      <c r="AA33" s="13"/>
    </row>
    <row r="34" spans="2:27" ht="16.5" customHeight="1" x14ac:dyDescent="0.25">
      <c r="B34" s="20" t="s">
        <v>16</v>
      </c>
      <c r="C34" s="11"/>
      <c r="D34" s="7" t="s">
        <v>49</v>
      </c>
      <c r="E34" s="7" t="s">
        <v>50</v>
      </c>
      <c r="F34" s="7" t="s">
        <v>51</v>
      </c>
      <c r="G34" s="7" t="s">
        <v>52</v>
      </c>
      <c r="H34" s="7" t="s">
        <v>53</v>
      </c>
      <c r="I34" s="7" t="s">
        <v>54</v>
      </c>
      <c r="J34" s="7" t="s">
        <v>55</v>
      </c>
      <c r="K34" s="7" t="s">
        <v>56</v>
      </c>
      <c r="X34" s="26" t="s">
        <v>38</v>
      </c>
      <c r="Y34" s="11"/>
      <c r="Z34" s="12">
        <v>569</v>
      </c>
      <c r="AA34" s="13"/>
    </row>
    <row r="35" spans="2:27" ht="16.5" customHeight="1" x14ac:dyDescent="0.25">
      <c r="B35" s="34" t="s">
        <v>21</v>
      </c>
      <c r="C35" s="13"/>
      <c r="D35" s="3">
        <f>($Q$9-ROUNDUP($Q$9*0.05,0))*30-(0.1*($L$10-ROUNDUP($L$10*0.05,0)))-(0.4*($L$11-ROUNDUP($L$11*0.05,0)))-(0.8*($L$12-ROUNDUP($L$12*0.05,0)))-(205-ROUNDUP(205*0.01*$T$9,0))</f>
        <v>-21.5</v>
      </c>
      <c r="E35" s="3">
        <f>($Q$9-ROUNDUP($Q$9*0.05,0))*30-(0.1*$L$10)-(0.4*$L$11)-(0.8*$L$12)-(205-ROUNDUP(205*0.01*$T$9,0))</f>
        <v>-28.5</v>
      </c>
      <c r="F35" s="3">
        <f>($Q$9-ROUNDUP($Q$9*0.05,0))*30-(0.1*($L$10-ROUNDUP($L$10*0.05,0)))-(0.4*($L$11-ROUNDUP($L$11*0.05,0)))-(0.8*$L$12)-(205-ROUNDUP(205*0.01*$T$9,0))</f>
        <v>-23.900000000000006</v>
      </c>
      <c r="G35" s="3">
        <f>($Q$9-ROUNDUP($Q$9*0.05,0))*30-(0.1*($L$10-ROUNDUP($L$10*0.05,0)))-(0.4*$L$11)-(0.8*($L$12-ROUNDUP($L$12*0.05,0)))-(205-ROUNDUP(205*0.01*$T$9,0))</f>
        <v>-23.5</v>
      </c>
      <c r="H35" s="3">
        <f>($Q$9-ROUNDUP($Q$9*0.05,0))*30-(0.1*$L$10)-(0.4*($L$11-ROUNDUP($L$11*0.05,0)))-(0.8*($L$12-ROUNDUP($L$12*0.05,0)))-(205-ROUNDUP(205*0.01*$T$9,0))</f>
        <v>-24.099999999999994</v>
      </c>
      <c r="I35" s="3">
        <f>($Q$9-ROUNDUP($Q$9*0.05,0))*30-(0.1*($L$10-ROUNDUP($L$10*0.05,0)))-(0.4*$L$11)-(0.8*$L$12)-(205-ROUNDUP(205*0.01*$T$9,0))</f>
        <v>-25.900000000000006</v>
      </c>
      <c r="J35" s="3">
        <f>($Q$9-ROUNDUP($Q$9*0.05,0))*30-(0.1*$L$10)-(0.4*($L$11-ROUNDUP($L$11*0.05,0)))-(0.8*$L$12)-(205-ROUNDUP(205*0.01*$T$9,0))</f>
        <v>-26.5</v>
      </c>
      <c r="K35" s="3">
        <f>($Q$9-ROUNDUP($Q$9*0.05,0))*30-(0.1*$L$10)-(0.4*$L$11)-(0.8*($L$12-ROUNDUP($L$12*0.05,0)))-(205-ROUNDUP(205*0.01*$T$9,0))</f>
        <v>-26.099999999999994</v>
      </c>
    </row>
    <row r="36" spans="2:27" ht="16.5" customHeight="1" x14ac:dyDescent="0.25">
      <c r="B36" s="14" t="s">
        <v>25</v>
      </c>
      <c r="C36" s="15"/>
      <c r="D36" s="3">
        <f>($Q$10-ROUNDUP($Q$10*0.05,0))*20-(0.16*($L$10-ROUNDUP($L$10*0.05,0)))-(0.64*($L$11-ROUNDUP($L$11*0.05,0)))-(1.28*($L$12-ROUNDUP($L$12*0.05,0)))-(250-ROUNDUP(250*0.01*$T$9,0))</f>
        <v>-18.599999999999966</v>
      </c>
      <c r="E36" s="3">
        <f>($Q$10-ROUNDUP($Q$10*0.05,0))*20-(0.16*$L$10)-(0.64*$L$11)-(1.28*$L$12)-(250-ROUNDUP(250*0.01*$T$9,0))</f>
        <v>-29.800000000000011</v>
      </c>
      <c r="F36" s="3">
        <f>($Q$10-ROUNDUP($Q$10*0.05,0))*20-(0.16*($L$10-ROUNDUP($L$10*0.05,0)))-(0.64*($L$11-ROUNDUP($L$11*0.05,0)))-(1.28*$L$12)-(250-ROUNDUP(250*0.01*$T$9,0))</f>
        <v>-22.439999999999969</v>
      </c>
      <c r="G36" s="3">
        <f>($Q$10-ROUNDUP($Q$10*0.05,0))*20-(0.16*($L$10-ROUNDUP($L$10*0.05,0)))-(0.64*$L$11)-(1.28*($L$12-ROUNDUP($L$12*0.05,0)))-(250-ROUNDUP(250*0.01*$T$9,0))</f>
        <v>-21.800000000000011</v>
      </c>
      <c r="H36" s="3">
        <f>($Q$10-ROUNDUP($Q$10*0.05,0))*20-(0.16*$L$10)-(0.64*($L$11-ROUNDUP($L$11*0.05,0)))-(1.28*($L$12-ROUNDUP($L$12*0.05,0)))-(250-ROUNDUP(250*0.01*$T$9,0))</f>
        <v>-22.759999999999991</v>
      </c>
      <c r="I36" s="3">
        <f>($Q$10-ROUNDUP($Q$10*0.05,0))*20-(0.16*($L$10-ROUNDUP($L$10*0.05,0)))-(0.64*$L$11)-(1.28*$L$12)-(250-ROUNDUP(250*0.01*$T$9,0))</f>
        <v>-25.639999999999986</v>
      </c>
      <c r="J36" s="3">
        <f>($Q$10-ROUNDUP($Q$10*0.05,0))*20-(0.16*$L$10)-(0.64*($L$11-ROUNDUP($L$11*0.05,0)))-(1.28*$L$12)-(250-ROUNDUP(250*0.01*$T$9,0))</f>
        <v>-26.599999999999994</v>
      </c>
      <c r="K36" s="3">
        <f>($Q$10-ROUNDUP($Q$10*0.05,0))*20-(0.16*$L$10)-(0.64*$L$11)-(1.28*($L$12-ROUNDUP($L$12*0.05,0)))-(250-ROUNDUP(250*0.01*$T$9,0))</f>
        <v>-25.960000000000036</v>
      </c>
    </row>
    <row r="37" spans="2:27" ht="16.5" customHeight="1" x14ac:dyDescent="0.25">
      <c r="B37" s="35" t="s">
        <v>29</v>
      </c>
      <c r="C37" s="36"/>
      <c r="D37" s="3">
        <f>($Q$11-ROUNDUP($Q$11*0.05,0))*15-(0.52*($L$10-ROUNDUP($L$10*0.05,0)))-(0.69*($L$11-ROUNDUP($L$11*0.05,0)))-(1.42*($L$12-ROUNDUP($L$12*0.05,0)))-(300-ROUNDUP(300*0.01*$T$9,0))</f>
        <v>20.159999999999968</v>
      </c>
      <c r="E37" s="3">
        <f>($Q$11-ROUNDUP($Q$11*0.05,0))*15-(0.52*$L$10)-(0.69*$L$11)-(1.42*$L$12)-(300-ROUNDUP(300*0.01*$T$9,0))</f>
        <v>-1.0699999999999932</v>
      </c>
      <c r="F37" s="3">
        <f>($Q$11-ROUNDUP($Q$11*0.05,0))*15-(0.52*($L$10-ROUNDUP($L$10*0.05,0)))-(0.69*($L$11-ROUNDUP($L$11*0.05,0)))-(1.42*$L$12)-(300-ROUNDUP(300*0.01*$T$9,0))</f>
        <v>15.899999999999977</v>
      </c>
      <c r="G37" s="3">
        <f>($Q$11-ROUNDUP($Q$11*0.05,0))*15-(0.52*($L$10-ROUNDUP($L$10*0.05,0)))-(0.69*$L$11)-(1.42*($L$12-ROUNDUP($L$12*0.05,0)))-(300-ROUNDUP(300*0.01*$T$9,0))</f>
        <v>16.70999999999998</v>
      </c>
      <c r="H37" s="3">
        <f>($Q$11-ROUNDUP($Q$11*0.05,0))*15-(0.52*$L$10)-(0.69*($L$11-ROUNDUP($L$11*0.05,0)))-(1.42*($L$12-ROUNDUP($L$12*0.05,0)))-(300-ROUNDUP(300*0.01*$T$9,0))</f>
        <v>6.6399999999999864</v>
      </c>
      <c r="I37" s="3">
        <f>($Q$11-ROUNDUP($Q$11*0.05,0))*15-(0.52*($L$10-ROUNDUP($L$10*0.05,0)))-(0.69*$L$11)-(1.42*$L$12)-(300-ROUNDUP(300*0.01*$T$9,0))</f>
        <v>12.449999999999989</v>
      </c>
      <c r="J37" s="3">
        <f>($Q$11-ROUNDUP($Q$11*0.05,0))*15-(0.52*$L$10)-(0.69*($L$11-ROUNDUP($L$11*0.05,0)))-(1.42*$L$12)-(300-ROUNDUP(300*0.01*$T$9,0))</f>
        <v>2.3799999999999955</v>
      </c>
      <c r="K37" s="3">
        <f>($Q$11-ROUNDUP($Q$11*0.05,0))*15-(0.52*$L$10)-(0.69*$L$11)-(1.42*($L$12-ROUNDUP($L$12*0.05,0)))-(300-ROUNDUP(300*0.01*$T$9,0))</f>
        <v>3.1899999999999977</v>
      </c>
      <c r="X37" s="7" t="s">
        <v>61</v>
      </c>
    </row>
    <row r="38" spans="2:27" ht="16.5" customHeight="1" x14ac:dyDescent="0.25">
      <c r="B38" s="27" t="s">
        <v>33</v>
      </c>
      <c r="C38" s="13"/>
      <c r="D38" s="3">
        <f>($Q$12-ROUNDUP($Q$12*0.05,0))*10-(0.33*($L$9-ROUNDUP($L$9*0.05,0)))-(0.45*($L$11-ROUNDUP($L$11*0.05,0)))-(0.86*($L$12-ROUNDUP($L$12*0.05,0)))-(400-ROUNDUP(400*0.01*$T$9,0))</f>
        <v>6.6500000000000341</v>
      </c>
      <c r="E38" s="3">
        <f>($Q$12-ROUNDUP($Q$12*0.05,0))*10-(0.33*$L$9)-(0.45*$L$11)-(0.86*$L$12)-(400-ROUNDUP(400*0.01*$T$9,0))</f>
        <v>-8.0800000000000409</v>
      </c>
      <c r="F38" s="3">
        <f>($Q$12-ROUNDUP($Q$12*0.05,0))*10-(0.33*($L$9-ROUNDUP($L$9*0.05,0)))-(0.45*($L$11-ROUNDUP($L$11*0.05,0)))-(0.86*$L$12)-(400-ROUNDUP(400*0.01*$T$9,0))</f>
        <v>4.0699999999999932</v>
      </c>
      <c r="G38" s="3">
        <f>($Q$12-ROUNDUP($Q$12*0.05,0))*10-(0.33*($L$9-ROUNDUP($L$9*0.05,0)))-(0.45*$L$1)-(0.86*($L$12-ROUNDUP($L$12*0.05,0)))-(400-ROUNDUP(400*0.01*$T$9,0))</f>
        <v>44.450000000000045</v>
      </c>
      <c r="H38" s="3">
        <f>($Q$12-ROUNDUP($Q$12*0.05,0))*10-(0.33*$L$9)-(0.45*($L$11-ROUNDUP($L$11*0.05,0)))-(0.86*($L$12-ROUNDUP($L$12*0.05,0)))-(400-ROUNDUP(400*0.01*$T$9,0))</f>
        <v>-3.25</v>
      </c>
      <c r="I38" s="3">
        <f>($Q$12-ROUNDUP($Q$12*0.05,0))*10-(0.33*($L$9-ROUNDUP($L$9*0.05,0)))-(0.45*$L$11)-(0.86*$L$12)-(400-ROUNDUP(400*0.01*$T$9,0))</f>
        <v>1.8199999999999932</v>
      </c>
      <c r="J38" s="3">
        <f>($Q$12-ROUNDUP($Q$12*0.05,0))*10-(0.33*$L$9)-(0.45*($L$11-ROUNDUP($L$11*0.05,0)))-(0.86*$L$12)-(400-ROUNDUP(400*0.01*$T$9,0))</f>
        <v>-5.8300000000000409</v>
      </c>
      <c r="K38" s="3">
        <f>($Q$12-ROUNDUP($Q$12*0.05,0))*10-(0.33*($L$9-ROUNDUP($L$9*0.05,0)))-(0.45*$L$11)-(0.86*$L$12)-(400-ROUNDUP(400*0.01*$T$9,0))</f>
        <v>1.8199999999999932</v>
      </c>
      <c r="W38" s="7" t="s">
        <v>62</v>
      </c>
      <c r="X38" s="3" t="s">
        <v>63</v>
      </c>
      <c r="Y38" s="3">
        <f>52*40</f>
        <v>2080</v>
      </c>
    </row>
    <row r="39" spans="2:27" ht="16.5" customHeight="1" x14ac:dyDescent="0.25">
      <c r="X39" s="3" t="s">
        <v>64</v>
      </c>
      <c r="Y39" s="3">
        <f>69*40</f>
        <v>2760</v>
      </c>
    </row>
    <row r="40" spans="2:27" ht="16.5" customHeight="1" x14ac:dyDescent="0.25">
      <c r="X40" s="3" t="s">
        <v>65</v>
      </c>
      <c r="Y40" s="3">
        <f>142*40</f>
        <v>5680</v>
      </c>
    </row>
    <row r="41" spans="2:27" ht="16.5" customHeight="1" x14ac:dyDescent="0.25"/>
    <row r="42" spans="2:27" ht="16.5" customHeight="1" x14ac:dyDescent="0.25">
      <c r="W42" s="7" t="s">
        <v>33</v>
      </c>
      <c r="X42" s="3" t="s">
        <v>66</v>
      </c>
      <c r="Y42" s="3">
        <f>33*40</f>
        <v>1320</v>
      </c>
    </row>
    <row r="43" spans="2:27" ht="16.5" customHeight="1" x14ac:dyDescent="0.25">
      <c r="X43" s="3" t="s">
        <v>67</v>
      </c>
      <c r="Y43" s="3">
        <f>45*40</f>
        <v>1800</v>
      </c>
    </row>
    <row r="44" spans="2:27" ht="16.5" customHeight="1" x14ac:dyDescent="0.25">
      <c r="X44" s="3" t="s">
        <v>68</v>
      </c>
      <c r="Y44" s="3">
        <f>86*40</f>
        <v>3440</v>
      </c>
    </row>
    <row r="45" spans="2:27" ht="16.5" customHeight="1" x14ac:dyDescent="0.25"/>
    <row r="46" spans="2:27" ht="16.5" customHeight="1" x14ac:dyDescent="0.25"/>
    <row r="47" spans="2:27" ht="16.5" customHeight="1" x14ac:dyDescent="0.25"/>
    <row r="48" spans="2:27" ht="16.5" customHeight="1" x14ac:dyDescent="0.25"/>
    <row r="49" ht="16.5" customHeight="1" x14ac:dyDescent="0.25"/>
    <row r="50" ht="16.5" customHeight="1" x14ac:dyDescent="0.25"/>
    <row r="51" ht="16.5" customHeight="1" x14ac:dyDescent="0.25"/>
    <row r="52" ht="16.5" customHeight="1" x14ac:dyDescent="0.25"/>
    <row r="53" ht="16.5" customHeight="1" x14ac:dyDescent="0.25"/>
    <row r="54" ht="16.5" customHeight="1" x14ac:dyDescent="0.25"/>
    <row r="55" ht="16.5" customHeight="1" x14ac:dyDescent="0.25"/>
    <row r="56" ht="16.5" customHeight="1" x14ac:dyDescent="0.25"/>
    <row r="57" ht="16.5" customHeight="1" x14ac:dyDescent="0.25"/>
    <row r="58" ht="16.5" customHeight="1" x14ac:dyDescent="0.25"/>
    <row r="59" ht="16.5" customHeight="1" x14ac:dyDescent="0.25"/>
    <row r="60" ht="16.5" customHeight="1" x14ac:dyDescent="0.25"/>
    <row r="61" ht="16.5" customHeight="1" x14ac:dyDescent="0.25"/>
    <row r="62" ht="16.5" customHeight="1" x14ac:dyDescent="0.25"/>
    <row r="63" ht="16.5" customHeight="1" x14ac:dyDescent="0.25"/>
    <row r="64" ht="16.5" customHeight="1" x14ac:dyDescent="0.25"/>
    <row r="65" ht="16.5" customHeight="1" x14ac:dyDescent="0.25"/>
    <row r="66" ht="16.5" customHeight="1" x14ac:dyDescent="0.25"/>
    <row r="67" ht="16.5" customHeight="1" x14ac:dyDescent="0.25"/>
    <row r="68" ht="16.5" customHeight="1" x14ac:dyDescent="0.25"/>
    <row r="69" ht="16.5" customHeight="1" x14ac:dyDescent="0.25"/>
    <row r="70" ht="16.5" customHeight="1" x14ac:dyDescent="0.25"/>
    <row r="71" ht="16.5" customHeight="1" x14ac:dyDescent="0.25"/>
    <row r="72" ht="16.5" customHeight="1" x14ac:dyDescent="0.25"/>
    <row r="73" ht="16.5" customHeight="1" x14ac:dyDescent="0.25"/>
    <row r="74" ht="16.5" customHeight="1" x14ac:dyDescent="0.25"/>
    <row r="75" ht="16.5" customHeight="1" x14ac:dyDescent="0.25"/>
    <row r="76" ht="16.5" customHeight="1" x14ac:dyDescent="0.25"/>
    <row r="77" ht="16.5" customHeight="1" x14ac:dyDescent="0.25"/>
    <row r="78" ht="16.5" customHeight="1" x14ac:dyDescent="0.25"/>
    <row r="79" ht="16.5" customHeight="1" x14ac:dyDescent="0.25"/>
    <row r="80" ht="16.5" customHeight="1" x14ac:dyDescent="0.25"/>
    <row r="81" ht="16.5" customHeight="1" x14ac:dyDescent="0.25"/>
    <row r="82" ht="16.5" customHeight="1" x14ac:dyDescent="0.25"/>
    <row r="83" ht="16.5" customHeight="1" x14ac:dyDescent="0.25"/>
    <row r="84" ht="16.5" customHeight="1" x14ac:dyDescent="0.25"/>
    <row r="85" ht="16.5" customHeight="1" x14ac:dyDescent="0.25"/>
    <row r="86" ht="16.5" customHeight="1" x14ac:dyDescent="0.25"/>
    <row r="87" ht="16.5" customHeight="1" x14ac:dyDescent="0.25"/>
    <row r="88" ht="16.5" customHeight="1" x14ac:dyDescent="0.25"/>
    <row r="89" ht="16.5" customHeight="1" x14ac:dyDescent="0.25"/>
    <row r="90" ht="16.5" customHeight="1" x14ac:dyDescent="0.25"/>
    <row r="91" ht="16.5" customHeight="1" x14ac:dyDescent="0.25"/>
    <row r="92" ht="16.5" customHeight="1" x14ac:dyDescent="0.25"/>
    <row r="93" ht="16.5" customHeight="1" x14ac:dyDescent="0.25"/>
    <row r="94" ht="16.5" customHeight="1" x14ac:dyDescent="0.25"/>
    <row r="95" ht="16.5" customHeight="1" x14ac:dyDescent="0.25"/>
    <row r="96" ht="16.5" customHeight="1" x14ac:dyDescent="0.25"/>
    <row r="97" ht="16.5" customHeight="1" x14ac:dyDescent="0.25"/>
    <row r="98" ht="16.5" customHeight="1" x14ac:dyDescent="0.25"/>
    <row r="99" ht="16.5" customHeight="1" x14ac:dyDescent="0.25"/>
    <row r="100" ht="16.5" customHeight="1" x14ac:dyDescent="0.25"/>
    <row r="101" ht="16.5" customHeight="1" x14ac:dyDescent="0.25"/>
    <row r="102" ht="16.5" customHeight="1" x14ac:dyDescent="0.25"/>
    <row r="103" ht="16.5" customHeight="1" x14ac:dyDescent="0.25"/>
    <row r="104" ht="16.5" customHeight="1" x14ac:dyDescent="0.25"/>
    <row r="105" ht="16.5" customHeight="1" x14ac:dyDescent="0.25"/>
    <row r="106" ht="16.5" customHeight="1" x14ac:dyDescent="0.25"/>
    <row r="107" ht="16.5" customHeight="1" x14ac:dyDescent="0.25"/>
    <row r="108" ht="16.5" customHeight="1" x14ac:dyDescent="0.25"/>
    <row r="109" ht="16.5" customHeight="1" x14ac:dyDescent="0.25"/>
    <row r="110" ht="16.5" customHeight="1" x14ac:dyDescent="0.25"/>
    <row r="111" ht="16.5" customHeight="1" x14ac:dyDescent="0.25"/>
    <row r="112" ht="16.5" customHeight="1" x14ac:dyDescent="0.25"/>
    <row r="113" ht="16.5" customHeight="1" x14ac:dyDescent="0.25"/>
    <row r="114" ht="16.5" customHeight="1" x14ac:dyDescent="0.25"/>
    <row r="115" ht="16.5" customHeight="1" x14ac:dyDescent="0.25"/>
    <row r="116" ht="16.5" customHeight="1" x14ac:dyDescent="0.25"/>
    <row r="117" ht="16.5" customHeight="1" x14ac:dyDescent="0.25"/>
    <row r="118" ht="16.5" customHeight="1" x14ac:dyDescent="0.25"/>
    <row r="119" ht="16.5" customHeight="1" x14ac:dyDescent="0.25"/>
    <row r="120" ht="16.5" customHeight="1" x14ac:dyDescent="0.25"/>
    <row r="121" ht="16.5" customHeight="1" x14ac:dyDescent="0.25"/>
    <row r="122" ht="16.5" customHeight="1" x14ac:dyDescent="0.25"/>
    <row r="123" ht="16.5" customHeight="1" x14ac:dyDescent="0.25"/>
    <row r="124" ht="16.5" customHeight="1" x14ac:dyDescent="0.25"/>
    <row r="125" ht="16.5" customHeight="1" x14ac:dyDescent="0.25"/>
    <row r="126" ht="16.5" customHeight="1" x14ac:dyDescent="0.25"/>
    <row r="127" ht="16.5" customHeight="1" x14ac:dyDescent="0.25"/>
    <row r="128" ht="16.5" customHeight="1" x14ac:dyDescent="0.25"/>
    <row r="129" ht="16.5" customHeight="1" x14ac:dyDescent="0.25"/>
    <row r="130" ht="16.5" customHeight="1" x14ac:dyDescent="0.25"/>
    <row r="131" ht="16.5" customHeight="1" x14ac:dyDescent="0.25"/>
    <row r="132" ht="16.5" customHeight="1" x14ac:dyDescent="0.25"/>
    <row r="133" ht="16.5" customHeight="1" x14ac:dyDescent="0.25"/>
    <row r="134" ht="16.5" customHeight="1" x14ac:dyDescent="0.25"/>
    <row r="135" ht="16.5" customHeight="1" x14ac:dyDescent="0.25"/>
    <row r="136" ht="16.5" customHeight="1" x14ac:dyDescent="0.25"/>
    <row r="137" ht="16.5" customHeight="1" x14ac:dyDescent="0.25"/>
    <row r="138" ht="16.5" customHeight="1" x14ac:dyDescent="0.25"/>
    <row r="139" ht="16.5" customHeight="1" x14ac:dyDescent="0.25"/>
    <row r="140" ht="16.5" customHeight="1" x14ac:dyDescent="0.25"/>
    <row r="141" ht="16.5" customHeight="1" x14ac:dyDescent="0.25"/>
    <row r="142" ht="16.5" customHeight="1" x14ac:dyDescent="0.25"/>
    <row r="143" ht="16.5" customHeight="1" x14ac:dyDescent="0.25"/>
    <row r="144" ht="16.5" customHeight="1" x14ac:dyDescent="0.25"/>
    <row r="145" ht="16.5" customHeight="1" x14ac:dyDescent="0.25"/>
    <row r="146" ht="16.5" customHeight="1" x14ac:dyDescent="0.25"/>
    <row r="147" ht="16.5" customHeight="1" x14ac:dyDescent="0.25"/>
    <row r="148" ht="16.5" customHeight="1" x14ac:dyDescent="0.25"/>
    <row r="149" ht="16.5" customHeight="1" x14ac:dyDescent="0.25"/>
    <row r="150" ht="16.5" customHeight="1" x14ac:dyDescent="0.25"/>
    <row r="151" ht="16.5" customHeight="1" x14ac:dyDescent="0.25"/>
    <row r="152" ht="16.5" customHeight="1" x14ac:dyDescent="0.25"/>
    <row r="153" ht="16.5" customHeight="1" x14ac:dyDescent="0.25"/>
    <row r="154" ht="16.5" customHeight="1" x14ac:dyDescent="0.25"/>
    <row r="155" ht="16.5" customHeight="1" x14ac:dyDescent="0.25"/>
    <row r="156" ht="16.5" customHeight="1" x14ac:dyDescent="0.25"/>
    <row r="157" ht="16.5" customHeight="1" x14ac:dyDescent="0.25"/>
    <row r="158" ht="16.5" customHeight="1" x14ac:dyDescent="0.25"/>
    <row r="159" ht="16.5" customHeight="1" x14ac:dyDescent="0.25"/>
    <row r="160" ht="16.5" customHeight="1" x14ac:dyDescent="0.25"/>
    <row r="161" ht="16.5" customHeight="1" x14ac:dyDescent="0.25"/>
    <row r="162" ht="16.5" customHeight="1" x14ac:dyDescent="0.25"/>
    <row r="163" ht="16.5" customHeight="1" x14ac:dyDescent="0.25"/>
    <row r="164" ht="16.5" customHeight="1" x14ac:dyDescent="0.25"/>
    <row r="165" ht="16.5" customHeight="1" x14ac:dyDescent="0.25"/>
    <row r="166" ht="16.5" customHeight="1" x14ac:dyDescent="0.25"/>
    <row r="167" ht="16.5" customHeight="1" x14ac:dyDescent="0.25"/>
    <row r="168" ht="16.5" customHeight="1" x14ac:dyDescent="0.25"/>
    <row r="169" ht="16.5" customHeight="1" x14ac:dyDescent="0.25"/>
    <row r="170" ht="16.5" customHeight="1" x14ac:dyDescent="0.25"/>
    <row r="171" ht="16.5" customHeight="1" x14ac:dyDescent="0.25"/>
    <row r="172" ht="16.5" customHeight="1" x14ac:dyDescent="0.25"/>
    <row r="173" ht="16.5" customHeight="1" x14ac:dyDescent="0.25"/>
    <row r="174" ht="16.5" customHeight="1" x14ac:dyDescent="0.25"/>
    <row r="175" ht="16.5" customHeight="1" x14ac:dyDescent="0.25"/>
    <row r="176" ht="16.5" customHeight="1" x14ac:dyDescent="0.25"/>
    <row r="177" ht="16.5" customHeight="1" x14ac:dyDescent="0.25"/>
    <row r="178" ht="16.5" customHeight="1" x14ac:dyDescent="0.25"/>
    <row r="179" ht="16.5" customHeight="1" x14ac:dyDescent="0.25"/>
    <row r="180" ht="16.5" customHeight="1" x14ac:dyDescent="0.25"/>
    <row r="181" ht="16.5" customHeight="1" x14ac:dyDescent="0.25"/>
    <row r="182" ht="16.5" customHeight="1" x14ac:dyDescent="0.25"/>
    <row r="183" ht="16.5" customHeight="1" x14ac:dyDescent="0.25"/>
    <row r="184" ht="16.5" customHeight="1" x14ac:dyDescent="0.25"/>
    <row r="185" ht="16.5" customHeight="1" x14ac:dyDescent="0.25"/>
    <row r="186" ht="16.5" customHeight="1" x14ac:dyDescent="0.25"/>
    <row r="187" ht="16.5" customHeight="1" x14ac:dyDescent="0.25"/>
    <row r="188" ht="16.5" customHeight="1" x14ac:dyDescent="0.25"/>
    <row r="189" ht="16.5" customHeight="1" x14ac:dyDescent="0.25"/>
    <row r="190" ht="16.5" customHeight="1" x14ac:dyDescent="0.25"/>
    <row r="191" ht="16.5" customHeight="1" x14ac:dyDescent="0.25"/>
    <row r="192" ht="16.5" customHeight="1" x14ac:dyDescent="0.25"/>
    <row r="193" ht="16.5" customHeight="1" x14ac:dyDescent="0.25"/>
    <row r="194" ht="16.5" customHeight="1" x14ac:dyDescent="0.25"/>
    <row r="195" ht="16.5" customHeight="1" x14ac:dyDescent="0.25"/>
    <row r="196" ht="16.5" customHeight="1" x14ac:dyDescent="0.25"/>
    <row r="197" ht="16.5" customHeight="1" x14ac:dyDescent="0.25"/>
    <row r="198" ht="16.5" customHeight="1" x14ac:dyDescent="0.25"/>
    <row r="199" ht="16.5" customHeight="1" x14ac:dyDescent="0.25"/>
    <row r="200" ht="16.5" customHeight="1" x14ac:dyDescent="0.25"/>
    <row r="201" ht="16.5" customHeight="1" x14ac:dyDescent="0.25"/>
    <row r="202" ht="16.5" customHeight="1" x14ac:dyDescent="0.25"/>
    <row r="203" ht="16.5" customHeight="1" x14ac:dyDescent="0.25"/>
    <row r="204" ht="16.5" customHeight="1" x14ac:dyDescent="0.25"/>
    <row r="205" ht="16.5" customHeight="1" x14ac:dyDescent="0.25"/>
    <row r="206" ht="16.5" customHeight="1" x14ac:dyDescent="0.25"/>
    <row r="207" ht="16.5" customHeight="1" x14ac:dyDescent="0.25"/>
    <row r="208" ht="16.5" customHeight="1" x14ac:dyDescent="0.25"/>
    <row r="209" ht="16.5" customHeight="1" x14ac:dyDescent="0.25"/>
    <row r="210" ht="16.5" customHeight="1" x14ac:dyDescent="0.25"/>
    <row r="211" ht="16.5" customHeight="1" x14ac:dyDescent="0.25"/>
    <row r="212" ht="16.5" customHeight="1" x14ac:dyDescent="0.25"/>
    <row r="213" ht="16.5" customHeight="1" x14ac:dyDescent="0.25"/>
    <row r="214" ht="16.5" customHeight="1" x14ac:dyDescent="0.25"/>
    <row r="215" ht="16.5" customHeight="1" x14ac:dyDescent="0.25"/>
    <row r="216" ht="16.5" customHeight="1" x14ac:dyDescent="0.25"/>
    <row r="217" ht="16.5" customHeight="1" x14ac:dyDescent="0.25"/>
    <row r="218" ht="16.5" customHeight="1" x14ac:dyDescent="0.25"/>
    <row r="219" ht="16.5" customHeight="1" x14ac:dyDescent="0.25"/>
    <row r="220" ht="16.5" customHeight="1" x14ac:dyDescent="0.25"/>
    <row r="221" ht="16.5" customHeight="1" x14ac:dyDescent="0.25"/>
    <row r="222" ht="16.5" customHeight="1" x14ac:dyDescent="0.25"/>
    <row r="223" ht="16.5" customHeight="1" x14ac:dyDescent="0.25"/>
    <row r="224" ht="16.5" customHeight="1" x14ac:dyDescent="0.25"/>
    <row r="225" ht="16.5" customHeight="1" x14ac:dyDescent="0.25"/>
    <row r="226" ht="16.5" customHeight="1" x14ac:dyDescent="0.25"/>
    <row r="227" ht="16.5" customHeight="1" x14ac:dyDescent="0.25"/>
    <row r="228" ht="16.5" customHeight="1" x14ac:dyDescent="0.25"/>
    <row r="229" ht="16.5" customHeight="1" x14ac:dyDescent="0.25"/>
    <row r="230" ht="16.5" customHeight="1" x14ac:dyDescent="0.25"/>
    <row r="231" ht="16.5" customHeight="1" x14ac:dyDescent="0.25"/>
    <row r="232" ht="16.5" customHeight="1" x14ac:dyDescent="0.25"/>
    <row r="233" ht="16.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7">
    <mergeCell ref="B21:C21"/>
    <mergeCell ref="L12:M12"/>
    <mergeCell ref="F15:G15"/>
    <mergeCell ref="H11:I11"/>
    <mergeCell ref="J11:K11"/>
    <mergeCell ref="D9:E9"/>
    <mergeCell ref="F9:G9"/>
    <mergeCell ref="H12:I12"/>
    <mergeCell ref="J12:K12"/>
    <mergeCell ref="B15:C15"/>
    <mergeCell ref="D15:E15"/>
    <mergeCell ref="B17:C17"/>
    <mergeCell ref="X34:Y34"/>
    <mergeCell ref="X28:Y28"/>
    <mergeCell ref="B14:C14"/>
    <mergeCell ref="D27:K27"/>
    <mergeCell ref="L14:M14"/>
    <mergeCell ref="Z21:AA21"/>
    <mergeCell ref="X30:Y30"/>
    <mergeCell ref="B38:C38"/>
    <mergeCell ref="M25:N25"/>
    <mergeCell ref="X20:Y20"/>
    <mergeCell ref="X15:Y15"/>
    <mergeCell ref="X29:Y29"/>
    <mergeCell ref="Z29:AA29"/>
    <mergeCell ref="Z23:AA23"/>
    <mergeCell ref="B35:C35"/>
    <mergeCell ref="X19:Y19"/>
    <mergeCell ref="Z22:AA22"/>
    <mergeCell ref="F17:G17"/>
    <mergeCell ref="H17:I17"/>
    <mergeCell ref="M21:N21"/>
    <mergeCell ref="B29:C29"/>
    <mergeCell ref="B37:C37"/>
    <mergeCell ref="X14:Y14"/>
    <mergeCell ref="Z14:AA14"/>
    <mergeCell ref="B24:C24"/>
    <mergeCell ref="O11:P11"/>
    <mergeCell ref="Q11:R11"/>
    <mergeCell ref="H15:I15"/>
    <mergeCell ref="Z15:AA15"/>
    <mergeCell ref="B32:C32"/>
    <mergeCell ref="Z24:AA24"/>
    <mergeCell ref="D20:K20"/>
    <mergeCell ref="B16:C16"/>
    <mergeCell ref="B25:C25"/>
    <mergeCell ref="Q12:R12"/>
    <mergeCell ref="L16:M16"/>
    <mergeCell ref="Z27:AA27"/>
    <mergeCell ref="O24:V24"/>
    <mergeCell ref="X17:Y17"/>
    <mergeCell ref="Z25:AA25"/>
    <mergeCell ref="B11:C11"/>
    <mergeCell ref="D11:E11"/>
    <mergeCell ref="B19:V19"/>
    <mergeCell ref="L17:M17"/>
    <mergeCell ref="F16:G16"/>
    <mergeCell ref="B22:C22"/>
    <mergeCell ref="B31:C31"/>
    <mergeCell ref="B12:C12"/>
    <mergeCell ref="Z31:AA31"/>
    <mergeCell ref="X21:Y21"/>
    <mergeCell ref="X32:Y32"/>
    <mergeCell ref="O9:P9"/>
    <mergeCell ref="X23:Y23"/>
    <mergeCell ref="Z32:AA32"/>
    <mergeCell ref="Z26:AA26"/>
    <mergeCell ref="X16:Y16"/>
    <mergeCell ref="Z16:AA16"/>
    <mergeCell ref="Q9:R9"/>
    <mergeCell ref="Z18:AA18"/>
    <mergeCell ref="F8:G8"/>
    <mergeCell ref="H16:I16"/>
    <mergeCell ref="Z17:AA17"/>
    <mergeCell ref="J16:K16"/>
    <mergeCell ref="B34:C34"/>
    <mergeCell ref="L10:M10"/>
    <mergeCell ref="B28:C28"/>
    <mergeCell ref="B9:C9"/>
    <mergeCell ref="M26:N26"/>
    <mergeCell ref="L9:M9"/>
    <mergeCell ref="D12:E12"/>
    <mergeCell ref="B30:C30"/>
    <mergeCell ref="Z20:AA20"/>
    <mergeCell ref="M29:N29"/>
    <mergeCell ref="Z34:AA34"/>
    <mergeCell ref="B23:C23"/>
    <mergeCell ref="B8:C8"/>
    <mergeCell ref="X33:Y33"/>
    <mergeCell ref="B10:C10"/>
    <mergeCell ref="Z33:AA33"/>
    <mergeCell ref="D33:K33"/>
    <mergeCell ref="X31:Y31"/>
    <mergeCell ref="H14:I14"/>
    <mergeCell ref="L15:M15"/>
    <mergeCell ref="Q10:R10"/>
    <mergeCell ref="M22:N22"/>
    <mergeCell ref="M30:N30"/>
    <mergeCell ref="D16:E16"/>
    <mergeCell ref="X24:Y24"/>
    <mergeCell ref="X26:Y26"/>
    <mergeCell ref="O12:P12"/>
    <mergeCell ref="L8:M8"/>
    <mergeCell ref="D17:E17"/>
    <mergeCell ref="X18:Y18"/>
    <mergeCell ref="O8:P8"/>
    <mergeCell ref="D10:E10"/>
    <mergeCell ref="F10:G10"/>
    <mergeCell ref="T8:V8"/>
    <mergeCell ref="H10:I10"/>
    <mergeCell ref="J10:K10"/>
    <mergeCell ref="H9:I9"/>
    <mergeCell ref="J9:K9"/>
    <mergeCell ref="D8:E8"/>
    <mergeCell ref="X25:Y25"/>
    <mergeCell ref="Z19:AA19"/>
    <mergeCell ref="B36:C36"/>
    <mergeCell ref="H8:I8"/>
    <mergeCell ref="J8:K8"/>
    <mergeCell ref="X27:Y27"/>
    <mergeCell ref="J17:K17"/>
    <mergeCell ref="G1:H1"/>
    <mergeCell ref="Z28:AA28"/>
    <mergeCell ref="D14:E14"/>
    <mergeCell ref="L11:M11"/>
    <mergeCell ref="F14:G14"/>
    <mergeCell ref="X22:Y22"/>
    <mergeCell ref="Z30:AA30"/>
    <mergeCell ref="F11:G11"/>
    <mergeCell ref="T9:V9"/>
    <mergeCell ref="O10:P10"/>
    <mergeCell ref="J14:K14"/>
    <mergeCell ref="O28:V28"/>
    <mergeCell ref="Q8:R8"/>
    <mergeCell ref="F12:G12"/>
    <mergeCell ref="O20:V20"/>
    <mergeCell ref="J15:K15"/>
  </mergeCells>
  <phoneticPr fontId="5" type="noConversion"/>
  <conditionalFormatting sqref="D25 D32 D38 O22 O26 O30">
    <cfRule type="top10" dxfId="3" priority="4" rank="1"/>
  </conditionalFormatting>
  <conditionalFormatting sqref="D24 D31 D37">
    <cfRule type="top10" dxfId="2" priority="3" rank="1"/>
  </conditionalFormatting>
  <conditionalFormatting sqref="E24 E31 E37">
    <cfRule type="top10" dxfId="1" priority="2" rank="1"/>
  </conditionalFormatting>
  <conditionalFormatting sqref="E25 E32 E38 P22 P26 P30">
    <cfRule type="top10" dxfId="0" priority="1" rank="1"/>
  </conditionalFormatting>
  <pageMargins left="0.69972223043441772" right="0.69972223043441772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융화 재료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NotStrober</dc:creator>
  <cp:lastModifiedBy>NotStrober</cp:lastModifiedBy>
  <cp:revision>9</cp:revision>
  <dcterms:created xsi:type="dcterms:W3CDTF">2023-04-08T17:41:33Z</dcterms:created>
  <dcterms:modified xsi:type="dcterms:W3CDTF">2024-10-19T03:15:03Z</dcterms:modified>
  <cp:version>1200.0100.01</cp:version>
</cp:coreProperties>
</file>