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N11" i="3"/>
  <c r="B6" i="1"/>
  <c r="P3" i="2" l="1"/>
  <c r="P2" i="2"/>
  <c r="P1" i="2"/>
  <c r="N9" i="3"/>
  <c r="N12" i="3"/>
  <c r="N10" i="3"/>
  <c r="N8" i="3"/>
  <c r="E6" i="2" l="1"/>
  <c r="G21" i="3"/>
  <c r="G22" i="3" s="1"/>
  <c r="G23" i="3" s="1"/>
  <c r="G24" i="3" s="1"/>
  <c r="G25" i="3" s="1"/>
  <c r="G26" i="3" s="1"/>
  <c r="G12" i="3"/>
  <c r="G13" i="3" s="1"/>
  <c r="G14" i="3" s="1"/>
  <c r="G15" i="3" s="1"/>
  <c r="G16" i="3" s="1"/>
  <c r="G17" i="3" s="1"/>
  <c r="G3" i="3"/>
  <c r="M7" i="2"/>
  <c r="M10" i="2"/>
  <c r="M9" i="2"/>
  <c r="M8" i="2"/>
  <c r="M15" i="2"/>
  <c r="G4" i="3" l="1"/>
  <c r="F4" i="1"/>
  <c r="F3" i="1"/>
  <c r="B9" i="1"/>
  <c r="B8" i="1"/>
  <c r="B7" i="1"/>
  <c r="B5" i="1"/>
  <c r="G5" i="3" l="1"/>
  <c r="B3" i="1"/>
  <c r="G6" i="3" l="1"/>
  <c r="I2" i="1"/>
  <c r="J21" i="3"/>
  <c r="J22" i="3" s="1"/>
  <c r="J23" i="3" s="1"/>
  <c r="J24" i="3" s="1"/>
  <c r="J25" i="3" s="1"/>
  <c r="J26" i="3" s="1"/>
  <c r="D21" i="3"/>
  <c r="D22" i="3" s="1"/>
  <c r="D23" i="3" s="1"/>
  <c r="D24" i="3" s="1"/>
  <c r="D25" i="3" s="1"/>
  <c r="D26" i="3" s="1"/>
  <c r="J12" i="3"/>
  <c r="J13" i="3" s="1"/>
  <c r="J14" i="3" s="1"/>
  <c r="J15" i="3" s="1"/>
  <c r="J16" i="3" s="1"/>
  <c r="J17" i="3" s="1"/>
  <c r="D12" i="3"/>
  <c r="D13" i="3" s="1"/>
  <c r="D14" i="3" s="1"/>
  <c r="D15" i="3" s="1"/>
  <c r="D16" i="3" s="1"/>
  <c r="D17" i="3" s="1"/>
  <c r="J3" i="3"/>
  <c r="J4" i="3" s="1"/>
  <c r="J5" i="3" s="1"/>
  <c r="J6" i="3" s="1"/>
  <c r="J7" i="3" s="1"/>
  <c r="J8" i="3" s="1"/>
  <c r="D3" i="3"/>
  <c r="D4" i="3" s="1"/>
  <c r="D5" i="3" s="1"/>
  <c r="D6" i="3" s="1"/>
  <c r="D7" i="3" s="1"/>
  <c r="D8" i="3" s="1"/>
  <c r="N7" i="3"/>
  <c r="N6" i="3"/>
  <c r="N5" i="3"/>
  <c r="N4" i="3"/>
  <c r="N3" i="3"/>
  <c r="N2" i="3"/>
  <c r="J21" i="2"/>
  <c r="J22" i="2" s="1"/>
  <c r="J23" i="2" s="1"/>
  <c r="J24" i="2" s="1"/>
  <c r="J25" i="2" s="1"/>
  <c r="J26" i="2" s="1"/>
  <c r="G21" i="2"/>
  <c r="G22" i="2" s="1"/>
  <c r="G23" i="2" s="1"/>
  <c r="G24" i="2" s="1"/>
  <c r="G25" i="2" s="1"/>
  <c r="G26" i="2" s="1"/>
  <c r="D21" i="2"/>
  <c r="D22" i="2" s="1"/>
  <c r="D23" i="2" s="1"/>
  <c r="D24" i="2" s="1"/>
  <c r="D25" i="2" s="1"/>
  <c r="D26" i="2" s="1"/>
  <c r="J12" i="2"/>
  <c r="J13" i="2" s="1"/>
  <c r="J14" i="2" s="1"/>
  <c r="J15" i="2" s="1"/>
  <c r="J16" i="2" s="1"/>
  <c r="J17" i="2" s="1"/>
  <c r="G12" i="2"/>
  <c r="G13" i="2" s="1"/>
  <c r="G14" i="2" s="1"/>
  <c r="G15" i="2" s="1"/>
  <c r="G16" i="2" s="1"/>
  <c r="G17" i="2" s="1"/>
  <c r="D12" i="2"/>
  <c r="D13" i="2" s="1"/>
  <c r="D14" i="2" s="1"/>
  <c r="D15" i="2" s="1"/>
  <c r="D16" i="2" s="1"/>
  <c r="D17" i="2" s="1"/>
  <c r="J3" i="2"/>
  <c r="J4" i="2" s="1"/>
  <c r="J5" i="2" s="1"/>
  <c r="J6" i="2" s="1"/>
  <c r="J7" i="2" s="1"/>
  <c r="J8" i="2" s="1"/>
  <c r="G3" i="2"/>
  <c r="G4" i="2" s="1"/>
  <c r="G5" i="2" s="1"/>
  <c r="G6" i="2" s="1"/>
  <c r="G7" i="2" s="1"/>
  <c r="G8" i="2" s="1"/>
  <c r="D3" i="2"/>
  <c r="D4" i="2" s="1"/>
  <c r="D5" i="2" s="1"/>
  <c r="D6" i="2" s="1"/>
  <c r="D7" i="2" s="1"/>
  <c r="D8" i="2" s="1"/>
  <c r="M6" i="2"/>
  <c r="M5" i="2"/>
  <c r="M4" i="2"/>
  <c r="M3" i="2"/>
  <c r="B20" i="2" s="1"/>
  <c r="M2" i="2"/>
  <c r="B2" i="1"/>
  <c r="G31" i="1"/>
  <c r="G32" i="1" s="1"/>
  <c r="G33" i="1" s="1"/>
  <c r="G34" i="1" s="1"/>
  <c r="G35" i="1" s="1"/>
  <c r="G36" i="1" s="1"/>
  <c r="D31" i="1"/>
  <c r="D32" i="1" s="1"/>
  <c r="D33" i="1" s="1"/>
  <c r="D34" i="1" s="1"/>
  <c r="D35" i="1" s="1"/>
  <c r="D36" i="1" s="1"/>
  <c r="A31" i="1"/>
  <c r="A32" i="1" s="1"/>
  <c r="A33" i="1" s="1"/>
  <c r="A34" i="1" s="1"/>
  <c r="A35" i="1" s="1"/>
  <c r="A36" i="1" s="1"/>
  <c r="G22" i="1"/>
  <c r="G23" i="1" s="1"/>
  <c r="G24" i="1" s="1"/>
  <c r="G25" i="1" s="1"/>
  <c r="G26" i="1" s="1"/>
  <c r="G27" i="1" s="1"/>
  <c r="D22" i="1"/>
  <c r="D23" i="1" s="1"/>
  <c r="D24" i="1" s="1"/>
  <c r="D25" i="1" s="1"/>
  <c r="D26" i="1" s="1"/>
  <c r="D27" i="1" s="1"/>
  <c r="A22" i="1"/>
  <c r="A23" i="1" s="1"/>
  <c r="A24" i="1" s="1"/>
  <c r="A25" i="1" s="1"/>
  <c r="A26" i="1" s="1"/>
  <c r="A27" i="1" s="1"/>
  <c r="G12" i="1"/>
  <c r="G13" i="1" s="1"/>
  <c r="G14" i="1" s="1"/>
  <c r="G15" i="1" s="1"/>
  <c r="G16" i="1" s="1"/>
  <c r="G17" i="1" s="1"/>
  <c r="D12" i="1"/>
  <c r="D13" i="1" s="1"/>
  <c r="D14" i="1" s="1"/>
  <c r="D15" i="1" s="1"/>
  <c r="D16" i="1" s="1"/>
  <c r="D17" i="1" s="1"/>
  <c r="A12" i="1"/>
  <c r="A13" i="1" s="1"/>
  <c r="A14" i="1" s="1"/>
  <c r="A15" i="1" s="1"/>
  <c r="A16" i="1" s="1"/>
  <c r="A17" i="1" s="1"/>
  <c r="B4" i="1"/>
  <c r="L2" i="1"/>
  <c r="C3" i="1"/>
  <c r="C4" i="1" s="1"/>
  <c r="C5" i="1" s="1"/>
  <c r="C6" i="1" s="1"/>
  <c r="C7" i="1" s="1"/>
  <c r="C8" i="1" s="1"/>
  <c r="B3" i="3" l="1"/>
  <c r="B20" i="3"/>
  <c r="B2" i="3"/>
  <c r="G7" i="3"/>
  <c r="B21" i="2"/>
  <c r="B11" i="3"/>
  <c r="B21" i="3"/>
  <c r="B12" i="3"/>
  <c r="B2" i="2"/>
  <c r="B3" i="2"/>
  <c r="B11" i="2"/>
  <c r="B12" i="2"/>
  <c r="L3" i="1"/>
  <c r="L4" i="1" s="1"/>
  <c r="O2" i="1"/>
  <c r="O3" i="1"/>
  <c r="I3" i="1"/>
  <c r="I4" i="1" s="1"/>
  <c r="G8" i="3" l="1"/>
  <c r="I5" i="1"/>
  <c r="I6" i="1"/>
  <c r="L5" i="1"/>
  <c r="L6" i="1"/>
  <c r="B22" i="3"/>
  <c r="B13" i="3"/>
  <c r="B4" i="3"/>
  <c r="B22" i="2"/>
  <c r="B13" i="2"/>
  <c r="B4" i="2"/>
  <c r="B5" i="2" s="1"/>
  <c r="O4" i="1"/>
  <c r="B5" i="3" l="1"/>
  <c r="B6" i="3"/>
  <c r="H5" i="3" s="1"/>
  <c r="B23" i="1"/>
  <c r="H23" i="1" s="1"/>
  <c r="F5" i="1"/>
  <c r="E22" i="1"/>
  <c r="E23" i="1"/>
  <c r="B14" i="1"/>
  <c r="H14" i="1" s="1"/>
  <c r="B15" i="1"/>
  <c r="H15" i="1" s="1"/>
  <c r="B17" i="1"/>
  <c r="H17" i="1" s="1"/>
  <c r="B16" i="1"/>
  <c r="H16" i="1" s="1"/>
  <c r="B11" i="1"/>
  <c r="H11" i="1" s="1"/>
  <c r="B13" i="1"/>
  <c r="H13" i="1" s="1"/>
  <c r="B12" i="1"/>
  <c r="H12" i="1" s="1"/>
  <c r="O5" i="1"/>
  <c r="O6" i="1"/>
  <c r="B27" i="1"/>
  <c r="H27" i="1" s="1"/>
  <c r="B24" i="1"/>
  <c r="H24" i="1" s="1"/>
  <c r="B26" i="1"/>
  <c r="H26" i="1" s="1"/>
  <c r="B25" i="1"/>
  <c r="H25" i="1" s="1"/>
  <c r="B21" i="1"/>
  <c r="H21" i="1" s="1"/>
  <c r="B22" i="1"/>
  <c r="H22" i="1" s="1"/>
  <c r="E24" i="1"/>
  <c r="B24" i="3"/>
  <c r="B15" i="3"/>
  <c r="B14" i="3"/>
  <c r="E15" i="3" s="1"/>
  <c r="B23" i="3"/>
  <c r="B23" i="2"/>
  <c r="B24" i="2"/>
  <c r="B14" i="2"/>
  <c r="B6" i="2"/>
  <c r="B15" i="2"/>
  <c r="E21" i="1"/>
  <c r="E27" i="1"/>
  <c r="E25" i="1"/>
  <c r="E26" i="1"/>
  <c r="E14" i="1"/>
  <c r="E13" i="1"/>
  <c r="E15" i="1"/>
  <c r="E11" i="1"/>
  <c r="E12" i="1"/>
  <c r="E17" i="1"/>
  <c r="E16" i="1"/>
  <c r="H6" i="3" l="1"/>
  <c r="I20" i="1"/>
  <c r="I10" i="1"/>
  <c r="H17" i="3"/>
  <c r="H20" i="3"/>
  <c r="H21" i="3"/>
  <c r="H22" i="3"/>
  <c r="H23" i="3"/>
  <c r="H24" i="3"/>
  <c r="H25" i="3"/>
  <c r="H26" i="3"/>
  <c r="E13" i="3"/>
  <c r="H11" i="3"/>
  <c r="H12" i="3"/>
  <c r="H13" i="3"/>
  <c r="H14" i="3"/>
  <c r="H15" i="3"/>
  <c r="H16" i="3"/>
  <c r="E8" i="3"/>
  <c r="K8" i="3" s="1"/>
  <c r="H8" i="3"/>
  <c r="H3" i="3"/>
  <c r="H4" i="3"/>
  <c r="H7" i="3"/>
  <c r="H2" i="3"/>
  <c r="B33" i="1"/>
  <c r="H33" i="1" s="1"/>
  <c r="B34" i="1"/>
  <c r="H34" i="1" s="1"/>
  <c r="B30" i="1"/>
  <c r="H30" i="1" s="1"/>
  <c r="B32" i="1"/>
  <c r="H32" i="1" s="1"/>
  <c r="B31" i="1"/>
  <c r="H31" i="1" s="1"/>
  <c r="B35" i="1"/>
  <c r="H35" i="1" s="1"/>
  <c r="B36" i="1"/>
  <c r="H36" i="1" s="1"/>
  <c r="E36" i="1"/>
  <c r="E22" i="3"/>
  <c r="K22" i="3" s="1"/>
  <c r="E20" i="3"/>
  <c r="K20" i="3" s="1"/>
  <c r="E26" i="3"/>
  <c r="K26" i="3" s="1"/>
  <c r="E21" i="3"/>
  <c r="K21" i="3" s="1"/>
  <c r="E6" i="3"/>
  <c r="K6" i="3" s="1"/>
  <c r="E23" i="3"/>
  <c r="K23" i="3" s="1"/>
  <c r="E25" i="3"/>
  <c r="K25" i="3" s="1"/>
  <c r="E24" i="3"/>
  <c r="K24" i="3" s="1"/>
  <c r="E17" i="3"/>
  <c r="K17" i="3" s="1"/>
  <c r="E4" i="3"/>
  <c r="K4" i="3" s="1"/>
  <c r="E11" i="3"/>
  <c r="K11" i="3" s="1"/>
  <c r="E14" i="3"/>
  <c r="K14" i="3" s="1"/>
  <c r="E12" i="3"/>
  <c r="K12" i="3" s="1"/>
  <c r="E16" i="3"/>
  <c r="K16" i="3" s="1"/>
  <c r="K15" i="3"/>
  <c r="E5" i="3"/>
  <c r="K5" i="3" s="1"/>
  <c r="E2" i="3"/>
  <c r="K2" i="3" s="1"/>
  <c r="E3" i="3"/>
  <c r="K3" i="3" s="1"/>
  <c r="E7" i="3"/>
  <c r="K7" i="3" s="1"/>
  <c r="H17" i="2"/>
  <c r="H8" i="2"/>
  <c r="H21" i="2"/>
  <c r="H3" i="2"/>
  <c r="H22" i="2"/>
  <c r="H2" i="2"/>
  <c r="H26" i="2"/>
  <c r="H4" i="2"/>
  <c r="H6" i="2"/>
  <c r="H24" i="2"/>
  <c r="H23" i="2"/>
  <c r="K6" i="2"/>
  <c r="K13" i="3"/>
  <c r="E17" i="2"/>
  <c r="K17" i="2" s="1"/>
  <c r="E12" i="2"/>
  <c r="K12" i="2" s="1"/>
  <c r="E14" i="2"/>
  <c r="K14" i="2" s="1"/>
  <c r="E15" i="2"/>
  <c r="K15" i="2" s="1"/>
  <c r="E11" i="2"/>
  <c r="K11" i="2" s="1"/>
  <c r="E16" i="2"/>
  <c r="K16" i="2" s="1"/>
  <c r="E13" i="2"/>
  <c r="K13" i="2" s="1"/>
  <c r="H25" i="2"/>
  <c r="H11" i="2"/>
  <c r="E8" i="2"/>
  <c r="K8" i="2" s="1"/>
  <c r="E3" i="2"/>
  <c r="K3" i="2" s="1"/>
  <c r="E2" i="2"/>
  <c r="K2" i="2" s="1"/>
  <c r="E7" i="2"/>
  <c r="K7" i="2" s="1"/>
  <c r="E4" i="2"/>
  <c r="K4" i="2" s="1"/>
  <c r="E5" i="2"/>
  <c r="K5" i="2" s="1"/>
  <c r="H5" i="2"/>
  <c r="H14" i="2"/>
  <c r="H12" i="2"/>
  <c r="H20" i="2"/>
  <c r="H13" i="2"/>
  <c r="H15" i="2"/>
  <c r="H7" i="2"/>
  <c r="H16" i="2"/>
  <c r="E26" i="2"/>
  <c r="K26" i="2" s="1"/>
  <c r="E21" i="2"/>
  <c r="K21" i="2" s="1"/>
  <c r="E24" i="2"/>
  <c r="K24" i="2" s="1"/>
  <c r="E20" i="2"/>
  <c r="K20" i="2" s="1"/>
  <c r="E25" i="2"/>
  <c r="K25" i="2" s="1"/>
  <c r="E22" i="2"/>
  <c r="K22" i="2" s="1"/>
  <c r="E23" i="2"/>
  <c r="K23" i="2" s="1"/>
  <c r="E32" i="1"/>
  <c r="E31" i="1"/>
  <c r="E33" i="1"/>
  <c r="E34" i="1"/>
  <c r="E35" i="1"/>
  <c r="E30" i="1"/>
  <c r="Q1" i="3" l="1"/>
  <c r="Q2" i="3"/>
  <c r="Q3" i="3"/>
</calcChain>
</file>

<file path=xl/sharedStrings.xml><?xml version="1.0" encoding="utf-8"?>
<sst xmlns="http://schemas.openxmlformats.org/spreadsheetml/2006/main" count="136" uniqueCount="36">
  <si>
    <t>t</t>
  </si>
  <si>
    <t>n</t>
  </si>
  <si>
    <t>N</t>
  </si>
  <si>
    <t>R</t>
  </si>
  <si>
    <t>l</t>
  </si>
  <si>
    <t>L</t>
  </si>
  <si>
    <t>Pb</t>
  </si>
  <si>
    <t>r1</t>
  </si>
  <si>
    <t>r2</t>
  </si>
  <si>
    <t>r3</t>
  </si>
  <si>
    <t>P(x)</t>
  </si>
  <si>
    <t>Q(x)</t>
  </si>
  <si>
    <t>q(x)</t>
  </si>
  <si>
    <t>W</t>
  </si>
  <si>
    <t>w</t>
  </si>
  <si>
    <t>g</t>
  </si>
  <si>
    <t>A</t>
  </si>
  <si>
    <t>B</t>
  </si>
  <si>
    <t>r</t>
  </si>
  <si>
    <t xml:space="preserve">Pa1 </t>
  </si>
  <si>
    <t>Pa2</t>
  </si>
  <si>
    <t>Pa</t>
  </si>
  <si>
    <t>P0</t>
  </si>
  <si>
    <t>Pa1</t>
  </si>
  <si>
    <t xml:space="preserve">Pa3 </t>
  </si>
  <si>
    <t xml:space="preserve">P01 </t>
  </si>
  <si>
    <t>P02</t>
  </si>
  <si>
    <t>P03</t>
  </si>
  <si>
    <t>P0 1</t>
  </si>
  <si>
    <t>P0 2</t>
  </si>
  <si>
    <t>P0 3</t>
  </si>
  <si>
    <t>lyambda</t>
  </si>
  <si>
    <t>E</t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</si>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</sst>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Лист1!$A$11:$A$17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cat>
          <c:val>
            <c:numRef>
              <c:f>Лист1!$B$11:$B$17</c:f>
              <c:numCache>
                <c:formatCode>General</c:formatCode>
                <c:ptCount val="7"/>
                <c:pt idx="0">
                  <c:v>9331</c:v>
                </c:pt>
                <c:pt idx="1">
                  <c:v>6637.5932634026294</c:v>
                </c:pt>
                <c:pt idx="2">
                  <c:v>5723.1140548166104</c:v>
                </c:pt>
                <c:pt idx="3">
                  <c:v>5341.5447334125429</c:v>
                </c:pt>
                <c:pt idx="4">
                  <c:v>4972.9805258452698</c:v>
                </c:pt>
                <c:pt idx="5">
                  <c:v>4115.2366912312737</c:v>
                </c:pt>
                <c:pt idx="6">
                  <c:v>1599.5999999999972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F9B-A35B-6C3FACD92DB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Лист1!$B$21:$B$27</c:f>
              <c:numCache>
                <c:formatCode>General</c:formatCode>
                <c:ptCount val="7"/>
                <c:pt idx="0">
                  <c:v>9331</c:v>
                </c:pt>
                <c:pt idx="1">
                  <c:v>5565.5718092897732</c:v>
                </c:pt>
                <c:pt idx="2">
                  <c:v>5345.5992146670342</c:v>
                </c:pt>
                <c:pt idx="3">
                  <c:v>5332.0531228411855</c:v>
                </c:pt>
                <c:pt idx="4">
                  <c:v>5319.313398338234</c:v>
                </c:pt>
                <c:pt idx="5">
                  <c:v>5113.9999938444844</c:v>
                </c:pt>
                <c:pt idx="6">
                  <c:v>1599.5999999999872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8-4F9B-A35B-6C3FACD92DB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Лист1!$B$30:$B$36</c:f>
              <c:numCache>
                <c:formatCode>General</c:formatCode>
                <c:ptCount val="7"/>
                <c:pt idx="0">
                  <c:v>9331</c:v>
                </c:pt>
                <c:pt idx="1">
                  <c:v>8042.4296875</c:v>
                </c:pt>
                <c:pt idx="2">
                  <c:v>6753.8671875</c:v>
                </c:pt>
                <c:pt idx="3">
                  <c:v>5465.30078125</c:v>
                </c:pt>
                <c:pt idx="4">
                  <c:v>4176.73046875</c:v>
                </c:pt>
                <c:pt idx="5">
                  <c:v>2888.16796875</c:v>
                </c:pt>
                <c:pt idx="6">
                  <c:v>1599.59765625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8-4F9B-A35B-6C3FACD9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11568"/>
        <c:axId val="430426496"/>
      </c:lineChart>
      <c:catAx>
        <c:axId val="4299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26496"/>
        <c:crosses val="autoZero"/>
        <c:auto val="1"/>
        <c:lblAlgn val="ctr"/>
        <c:lblOffset val="100"/>
        <c:noMultiLvlLbl val="0"/>
      </c:catAx>
      <c:valAx>
        <c:axId val="430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Лист1!$D$11:$D$17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cat>
          <c:val>
            <c:numRef>
              <c:f>Лист1!$E$11:$E$17</c:f>
              <c:numCache>
                <c:formatCode>General</c:formatCode>
                <c:ptCount val="7"/>
                <c:pt idx="0">
                  <c:v>1.1789113577330638E-12</c:v>
                </c:pt>
                <c:pt idx="1">
                  <c:v>3.925364572878366E-13</c:v>
                </c:pt>
                <c:pt idx="2">
                  <c:v>1.4100952917167597E-13</c:v>
                </c:pt>
                <c:pt idx="3">
                  <c:v>8.1614209104458258E-14</c:v>
                </c:pt>
                <c:pt idx="4">
                  <c:v>1.3342179374158408E-13</c:v>
                </c:pt>
                <c:pt idx="5">
                  <c:v>3.6702236734143066E-13</c:v>
                </c:pt>
                <c:pt idx="6">
                  <c:v>1.1007068575493988E-12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F-4B2E-890B-BB1EE3295E8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Лист1!$E$21:$E$27</c:f>
              <c:numCache>
                <c:formatCode>General</c:formatCode>
                <c:ptCount val="7"/>
                <c:pt idx="0">
                  <c:v>3.010781156368168E-12</c:v>
                </c:pt>
                <c:pt idx="1">
                  <c:v>1.7585617102497201E-13</c:v>
                </c:pt>
                <c:pt idx="2">
                  <c:v>1.0304033213612864E-14</c:v>
                </c:pt>
                <c:pt idx="3">
                  <c:v>1.1598640289478979E-15</c:v>
                </c:pt>
                <c:pt idx="4">
                  <c:v>9.621614088724706E-15</c:v>
                </c:pt>
                <c:pt idx="5">
                  <c:v>1.6413269098289687E-13</c:v>
                </c:pt>
                <c:pt idx="6">
                  <c:v>2.8100624434256396E-12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F-4B2E-890B-BB1EE3295E8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Лист1!$E$30:$E$36</c:f>
              <c:numCache>
                <c:formatCode>General</c:formatCode>
                <c:ptCount val="7"/>
                <c:pt idx="0">
                  <c:v>3.415627970152828E-13</c:v>
                </c:pt>
                <c:pt idx="1">
                  <c:v>3.415627970152828E-13</c:v>
                </c:pt>
                <c:pt idx="2">
                  <c:v>3.415627970152828E-13</c:v>
                </c:pt>
                <c:pt idx="3">
                  <c:v>3.4156279701528285E-13</c:v>
                </c:pt>
                <c:pt idx="4">
                  <c:v>3.4156279701528285E-13</c:v>
                </c:pt>
                <c:pt idx="5">
                  <c:v>3.4156279701528275E-13</c:v>
                </c:pt>
                <c:pt idx="6">
                  <c:v>3.4156279701528275E-13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F-4B2E-890B-BB1EE329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04984"/>
        <c:axId val="439907280"/>
      </c:lineChart>
      <c:catAx>
        <c:axId val="43990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7280"/>
        <c:crosses val="autoZero"/>
        <c:auto val="1"/>
        <c:lblAlgn val="ctr"/>
        <c:lblOffset val="100"/>
        <c:noMultiLvlLbl val="0"/>
      </c:catAx>
      <c:valAx>
        <c:axId val="4399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6469816272965"/>
          <c:y val="0.17171296296296298"/>
          <c:w val="0.8437797462817148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Лист1!$G$11:$G$17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cat>
          <c:val>
            <c:numRef>
              <c:f>Лист1!$H$11:$H$17</c:f>
              <c:numCache>
                <c:formatCode>General</c:formatCode>
                <c:ptCount val="7"/>
                <c:pt idx="0">
                  <c:v>1.3048582051580621E-8</c:v>
                </c:pt>
                <c:pt idx="1">
                  <c:v>4.2601002309327634E-9</c:v>
                </c:pt>
                <c:pt idx="2">
                  <c:v>1.2761900064518484E-9</c:v>
                </c:pt>
                <c:pt idx="3">
                  <c:v>3.1144095297331564E-11</c:v>
                </c:pt>
                <c:pt idx="4">
                  <c:v>-1.1714666333141601E-9</c:v>
                </c:pt>
                <c:pt idx="5">
                  <c:v>-3.9702515308380725E-9</c:v>
                </c:pt>
                <c:pt idx="6">
                  <c:v>-1.2178676581475256E-8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2-4A96-9511-83FEF480C2C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Лист1!$H$21:$H$27</c:f>
              <c:numCache>
                <c:formatCode>General</c:formatCode>
                <c:ptCount val="7"/>
                <c:pt idx="0">
                  <c:v>1.3048582051580621E-8</c:v>
                </c:pt>
                <c:pt idx="1">
                  <c:v>7.6213576355432535E-10</c:v>
                </c:pt>
                <c:pt idx="2">
                  <c:v>4.4373710532596672E-11</c:v>
                </c:pt>
                <c:pt idx="3">
                  <c:v>1.7333777244876638E-13</c:v>
                </c:pt>
                <c:pt idx="4">
                  <c:v>-4.1395889657232367E-11</c:v>
                </c:pt>
                <c:pt idx="5">
                  <c:v>-7.1132557328465271E-10</c:v>
                </c:pt>
                <c:pt idx="6">
                  <c:v>-1.2178676581475289E-8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2-4A96-9511-83FEF480C2C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Лист1!$H$30:$H$36</c:f>
              <c:numCache>
                <c:formatCode>General</c:formatCode>
                <c:ptCount val="7"/>
                <c:pt idx="0">
                  <c:v>1.3048582051580621E-8</c:v>
                </c:pt>
                <c:pt idx="1">
                  <c:v>8.8440270498584074E-9</c:v>
                </c:pt>
                <c:pt idx="2">
                  <c:v>4.6394975400209849E-9</c:v>
                </c:pt>
                <c:pt idx="3">
                  <c:v>4.3495528424116648E-10</c:v>
                </c:pt>
                <c:pt idx="4">
                  <c:v>-3.7695997174810476E-9</c:v>
                </c:pt>
                <c:pt idx="5">
                  <c:v>-7.9741292273184708E-9</c:v>
                </c:pt>
                <c:pt idx="6">
                  <c:v>-1.2178684229040685E-8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2-4A96-9511-83FEF480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32208"/>
        <c:axId val="438032536"/>
      </c:lineChart>
      <c:catAx>
        <c:axId val="4380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2536"/>
        <c:crosses val="autoZero"/>
        <c:auto val="1"/>
        <c:lblAlgn val="ctr"/>
        <c:lblOffset val="100"/>
        <c:noMultiLvlLbl val="0"/>
      </c:catAx>
      <c:valAx>
        <c:axId val="4380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Лист2!$E$2:$E$8</c:f>
              <c:numCache>
                <c:formatCode>General</c:formatCode>
                <c:ptCount val="7"/>
                <c:pt idx="0">
                  <c:v>6665.0000000000009</c:v>
                </c:pt>
                <c:pt idx="1">
                  <c:v>5935.8870869418679</c:v>
                </c:pt>
                <c:pt idx="2">
                  <c:v>5304.4023271628603</c:v>
                </c:pt>
                <c:pt idx="3">
                  <c:v>4668.4559554498474</c:v>
                </c:pt>
                <c:pt idx="4">
                  <c:v>3925.2369145747116</c:v>
                </c:pt>
                <c:pt idx="5">
                  <c:v>2954.591778488938</c:v>
                </c:pt>
                <c:pt idx="6">
                  <c:v>1599.5999999999981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3-4A87-B7D8-BFDD51C5577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Лист2!$D$11:$D$17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Лист2!$E$11:$E$17</c:f>
              <c:numCache>
                <c:formatCode>General</c:formatCode>
                <c:ptCount val="7"/>
                <c:pt idx="0">
                  <c:v>7331.5000000000009</c:v>
                </c:pt>
                <c:pt idx="1">
                  <c:v>6378.3473159834684</c:v>
                </c:pt>
                <c:pt idx="2">
                  <c:v>5594.353665761394</c:v>
                </c:pt>
                <c:pt idx="3">
                  <c:v>4852.7737456026671</c:v>
                </c:pt>
                <c:pt idx="4">
                  <c:v>4033.7191199379627</c:v>
                </c:pt>
                <c:pt idx="5">
                  <c:v>3004.7763090498911</c:v>
                </c:pt>
                <c:pt idx="6">
                  <c:v>1599.5999999999981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3-4A87-B7D8-BFDD51C5577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Лист2!$D$20:$D$26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Лист2!$E$20:$E$26</c:f>
              <c:numCache>
                <c:formatCode>General</c:formatCode>
                <c:ptCount val="7"/>
                <c:pt idx="0">
                  <c:v>7998.0000000000009</c:v>
                </c:pt>
                <c:pt idx="1">
                  <c:v>6820.8075450250699</c:v>
                </c:pt>
                <c:pt idx="2">
                  <c:v>5884.3050043599287</c:v>
                </c:pt>
                <c:pt idx="3">
                  <c:v>5037.0915357554877</c:v>
                </c:pt>
                <c:pt idx="4">
                  <c:v>4142.2013253012137</c:v>
                </c:pt>
                <c:pt idx="5">
                  <c:v>3054.9608396108438</c:v>
                </c:pt>
                <c:pt idx="6">
                  <c:v>1599.5999999999981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3-4A87-B7D8-BFDD51C5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3032"/>
        <c:axId val="391374344"/>
      </c:scatterChart>
      <c:valAx>
        <c:axId val="39137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4344"/>
        <c:crosses val="autoZero"/>
        <c:crossBetween val="midCat"/>
      </c:valAx>
      <c:valAx>
        <c:axId val="3913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Лист2!$G$2:$G$8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Лист2!$H$2:$H$8</c:f>
              <c:numCache>
                <c:formatCode>General</c:formatCode>
                <c:ptCount val="7"/>
                <c:pt idx="0">
                  <c:v>2.1603872259399088E-13</c:v>
                </c:pt>
                <c:pt idx="1">
                  <c:v>1.7562111210941007E-13</c:v>
                </c:pt>
                <c:pt idx="2">
                  <c:v>1.6359550606210657E-13</c:v>
                </c:pt>
                <c:pt idx="3">
                  <c:v>1.7801776996759268E-13</c:v>
                </c:pt>
                <c:pt idx="4">
                  <c:v>2.2121949696909508E-13</c:v>
                </c:pt>
                <c:pt idx="5">
                  <c:v>3.0018494772862653E-13</c:v>
                </c:pt>
                <c:pt idx="6">
                  <c:v>4.276801695706085E-13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E-4236-80B3-2F981FCB924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Лист2!$G$11:$G$17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Лист2!$H$11:$H$17</c:f>
              <c:numCache>
                <c:formatCode>General</c:formatCode>
                <c:ptCount val="7"/>
                <c:pt idx="0">
                  <c:v>2.87783295123502E-13</c:v>
                </c:pt>
                <c:pt idx="1">
                  <c:v>2.2422467508680365E-13</c:v>
                </c:pt>
                <c:pt idx="2">
                  <c:v>1.9691561464773228E-13</c:v>
                </c:pt>
                <c:pt idx="3">
                  <c:v>2.0144116075280225E-13</c:v>
                </c:pt>
                <c:pt idx="4">
                  <c:v>2.3853294141389062E-13</c:v>
                </c:pt>
                <c:pt idx="5">
                  <c:v>3.1418744525623777E-13</c:v>
                </c:pt>
                <c:pt idx="6">
                  <c:v>4.4063545127328151E-13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E-4236-80B3-2F981FCB924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Лист2!$G$20:$G$26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Лист2!$H$20:$H$26</c:f>
              <c:numCache>
                <c:formatCode>General</c:formatCode>
                <c:ptCount val="7"/>
                <c:pt idx="0">
                  <c:v>3.5952786765301317E-13</c:v>
                </c:pt>
                <c:pt idx="1">
                  <c:v>2.7282823806419721E-13</c:v>
                </c:pt>
                <c:pt idx="2">
                  <c:v>2.3023572323335799E-13</c:v>
                </c:pt>
                <c:pt idx="3">
                  <c:v>2.248645515380118E-13</c:v>
                </c:pt>
                <c:pt idx="4">
                  <c:v>2.5584638585868621E-13</c:v>
                </c:pt>
                <c:pt idx="5">
                  <c:v>3.2818994278384896E-13</c:v>
                </c:pt>
                <c:pt idx="6">
                  <c:v>4.5359073297595441E-13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E-4236-80B3-2F981FCB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82920"/>
        <c:axId val="398184560"/>
      </c:scatterChart>
      <c:valAx>
        <c:axId val="3981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4560"/>
        <c:crosses val="autoZero"/>
        <c:crossBetween val="midCat"/>
      </c:valAx>
      <c:valAx>
        <c:axId val="3981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Лист2!$J$2:$J$8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Лист2!$K$2:$K$8</c:f>
              <c:numCache>
                <c:formatCode>General</c:formatCode>
                <c:ptCount val="7"/>
                <c:pt idx="0">
                  <c:v>5.6369874462828305E-10</c:v>
                </c:pt>
                <c:pt idx="1">
                  <c:v>2.5537163751414967E-10</c:v>
                </c:pt>
                <c:pt idx="2">
                  <c:v>-1.1670497774161831E-11</c:v>
                </c:pt>
                <c:pt idx="3">
                  <c:v>-2.8059935852850285E-10</c:v>
                </c:pt>
                <c:pt idx="4">
                  <c:v>-5.9489166184819555E-10</c:v>
                </c:pt>
                <c:pt idx="5">
                  <c:v>-1.0053578619165371E-9</c:v>
                </c:pt>
                <c:pt idx="6">
                  <c:v>-1.5783564849591924E-9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5-49C6-87B6-0EAEEEE2251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Лист2!$J$11:$J$17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Лист2!$K$11:$K$17</c:f>
              <c:numCache>
                <c:formatCode>General</c:formatCode>
                <c:ptCount val="7"/>
                <c:pt idx="0">
                  <c:v>8.4554811694242441E-10</c:v>
                </c:pt>
                <c:pt idx="1">
                  <c:v>4.4247912112907291E-10</c:v>
                </c:pt>
                <c:pt idx="2">
                  <c:v>1.1094406004375536E-10</c:v>
                </c:pt>
                <c:pt idx="3">
                  <c:v>-2.026550922705856E-10</c:v>
                </c:pt>
                <c:pt idx="4">
                  <c:v>-5.4901673088212489E-10</c:v>
                </c:pt>
                <c:pt idx="5">
                  <c:v>-9.8413583875301939E-10</c:v>
                </c:pt>
                <c:pt idx="6">
                  <c:v>-1.5783564849591924E-9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5-49C6-87B6-0EAEEEE2251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Лист2!$J$20:$J$26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Лист2!$K$20:$K$26</c:f>
              <c:numCache>
                <c:formatCode>General</c:formatCode>
                <c:ptCount val="7"/>
                <c:pt idx="0">
                  <c:v>1.1273974892565657E-9</c:v>
                </c:pt>
                <c:pt idx="1">
                  <c:v>6.2958660474399656E-10</c:v>
                </c:pt>
                <c:pt idx="2">
                  <c:v>2.3355861786167295E-10</c:v>
                </c:pt>
                <c:pt idx="3">
                  <c:v>-1.2471082601266794E-10</c:v>
                </c:pt>
                <c:pt idx="4">
                  <c:v>-5.0314179991605423E-10</c:v>
                </c:pt>
                <c:pt idx="5">
                  <c:v>-9.6291381558950213E-10</c:v>
                </c:pt>
                <c:pt idx="6">
                  <c:v>-1.5783564849591924E-9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5-49C6-87B6-0EAEEEE2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15824"/>
        <c:axId val="390413200"/>
      </c:scatterChart>
      <c:valAx>
        <c:axId val="3904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13200"/>
        <c:crosses val="autoZero"/>
        <c:crossBetween val="midCat"/>
      </c:valAx>
      <c:valAx>
        <c:axId val="3904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Лист3!$D$2:$D$8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Лист3!$E$2:$E$8</c:f>
              <c:numCache>
                <c:formatCode>General</c:formatCode>
                <c:ptCount val="7"/>
                <c:pt idx="0">
                  <c:v>6665.0000000000009</c:v>
                </c:pt>
                <c:pt idx="1">
                  <c:v>5581.0829468184011</c:v>
                </c:pt>
                <c:pt idx="2">
                  <c:v>4978.5343952536286</c:v>
                </c:pt>
                <c:pt idx="3">
                  <c:v>4540.5639393397087</c:v>
                </c:pt>
                <c:pt idx="4">
                  <c:v>4036.9082448278696</c:v>
                </c:pt>
                <c:pt idx="5">
                  <c:v>3202.7699082273339</c:v>
                </c:pt>
                <c:pt idx="6">
                  <c:v>1599.5999999999976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538-8AD3-9C069BAA750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Лист3!$D$11:$D$17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Лист3!$E$11:$E$17</c:f>
              <c:numCache>
                <c:formatCode>General</c:formatCode>
                <c:ptCount val="7"/>
                <c:pt idx="0">
                  <c:v>6665.0000000000009</c:v>
                </c:pt>
                <c:pt idx="1">
                  <c:v>5905.6159812219867</c:v>
                </c:pt>
                <c:pt idx="2">
                  <c:v>5447.8110453045656</c:v>
                </c:pt>
                <c:pt idx="3">
                  <c:v>5050.8938635143459</c:v>
                </c:pt>
                <c:pt idx="4">
                  <c:v>4506.1848948788065</c:v>
                </c:pt>
                <c:pt idx="5">
                  <c:v>3527.3029426309186</c:v>
                </c:pt>
                <c:pt idx="6">
                  <c:v>1599.5999999999972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8-4538-8AD3-9C069BAA7501}"/>
            </c:ext>
          </c:extLst>
        </c:ser>
        <c:ser>
          <c:idx val="2"/>
          <c:order val="2"/>
          <c:tx>
            <c:v>3+Лист3!$D$20:$D$26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Лист3!$D$20:$D$26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Лист3!$E$20:$E$26</c:f>
              <c:numCache>
                <c:formatCode>General</c:formatCode>
                <c:ptCount val="7"/>
                <c:pt idx="0">
                  <c:v>6665.0000000000009</c:v>
                </c:pt>
                <c:pt idx="1">
                  <c:v>6230.1490156255713</c:v>
                </c:pt>
                <c:pt idx="2">
                  <c:v>5917.0876953555025</c:v>
                </c:pt>
                <c:pt idx="3">
                  <c:v>5561.2237876889831</c:v>
                </c:pt>
                <c:pt idx="4">
                  <c:v>4975.4615449297435</c:v>
                </c:pt>
                <c:pt idx="5">
                  <c:v>3851.8359770345037</c:v>
                </c:pt>
                <c:pt idx="6">
                  <c:v>1599.5999999999958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8-4538-8AD3-9C069BAA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81952"/>
        <c:axId val="429794088"/>
      </c:scatterChart>
      <c:valAx>
        <c:axId val="4297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4088"/>
        <c:crosses val="autoZero"/>
        <c:crossBetween val="midCat"/>
      </c:valAx>
      <c:valAx>
        <c:axId val="4297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Лист3!$G$2:$G$8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Лист3!$H$2:$H$8</c:f>
              <c:numCache>
                <c:formatCode>General</c:formatCode>
                <c:ptCount val="7"/>
                <c:pt idx="0">
                  <c:v>3.9279257295891397E-13</c:v>
                </c:pt>
                <c:pt idx="1">
                  <c:v>2.0578321250047965E-13</c:v>
                </c:pt>
                <c:pt idx="2">
                  <c:v>1.2696454847591015E-13</c:v>
                </c:pt>
                <c:pt idx="3">
                  <c:v>1.1489760221834694E-13</c:v>
                </c:pt>
                <c:pt idx="4">
                  <c:v>1.6323816661987186E-13</c:v>
                </c:pt>
                <c:pt idx="5">
                  <c:v>2.9740133392759842E-13</c:v>
                </c:pt>
                <c:pt idx="6">
                  <c:v>5.8792350179234204E-13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4-4CCD-ADC0-7A6464F02D5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Лист3!$G$11:$G$17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Лист3!$H$11:$H$17</c:f>
              <c:numCache>
                <c:formatCode>General</c:formatCode>
                <c:ptCount val="7"/>
                <c:pt idx="0">
                  <c:v>2.7083574243802158E-13</c:v>
                </c:pt>
                <c:pt idx="1">
                  <c:v>1.4852188660853052E-13</c:v>
                </c:pt>
                <c:pt idx="2">
                  <c:v>1.0429353713593412E-13</c:v>
                </c:pt>
                <c:pt idx="3">
                  <c:v>1.1489760221834694E-13</c:v>
                </c:pt>
                <c:pt idx="4">
                  <c:v>1.8590917795984789E-13</c:v>
                </c:pt>
                <c:pt idx="5">
                  <c:v>3.5466265981954753E-13</c:v>
                </c:pt>
                <c:pt idx="6">
                  <c:v>7.0988033231323444E-13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A4-4CCD-ADC0-7A6464F02D5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Лист3!$G$20:$G$26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Лист3!$H$20:$H$26</c:f>
              <c:numCache>
                <c:formatCode>General</c:formatCode>
                <c:ptCount val="7"/>
                <c:pt idx="0">
                  <c:v>1.48878911917129E-13</c:v>
                </c:pt>
                <c:pt idx="1">
                  <c:v>9.1260560716581298E-14</c:v>
                </c:pt>
                <c:pt idx="2">
                  <c:v>8.1622525795958094E-14</c:v>
                </c:pt>
                <c:pt idx="3">
                  <c:v>1.1489760221834696E-13</c:v>
                </c:pt>
                <c:pt idx="4">
                  <c:v>2.0858018929982401E-13</c:v>
                </c:pt>
                <c:pt idx="5">
                  <c:v>4.1192398571149688E-13</c:v>
                </c:pt>
                <c:pt idx="6">
                  <c:v>8.3183716283412735E-13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A4-4CCD-ADC0-7A6464F0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94328"/>
        <c:axId val="392091376"/>
      </c:scatterChart>
      <c:valAx>
        <c:axId val="39209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1376"/>
        <c:crosses val="autoZero"/>
        <c:crossBetween val="midCat"/>
      </c:valAx>
      <c:valAx>
        <c:axId val="392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Лист3!$J$2:$J$8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Лист3!$K$2:$K$8</c:f>
              <c:numCache>
                <c:formatCode>General</c:formatCode>
                <c:ptCount val="7"/>
                <c:pt idx="0">
                  <c:v>2.6723496041637113E-9</c:v>
                </c:pt>
                <c:pt idx="1">
                  <c:v>1.2236847839505861E-9</c:v>
                </c:pt>
                <c:pt idx="2">
                  <c:v>4.1837326443894013E-10</c:v>
                </c:pt>
                <c:pt idx="3">
                  <c:v>-1.6697816066581784E-10</c:v>
                </c:pt>
                <c:pt idx="4">
                  <c:v>-8.4011849368082736E-10</c:v>
                </c:pt>
                <c:pt idx="5">
                  <c:v>-1.9549518288307234E-9</c:v>
                </c:pt>
                <c:pt idx="6">
                  <c:v>-4.0976027263843579E-9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7B4-A185-8F00F160792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Лист3!$J$11:$J$17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Лист3!$K$11:$K$17</c:f>
              <c:numCache>
                <c:formatCode>General</c:formatCode>
                <c:ptCount val="7"/>
                <c:pt idx="0">
                  <c:v>1.7815664027758078E-9</c:v>
                </c:pt>
                <c:pt idx="1">
                  <c:v>7.6664288090050217E-10</c:v>
                </c:pt>
                <c:pt idx="2">
                  <c:v>1.5478249616276136E-10</c:v>
                </c:pt>
                <c:pt idx="3">
                  <c:v>-3.7570086149808831E-10</c:v>
                </c:pt>
                <c:pt idx="4">
                  <c:v>-1.1037092619570063E-9</c:v>
                </c:pt>
                <c:pt idx="5">
                  <c:v>-2.4119937318808085E-9</c:v>
                </c:pt>
                <c:pt idx="6">
                  <c:v>-4.9883859277722618E-9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6-47B4-A185-8F00F160792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Лист3!$J$20:$J$26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</c:numCache>
            </c:numRef>
          </c:xVal>
          <c:yVal>
            <c:numRef>
              <c:f>Лист3!$K$20:$K$26</c:f>
              <c:numCache>
                <c:formatCode>General</c:formatCode>
                <c:ptCount val="7"/>
                <c:pt idx="0">
                  <c:v>8.9078320138790328E-10</c:v>
                </c:pt>
                <c:pt idx="1">
                  <c:v>3.0960097785041569E-10</c:v>
                </c:pt>
                <c:pt idx="2">
                  <c:v>-1.0880827211341863E-10</c:v>
                </c:pt>
                <c:pt idx="3">
                  <c:v>-5.8442356233036008E-10</c:v>
                </c:pt>
                <c:pt idx="4">
                  <c:v>-1.3673000302331861E-9</c:v>
                </c:pt>
                <c:pt idx="5">
                  <c:v>-2.8690356349308944E-9</c:v>
                </c:pt>
                <c:pt idx="6">
                  <c:v>-5.8791691291601682E-9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6-47B4-A185-8F00F160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07072"/>
        <c:axId val="426211992"/>
      </c:scatterChart>
      <c:valAx>
        <c:axId val="4262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11992"/>
        <c:crosses val="autoZero"/>
        <c:crossBetween val="midCat"/>
      </c:valAx>
      <c:valAx>
        <c:axId val="4262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468086</xdr:colOff>
      <xdr:row>18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5962106" y="4462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408214</xdr:colOff>
      <xdr:row>19</xdr:row>
      <xdr:rowOff>0</xdr:rowOff>
    </xdr:from>
    <xdr:ext cx="858207" cy="172227"/>
    <xdr:sp macro="" textlink="">
      <xdr:nvSpPr>
        <xdr:cNvPr id="6" name="TextBox 5"/>
        <xdr:cNvSpPr txBox="1"/>
      </xdr:nvSpPr>
      <xdr:spPr>
        <a:xfrm>
          <a:off x="9712234" y="3657600"/>
          <a:ext cx="85820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239485</xdr:colOff>
      <xdr:row>8</xdr:row>
      <xdr:rowOff>59873</xdr:rowOff>
    </xdr:from>
    <xdr:to>
      <xdr:col>16</xdr:col>
      <xdr:colOff>566057</xdr:colOff>
      <xdr:row>23</xdr:row>
      <xdr:rowOff>27216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24</xdr:row>
      <xdr:rowOff>114301</xdr:rowOff>
    </xdr:from>
    <xdr:to>
      <xdr:col>17</xdr:col>
      <xdr:colOff>97971</xdr:colOff>
      <xdr:row>39</xdr:row>
      <xdr:rowOff>81643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12</xdr:row>
      <xdr:rowOff>157843</xdr:rowOff>
    </xdr:from>
    <xdr:to>
      <xdr:col>24</xdr:col>
      <xdr:colOff>76200</xdr:colOff>
      <xdr:row>27</xdr:row>
      <xdr:rowOff>125186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466164</xdr:colOff>
      <xdr:row>7</xdr:row>
      <xdr:rowOff>40341</xdr:rowOff>
    </xdr:from>
    <xdr:to>
      <xdr:col>21</xdr:col>
      <xdr:colOff>161364</xdr:colOff>
      <xdr:row>22</xdr:row>
      <xdr:rowOff>94129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161364</xdr:colOff>
      <xdr:row>26</xdr:row>
      <xdr:rowOff>31377</xdr:rowOff>
    </xdr:from>
    <xdr:to>
      <xdr:col>7</xdr:col>
      <xdr:colOff>457199</xdr:colOff>
      <xdr:row>41</xdr:row>
      <xdr:rowOff>85165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510988</xdr:colOff>
      <xdr:row>26</xdr:row>
      <xdr:rowOff>76200</xdr:rowOff>
    </xdr:from>
    <xdr:to>
      <xdr:col>15</xdr:col>
      <xdr:colOff>582706</xdr:colOff>
      <xdr:row>41</xdr:row>
      <xdr:rowOff>129988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63500</xdr:rowOff>
    </xdr:from>
    <xdr:to>
      <xdr:col>19</xdr:col>
      <xdr:colOff>321734</xdr:colOff>
      <xdr:row>30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182034</xdr:rowOff>
    </xdr:from>
    <xdr:to>
      <xdr:col>7</xdr:col>
      <xdr:colOff>304800</xdr:colOff>
      <xdr:row>41</xdr:row>
      <xdr:rowOff>131234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160867</xdr:colOff>
      <xdr:row>31</xdr:row>
      <xdr:rowOff>4234</xdr:rowOff>
    </xdr:from>
    <xdr:to>
      <xdr:col>15</xdr:col>
      <xdr:colOff>499534</xdr:colOff>
      <xdr:row>45</xdr:row>
      <xdr:rowOff>139701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I30" sqref="I30"/>
    </sheetView>
  </sheetViews>
  <sheetFormatPr defaultRowHeight="14.4" x14ac:dyDescent="0.3"/>
  <cols>
    <col min="2" max="2" width="13.33203125" bestFit="1" customWidth="1"/>
    <col min="3" max="4" width="8.88671875" customWidth="1"/>
    <col min="5" max="5" width="8.77734375" customWidth="1"/>
    <col min="7" max="7" width="8.5546875" customWidth="1"/>
    <col min="9" max="9" width="13" bestFit="1" customWidth="1"/>
    <col min="10" max="10" width="8.77734375" customWidth="1"/>
    <col min="12" max="12" width="13.5546875" bestFit="1" customWidth="1"/>
    <col min="13" max="13" width="8.6640625" customWidth="1"/>
    <col min="15" max="15" width="13" bestFit="1" customWidth="1"/>
  </cols>
  <sheetData>
    <row r="1" spans="1:15" x14ac:dyDescent="0.3">
      <c r="A1" t="s">
        <v>1</v>
      </c>
      <c r="B1">
        <v>1.1999999999999999E-3</v>
      </c>
      <c r="C1" t="s">
        <v>0</v>
      </c>
      <c r="H1" t="s">
        <v>7</v>
      </c>
      <c r="K1" t="s">
        <v>8</v>
      </c>
      <c r="N1" t="s">
        <v>9</v>
      </c>
    </row>
    <row r="2" spans="1:15" x14ac:dyDescent="0.3">
      <c r="A2" t="s">
        <v>2</v>
      </c>
      <c r="B2">
        <f>1.3*(10^12)</f>
        <v>1300000000000</v>
      </c>
      <c r="C2">
        <v>0</v>
      </c>
      <c r="D2">
        <v>2665</v>
      </c>
      <c r="H2" t="s">
        <v>13</v>
      </c>
      <c r="I2">
        <f>(8*B1)/(PI()*(B3^4))</f>
        <v>3.7725616140301099E+19</v>
      </c>
      <c r="K2" t="s">
        <v>13</v>
      </c>
      <c r="L2">
        <f>(8*B1)/(PI()*(B3^4))</f>
        <v>3.7725616140301099E+19</v>
      </c>
      <c r="N2" t="s">
        <v>13</v>
      </c>
      <c r="O2">
        <f>(8*B1)/(PI()*(B3^4))</f>
        <v>3.7725616140301099E+19</v>
      </c>
    </row>
    <row r="3" spans="1:15" x14ac:dyDescent="0.3">
      <c r="A3" t="s">
        <v>3</v>
      </c>
      <c r="B3">
        <f>3/(10^6)</f>
        <v>3.0000000000000001E-6</v>
      </c>
      <c r="C3">
        <f>C2+0.0001</f>
        <v>1E-4</v>
      </c>
      <c r="D3">
        <v>2665</v>
      </c>
      <c r="E3" t="s">
        <v>22</v>
      </c>
      <c r="F3">
        <f>40*133.3</f>
        <v>5332</v>
      </c>
      <c r="H3" t="s">
        <v>14</v>
      </c>
      <c r="I3">
        <f>(4*B$1*B$4)/(PI()^2*B$7^4*B$3*B$2)</f>
        <v>306470081131.58063</v>
      </c>
      <c r="K3" t="s">
        <v>14</v>
      </c>
      <c r="L3">
        <f>(4*B1*B4)/(PI()^2*B8^4*B3*B2)</f>
        <v>46763623219.540527</v>
      </c>
      <c r="N3" t="s">
        <v>14</v>
      </c>
      <c r="O3">
        <f>(4*B1*B4)/(PI()^2*B9^4*B3*B2)</f>
        <v>1915438.0070723782</v>
      </c>
    </row>
    <row r="4" spans="1:15" x14ac:dyDescent="0.3">
      <c r="A4" t="s">
        <v>4</v>
      </c>
      <c r="B4">
        <f>0.6/(10^6)</f>
        <v>5.9999999999999997E-7</v>
      </c>
      <c r="C4">
        <f t="shared" ref="C4:C8" si="0">C3+0.0001</f>
        <v>2.0000000000000001E-4</v>
      </c>
      <c r="D4">
        <v>2665</v>
      </c>
      <c r="E4" t="s">
        <v>21</v>
      </c>
      <c r="F4">
        <f>70*133.3</f>
        <v>9331</v>
      </c>
      <c r="H4" t="s">
        <v>31</v>
      </c>
      <c r="I4">
        <f>SQRT(I3/I2)</f>
        <v>9.0131348938225179E-5</v>
      </c>
      <c r="K4" t="s">
        <v>31</v>
      </c>
      <c r="L4">
        <f>SQRT(L3/L2)</f>
        <v>3.520755817899422E-5</v>
      </c>
      <c r="N4" t="s">
        <v>31</v>
      </c>
      <c r="O4">
        <f>SQRT(O2/O3)</f>
        <v>4437967.5297454465</v>
      </c>
    </row>
    <row r="5" spans="1:15" x14ac:dyDescent="0.3">
      <c r="A5" t="s">
        <v>5</v>
      </c>
      <c r="B5">
        <f>600/(10^6)</f>
        <v>5.9999999999999995E-4</v>
      </c>
      <c r="C5">
        <f t="shared" si="0"/>
        <v>3.0000000000000003E-4</v>
      </c>
      <c r="D5">
        <v>2665</v>
      </c>
      <c r="E5" t="s">
        <v>32</v>
      </c>
      <c r="F5">
        <f>(I4*LOG(-I6/I5))/2</f>
        <v>1.3163518869482876E-4</v>
      </c>
      <c r="H5" t="s">
        <v>16</v>
      </c>
      <c r="I5">
        <f>(($F$3-$B$6)+($F$4-$F$3)*EXP(-B5/I4))/(EXP(-(B5/I4))-EXP(B5/I4))</f>
        <v>-4.8029628848939039</v>
      </c>
      <c r="K5" t="s">
        <v>16</v>
      </c>
      <c r="L5">
        <f>(($F$3-$B$6)+($F$4-$F$3)*EXP(-B5/L4))/(EXP(-B5/L4)-EXP(B5/L4))</f>
        <v>-1.4819396998034059E-4</v>
      </c>
      <c r="N5" t="s">
        <v>16</v>
      </c>
      <c r="O5">
        <f>(($F$3-$B$6)+($F$4-$F$3)*EXP(-B5/O4))/(EXP(-B5/O4)-EXP(B5/O4))</f>
        <v>-28593085799562.855</v>
      </c>
    </row>
    <row r="6" spans="1:15" x14ac:dyDescent="0.3">
      <c r="A6" t="s">
        <v>6</v>
      </c>
      <c r="B6">
        <f>12*133.3</f>
        <v>1599.6000000000001</v>
      </c>
      <c r="C6">
        <f t="shared" si="0"/>
        <v>4.0000000000000002E-4</v>
      </c>
      <c r="D6">
        <v>2665</v>
      </c>
      <c r="H6" t="s">
        <v>17</v>
      </c>
      <c r="I6">
        <f>(-($F$3-$B$6)-($F$4-$F$3)*EXP(B5/I4))/(EXP(-(B5/I4))-EXP(B5/I4))</f>
        <v>4003.802962884894</v>
      </c>
      <c r="K6" t="s">
        <v>17</v>
      </c>
      <c r="L6">
        <f>((-$F$3+$B$6)+(-$F$4+$F$3)*EXP(B5/L4))/(EXP(-(B5/L4))-EXP(B5/L4))</f>
        <v>3999.0001481939703</v>
      </c>
      <c r="N6" s="2" t="s">
        <v>17</v>
      </c>
      <c r="O6">
        <f>((-$F$3+$B$6)+(-$F$4+$F$3)*EXP(B5/O4))/(EXP(-(B5/O4))-EXP(B5/O4))</f>
        <v>28593085803561.855</v>
      </c>
    </row>
    <row r="7" spans="1:15" x14ac:dyDescent="0.3">
      <c r="A7" t="s">
        <v>7</v>
      </c>
      <c r="B7">
        <f>125/(10^9)</f>
        <v>1.2499999999999999E-7</v>
      </c>
      <c r="C7">
        <f t="shared" si="0"/>
        <v>5.0000000000000001E-4</v>
      </c>
      <c r="D7">
        <v>2665</v>
      </c>
    </row>
    <row r="8" spans="1:15" x14ac:dyDescent="0.3">
      <c r="A8" t="s">
        <v>8</v>
      </c>
      <c r="B8">
        <f>200/(10^9)</f>
        <v>1.9999999999999999E-7</v>
      </c>
      <c r="C8">
        <f t="shared" si="0"/>
        <v>6.0000000000000006E-4</v>
      </c>
      <c r="D8">
        <v>2665</v>
      </c>
    </row>
    <row r="9" spans="1:15" x14ac:dyDescent="0.3">
      <c r="A9" t="s">
        <v>9</v>
      </c>
      <c r="B9">
        <f>2500/(10^9)</f>
        <v>2.5000000000000002E-6</v>
      </c>
      <c r="I9" t="s">
        <v>33</v>
      </c>
    </row>
    <row r="10" spans="1:15" x14ac:dyDescent="0.3">
      <c r="A10" t="s">
        <v>0</v>
      </c>
      <c r="B10" t="s">
        <v>10</v>
      </c>
      <c r="D10" t="s">
        <v>0</v>
      </c>
      <c r="E10" t="s">
        <v>11</v>
      </c>
      <c r="G10" t="s">
        <v>0</v>
      </c>
      <c r="H10" t="s">
        <v>12</v>
      </c>
      <c r="I10">
        <f>SUM(H11:H17)/SUM(H11:H12)</f>
        <v>7.4853857589379763E-2</v>
      </c>
    </row>
    <row r="11" spans="1:15" x14ac:dyDescent="0.3">
      <c r="A11">
        <v>0</v>
      </c>
      <c r="B11">
        <f>I$5*EXP(A11/I$4)+I$6*EXP(-(A11/I$4))+$F$3</f>
        <v>9331</v>
      </c>
      <c r="D11">
        <v>0</v>
      </c>
      <c r="E11" s="1">
        <f t="shared" ref="E11:E17" si="1">-(1/(I$2*I$4))*(I$5*EXP(D11/I$4)-I$6*EXP(-D11/I$4))</f>
        <v>1.1789113577330638E-12</v>
      </c>
      <c r="G11">
        <v>0</v>
      </c>
      <c r="H11">
        <f>((B11-$F$3)/I$3)</f>
        <v>1.3048582051580621E-8</v>
      </c>
    </row>
    <row r="12" spans="1:15" x14ac:dyDescent="0.3">
      <c r="A12">
        <f>A11+0.0001</f>
        <v>1E-4</v>
      </c>
      <c r="B12">
        <f t="shared" ref="B12:B17" si="2">I$5*EXP(A12/I$4)+I$6*EXP(-(A12/I$4))+$F$3</f>
        <v>6637.5932634026294</v>
      </c>
      <c r="D12">
        <f>D11+0.0001</f>
        <v>1E-4</v>
      </c>
      <c r="E12" s="1">
        <f t="shared" si="1"/>
        <v>3.925364572878366E-13</v>
      </c>
      <c r="G12">
        <f>G11+0.0001</f>
        <v>1E-4</v>
      </c>
      <c r="H12">
        <f t="shared" ref="H12:H17" si="3">((B12-$F$3)/I$3)</f>
        <v>4.2601002309327634E-9</v>
      </c>
    </row>
    <row r="13" spans="1:15" x14ac:dyDescent="0.3">
      <c r="A13">
        <f t="shared" ref="A13:A17" si="4">A12+0.0001</f>
        <v>2.0000000000000001E-4</v>
      </c>
      <c r="B13">
        <f t="shared" si="2"/>
        <v>5723.1140548166104</v>
      </c>
      <c r="D13">
        <f t="shared" ref="D13:D17" si="5">D12+0.0001</f>
        <v>2.0000000000000001E-4</v>
      </c>
      <c r="E13" s="1">
        <f t="shared" si="1"/>
        <v>1.4100952917167597E-13</v>
      </c>
      <c r="G13">
        <f t="shared" ref="G13:G17" si="6">G12+0.0001</f>
        <v>2.0000000000000001E-4</v>
      </c>
      <c r="H13">
        <f t="shared" si="3"/>
        <v>1.2761900064518484E-9</v>
      </c>
    </row>
    <row r="14" spans="1:15" x14ac:dyDescent="0.3">
      <c r="A14">
        <f t="shared" si="4"/>
        <v>3.0000000000000003E-4</v>
      </c>
      <c r="B14">
        <f t="shared" si="2"/>
        <v>5341.5447334125429</v>
      </c>
      <c r="D14">
        <f t="shared" si="5"/>
        <v>3.0000000000000003E-4</v>
      </c>
      <c r="E14" s="1">
        <f t="shared" si="1"/>
        <v>8.1614209104458258E-14</v>
      </c>
      <c r="G14">
        <f t="shared" si="6"/>
        <v>3.0000000000000003E-4</v>
      </c>
      <c r="H14">
        <f t="shared" si="3"/>
        <v>3.1144095297331564E-11</v>
      </c>
    </row>
    <row r="15" spans="1:15" x14ac:dyDescent="0.3">
      <c r="A15">
        <f t="shared" si="4"/>
        <v>4.0000000000000002E-4</v>
      </c>
      <c r="B15">
        <f t="shared" si="2"/>
        <v>4972.9805258452698</v>
      </c>
      <c r="D15">
        <f t="shared" si="5"/>
        <v>4.0000000000000002E-4</v>
      </c>
      <c r="E15" s="1">
        <f t="shared" si="1"/>
        <v>1.3342179374158408E-13</v>
      </c>
      <c r="G15">
        <f t="shared" si="6"/>
        <v>4.0000000000000002E-4</v>
      </c>
      <c r="H15">
        <f t="shared" si="3"/>
        <v>-1.1714666333141601E-9</v>
      </c>
    </row>
    <row r="16" spans="1:15" x14ac:dyDescent="0.3">
      <c r="A16">
        <f t="shared" si="4"/>
        <v>5.0000000000000001E-4</v>
      </c>
      <c r="B16">
        <f t="shared" si="2"/>
        <v>4115.2366912312737</v>
      </c>
      <c r="D16">
        <f t="shared" si="5"/>
        <v>5.0000000000000001E-4</v>
      </c>
      <c r="E16" s="1">
        <f t="shared" si="1"/>
        <v>3.6702236734143066E-13</v>
      </c>
      <c r="G16">
        <f t="shared" si="6"/>
        <v>5.0000000000000001E-4</v>
      </c>
      <c r="H16">
        <f t="shared" si="3"/>
        <v>-3.9702515308380725E-9</v>
      </c>
    </row>
    <row r="17" spans="1:9" x14ac:dyDescent="0.3">
      <c r="A17">
        <f t="shared" si="4"/>
        <v>6.0000000000000006E-4</v>
      </c>
      <c r="B17">
        <f t="shared" si="2"/>
        <v>1599.5999999999972</v>
      </c>
      <c r="D17">
        <f t="shared" si="5"/>
        <v>6.0000000000000006E-4</v>
      </c>
      <c r="E17" s="1">
        <f t="shared" si="1"/>
        <v>1.1007068575493988E-12</v>
      </c>
      <c r="G17">
        <f t="shared" si="6"/>
        <v>6.0000000000000006E-4</v>
      </c>
      <c r="H17">
        <f t="shared" si="3"/>
        <v>-1.2178676581475256E-8</v>
      </c>
    </row>
    <row r="19" spans="1:9" x14ac:dyDescent="0.3">
      <c r="I19" t="s">
        <v>34</v>
      </c>
    </row>
    <row r="20" spans="1:9" x14ac:dyDescent="0.3">
      <c r="A20" t="s">
        <v>0</v>
      </c>
      <c r="B20" t="s">
        <v>10</v>
      </c>
      <c r="D20" t="s">
        <v>0</v>
      </c>
      <c r="G20" t="s">
        <v>0</v>
      </c>
      <c r="I20">
        <f t="shared" ref="I20:I29" si="7">SUM(H21:H27)/SUM(H21:H22)</f>
        <v>6.6894916787769584E-2</v>
      </c>
    </row>
    <row r="21" spans="1:9" x14ac:dyDescent="0.3">
      <c r="A21">
        <v>0</v>
      </c>
      <c r="B21">
        <f>L$5*EXP(A21/L$4)+L$6*EXP(-(A21/L$4))+$F$3</f>
        <v>9331</v>
      </c>
      <c r="D21">
        <v>0</v>
      </c>
      <c r="E21">
        <f t="shared" ref="E21:E27" si="8">-(1/(I$2*L$4))*(L$5*EXP(D11/L$4)-L$6*EXP(-D11/L$4))</f>
        <v>3.010781156368168E-12</v>
      </c>
      <c r="G21">
        <v>0</v>
      </c>
      <c r="H21">
        <f t="shared" ref="H21:H27" si="9">(B21-$F$3)/I$3</f>
        <v>1.3048582051580621E-8</v>
      </c>
    </row>
    <row r="22" spans="1:9" x14ac:dyDescent="0.3">
      <c r="A22">
        <f>A21+0.0001</f>
        <v>1E-4</v>
      </c>
      <c r="B22">
        <f t="shared" ref="B22:B26" si="10">L$5*EXP(A22/L$4)+L$6*EXP(-(A22/L$4))+$F$3</f>
        <v>5565.5718092897732</v>
      </c>
      <c r="D22">
        <f>D21+0.0001</f>
        <v>1E-4</v>
      </c>
      <c r="E22">
        <f t="shared" si="8"/>
        <v>1.7585617102497201E-13</v>
      </c>
      <c r="G22">
        <f>G21+0.0001</f>
        <v>1E-4</v>
      </c>
      <c r="H22">
        <f t="shared" si="9"/>
        <v>7.6213576355432535E-10</v>
      </c>
    </row>
    <row r="23" spans="1:9" x14ac:dyDescent="0.3">
      <c r="A23">
        <f t="shared" ref="A23:A27" si="11">A22+0.0001</f>
        <v>2.0000000000000001E-4</v>
      </c>
      <c r="B23">
        <f t="shared" si="10"/>
        <v>5345.5992146670342</v>
      </c>
      <c r="D23">
        <f t="shared" ref="D23:D27" si="12">D22+0.0001</f>
        <v>2.0000000000000001E-4</v>
      </c>
      <c r="E23">
        <f t="shared" si="8"/>
        <v>1.0304033213612864E-14</v>
      </c>
      <c r="G23">
        <f t="shared" ref="G23:G27" si="13">G22+0.0001</f>
        <v>2.0000000000000001E-4</v>
      </c>
      <c r="H23">
        <f t="shared" si="9"/>
        <v>4.4373710532596672E-11</v>
      </c>
    </row>
    <row r="24" spans="1:9" x14ac:dyDescent="0.3">
      <c r="A24">
        <f t="shared" si="11"/>
        <v>3.0000000000000003E-4</v>
      </c>
      <c r="B24">
        <f t="shared" si="10"/>
        <v>5332.0531228411855</v>
      </c>
      <c r="D24">
        <f t="shared" si="12"/>
        <v>3.0000000000000003E-4</v>
      </c>
      <c r="E24">
        <f t="shared" si="8"/>
        <v>1.1598640289478979E-15</v>
      </c>
      <c r="G24">
        <f t="shared" si="13"/>
        <v>3.0000000000000003E-4</v>
      </c>
      <c r="H24">
        <f t="shared" si="9"/>
        <v>1.7333777244876638E-13</v>
      </c>
    </row>
    <row r="25" spans="1:9" x14ac:dyDescent="0.3">
      <c r="A25">
        <f t="shared" si="11"/>
        <v>4.0000000000000002E-4</v>
      </c>
      <c r="B25">
        <f t="shared" si="10"/>
        <v>5319.313398338234</v>
      </c>
      <c r="D25">
        <f t="shared" si="12"/>
        <v>4.0000000000000002E-4</v>
      </c>
      <c r="E25">
        <f t="shared" si="8"/>
        <v>9.621614088724706E-15</v>
      </c>
      <c r="G25">
        <f t="shared" si="13"/>
        <v>4.0000000000000002E-4</v>
      </c>
      <c r="H25">
        <f t="shared" si="9"/>
        <v>-4.1395889657232367E-11</v>
      </c>
    </row>
    <row r="26" spans="1:9" x14ac:dyDescent="0.3">
      <c r="A26">
        <f t="shared" si="11"/>
        <v>5.0000000000000001E-4</v>
      </c>
      <c r="B26">
        <f t="shared" si="10"/>
        <v>5113.9999938444844</v>
      </c>
      <c r="D26">
        <f t="shared" si="12"/>
        <v>5.0000000000000001E-4</v>
      </c>
      <c r="E26">
        <f t="shared" si="8"/>
        <v>1.6413269098289687E-13</v>
      </c>
      <c r="G26">
        <f t="shared" si="13"/>
        <v>5.0000000000000001E-4</v>
      </c>
      <c r="H26">
        <f t="shared" si="9"/>
        <v>-7.1132557328465271E-10</v>
      </c>
    </row>
    <row r="27" spans="1:9" x14ac:dyDescent="0.3">
      <c r="A27">
        <f t="shared" si="11"/>
        <v>6.0000000000000006E-4</v>
      </c>
      <c r="B27">
        <f>L$5*EXP(A27/L$4)+L$6*EXP(-(A27/L$4))+$F$3</f>
        <v>1599.5999999999872</v>
      </c>
      <c r="D27">
        <f t="shared" si="12"/>
        <v>6.0000000000000006E-4</v>
      </c>
      <c r="E27">
        <f t="shared" si="8"/>
        <v>2.8100624434256396E-12</v>
      </c>
      <c r="G27">
        <f t="shared" si="13"/>
        <v>6.0000000000000006E-4</v>
      </c>
      <c r="H27">
        <f t="shared" si="9"/>
        <v>-1.2178676581475289E-8</v>
      </c>
    </row>
    <row r="28" spans="1:9" x14ac:dyDescent="0.3">
      <c r="I28" t="s">
        <v>35</v>
      </c>
    </row>
    <row r="29" spans="1:9" x14ac:dyDescent="0.3">
      <c r="A29" t="s">
        <v>0</v>
      </c>
      <c r="D29" t="s">
        <v>0</v>
      </c>
      <c r="G29" t="s">
        <v>0</v>
      </c>
      <c r="I29">
        <f>SUM(H30:H36)/SUM(H30:H31)</f>
        <v>0.13907199172805998</v>
      </c>
    </row>
    <row r="30" spans="1:9" x14ac:dyDescent="0.3">
      <c r="A30">
        <v>0</v>
      </c>
      <c r="B30">
        <f>O$5*EXP(A30/O$4)+O$6*EXP(-(A30/O$4))+$F$3</f>
        <v>9331</v>
      </c>
      <c r="D30">
        <v>0</v>
      </c>
      <c r="E30">
        <f t="shared" ref="E30:E36" si="14">-(1/(I$2*O$4))*(O$5*EXP(D11/O$4)-O$6*EXP(-D11/O$4))</f>
        <v>3.415627970152828E-13</v>
      </c>
      <c r="G30">
        <v>0</v>
      </c>
      <c r="H30">
        <f t="shared" ref="H30:H36" si="15">(B30-$F$3)/I$3</f>
        <v>1.3048582051580621E-8</v>
      </c>
    </row>
    <row r="31" spans="1:9" x14ac:dyDescent="0.3">
      <c r="A31">
        <f>A30+0.0001</f>
        <v>1E-4</v>
      </c>
      <c r="B31">
        <f>O$5*EXP(A31/O$4)+O$6*EXP(-(A31/O$4))+$F$3</f>
        <v>8042.4296875</v>
      </c>
      <c r="D31">
        <f>D30+0.0001</f>
        <v>1E-4</v>
      </c>
      <c r="E31">
        <f t="shared" si="14"/>
        <v>3.415627970152828E-13</v>
      </c>
      <c r="G31">
        <f>G30+0.0001</f>
        <v>1E-4</v>
      </c>
      <c r="H31">
        <f t="shared" si="15"/>
        <v>8.8440270498584074E-9</v>
      </c>
    </row>
    <row r="32" spans="1:9" x14ac:dyDescent="0.3">
      <c r="A32">
        <f t="shared" ref="A32:A36" si="16">A31+0.0001</f>
        <v>2.0000000000000001E-4</v>
      </c>
      <c r="B32">
        <f t="shared" ref="B32:B36" si="17">O$5*EXP(A32/O$4)+O$6*EXP(-(A32/O$4))+$F$3</f>
        <v>6753.8671875</v>
      </c>
      <c r="D32">
        <f t="shared" ref="D32:D36" si="18">D31+0.0001</f>
        <v>2.0000000000000001E-4</v>
      </c>
      <c r="E32">
        <f t="shared" si="14"/>
        <v>3.415627970152828E-13</v>
      </c>
      <c r="G32">
        <f t="shared" ref="G32:G36" si="19">G31+0.0001</f>
        <v>2.0000000000000001E-4</v>
      </c>
      <c r="H32">
        <f t="shared" si="15"/>
        <v>4.6394975400209849E-9</v>
      </c>
    </row>
    <row r="33" spans="1:8" x14ac:dyDescent="0.3">
      <c r="A33">
        <f t="shared" si="16"/>
        <v>3.0000000000000003E-4</v>
      </c>
      <c r="B33">
        <f t="shared" si="17"/>
        <v>5465.30078125</v>
      </c>
      <c r="D33">
        <f t="shared" si="18"/>
        <v>3.0000000000000003E-4</v>
      </c>
      <c r="E33">
        <f t="shared" si="14"/>
        <v>3.4156279701528285E-13</v>
      </c>
      <c r="G33">
        <f t="shared" si="19"/>
        <v>3.0000000000000003E-4</v>
      </c>
      <c r="H33">
        <f t="shared" si="15"/>
        <v>4.3495528424116648E-10</v>
      </c>
    </row>
    <row r="34" spans="1:8" x14ac:dyDescent="0.3">
      <c r="A34">
        <f t="shared" si="16"/>
        <v>4.0000000000000002E-4</v>
      </c>
      <c r="B34">
        <f t="shared" si="17"/>
        <v>4176.73046875</v>
      </c>
      <c r="D34">
        <f t="shared" si="18"/>
        <v>4.0000000000000002E-4</v>
      </c>
      <c r="E34">
        <f t="shared" si="14"/>
        <v>3.4156279701528285E-13</v>
      </c>
      <c r="G34">
        <f t="shared" si="19"/>
        <v>4.0000000000000002E-4</v>
      </c>
      <c r="H34">
        <f t="shared" si="15"/>
        <v>-3.7695997174810476E-9</v>
      </c>
    </row>
    <row r="35" spans="1:8" x14ac:dyDescent="0.3">
      <c r="A35">
        <f t="shared" si="16"/>
        <v>5.0000000000000001E-4</v>
      </c>
      <c r="B35">
        <f t="shared" si="17"/>
        <v>2888.16796875</v>
      </c>
      <c r="D35">
        <f t="shared" si="18"/>
        <v>5.0000000000000001E-4</v>
      </c>
      <c r="E35">
        <f t="shared" si="14"/>
        <v>3.4156279701528275E-13</v>
      </c>
      <c r="G35">
        <f t="shared" si="19"/>
        <v>5.0000000000000001E-4</v>
      </c>
      <c r="H35">
        <f t="shared" si="15"/>
        <v>-7.9741292273184708E-9</v>
      </c>
    </row>
    <row r="36" spans="1:8" x14ac:dyDescent="0.3">
      <c r="A36">
        <f t="shared" si="16"/>
        <v>6.0000000000000006E-4</v>
      </c>
      <c r="B36">
        <f t="shared" si="17"/>
        <v>1599.59765625</v>
      </c>
      <c r="D36">
        <f t="shared" si="18"/>
        <v>6.0000000000000006E-4</v>
      </c>
      <c r="E36">
        <f t="shared" si="14"/>
        <v>3.4156279701528275E-13</v>
      </c>
      <c r="G36">
        <f t="shared" si="19"/>
        <v>6.0000000000000006E-4</v>
      </c>
      <c r="H36">
        <f t="shared" si="15"/>
        <v>-1.2178684229040685E-8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85" zoomScaleNormal="85" workbookViewId="0">
      <selection activeCell="M6" sqref="M6"/>
    </sheetView>
  </sheetViews>
  <sheetFormatPr defaultRowHeight="14.4" x14ac:dyDescent="0.3"/>
  <cols>
    <col min="3" max="3" width="8.88671875" customWidth="1"/>
    <col min="4" max="4" width="9" customWidth="1"/>
    <col min="9" max="9" width="8.77734375" customWidth="1"/>
    <col min="12" max="12" width="8.88671875" customWidth="1"/>
    <col min="13" max="13" width="12.44140625" bestFit="1" customWidth="1"/>
  </cols>
  <sheetData>
    <row r="1" spans="1:16" x14ac:dyDescent="0.3">
      <c r="A1" t="s">
        <v>23</v>
      </c>
      <c r="D1" t="s">
        <v>0</v>
      </c>
      <c r="E1" t="s">
        <v>10</v>
      </c>
      <c r="G1" t="s">
        <v>0</v>
      </c>
      <c r="H1" t="s">
        <v>11</v>
      </c>
      <c r="J1" t="s">
        <v>0</v>
      </c>
      <c r="K1" t="s">
        <v>12</v>
      </c>
      <c r="L1" t="s">
        <v>1</v>
      </c>
      <c r="M1">
        <v>1.1999999999999999E-3</v>
      </c>
      <c r="O1" t="s">
        <v>33</v>
      </c>
      <c r="P1">
        <f>SUM(K2:K8)/SUM(K2:K3)</f>
        <v>-3.2375795056193595</v>
      </c>
    </row>
    <row r="2" spans="1:16" x14ac:dyDescent="0.3">
      <c r="A2" t="s">
        <v>13</v>
      </c>
      <c r="B2">
        <f>(8*M1)/(PI()*(M3^4))</f>
        <v>3.7725616140301099E+19</v>
      </c>
      <c r="D2">
        <v>0</v>
      </c>
      <c r="E2">
        <f t="shared" ref="E2:E8" si="0">B$5*EXP(D2/B$4)+B$6*EXP(-(D2/B$4))+M$15</f>
        <v>6665.0000000000009</v>
      </c>
      <c r="G2">
        <v>0</v>
      </c>
      <c r="H2">
        <f t="shared" ref="H2:H8" si="1">-(1/(B$2*B$4))*(B$5*EXP(G2/B$4)-B$6*EXP(-G2/B$4))</f>
        <v>2.1603872259399088E-13</v>
      </c>
      <c r="J2">
        <v>0</v>
      </c>
      <c r="K2">
        <f t="shared" ref="K2:K8" si="2">((E2-M$15)/B$3)</f>
        <v>5.6369874462828305E-10</v>
      </c>
      <c r="L2" t="s">
        <v>2</v>
      </c>
      <c r="M2">
        <f>1.3*(10^12)</f>
        <v>1300000000000</v>
      </c>
      <c r="O2" t="s">
        <v>34</v>
      </c>
      <c r="P2">
        <f>SUM(K11:K17)/SUM(K11:K12)</f>
        <v>-1.4869195247898623</v>
      </c>
    </row>
    <row r="3" spans="1:16" x14ac:dyDescent="0.3">
      <c r="A3" t="s">
        <v>14</v>
      </c>
      <c r="B3">
        <f>(4*M1*M4)/(PI()^2*M7^4*M3*M2)</f>
        <v>2364738280336.271</v>
      </c>
      <c r="D3">
        <f>D2+0.0001</f>
        <v>1E-4</v>
      </c>
      <c r="E3">
        <f t="shared" si="0"/>
        <v>5935.8870869418679</v>
      </c>
      <c r="G3">
        <f>G2+0.0001</f>
        <v>1E-4</v>
      </c>
      <c r="H3">
        <f t="shared" si="1"/>
        <v>1.7562111210941007E-13</v>
      </c>
      <c r="J3">
        <f>J2+0.0001</f>
        <v>1E-4</v>
      </c>
      <c r="K3">
        <f t="shared" si="2"/>
        <v>2.5537163751414967E-10</v>
      </c>
      <c r="L3" t="s">
        <v>3</v>
      </c>
      <c r="M3">
        <f>3/(10^6)</f>
        <v>3.0000000000000001E-6</v>
      </c>
      <c r="O3" t="s">
        <v>35</v>
      </c>
      <c r="P3">
        <f>SUM(K20:K26)/SUM(K20:K21)</f>
        <v>-0.6707973160597116</v>
      </c>
    </row>
    <row r="4" spans="1:16" x14ac:dyDescent="0.3">
      <c r="A4" t="s">
        <v>31</v>
      </c>
      <c r="B4">
        <f>SQRT(B3/B2)</f>
        <v>2.5036485816173665E-4</v>
      </c>
      <c r="D4">
        <f t="shared" ref="D4:D8" si="3">D3+0.0001</f>
        <v>2.0000000000000001E-4</v>
      </c>
      <c r="E4">
        <f t="shared" si="0"/>
        <v>5304.4023271628603</v>
      </c>
      <c r="G4">
        <f t="shared" ref="G4:G8" si="4">G3+0.0001</f>
        <v>2.0000000000000001E-4</v>
      </c>
      <c r="H4">
        <f t="shared" si="1"/>
        <v>1.6359550606210657E-13</v>
      </c>
      <c r="J4">
        <f t="shared" ref="J4:J8" si="5">J3+0.0001</f>
        <v>2.0000000000000001E-4</v>
      </c>
      <c r="K4">
        <f t="shared" si="2"/>
        <v>-1.1670497774161831E-11</v>
      </c>
      <c r="L4" t="s">
        <v>4</v>
      </c>
      <c r="M4">
        <f>0.6/(10^6)</f>
        <v>5.9999999999999997E-7</v>
      </c>
    </row>
    <row r="5" spans="1:16" x14ac:dyDescent="0.3">
      <c r="A5" t="s">
        <v>16</v>
      </c>
      <c r="B5">
        <f>((M15-M6)+(M8-M15)*EXP(-M5/B4))/(EXP(-M5/B4)-EXP(M5/B4))</f>
        <v>-353.76107238846458</v>
      </c>
      <c r="D5">
        <f t="shared" si="3"/>
        <v>3.0000000000000003E-4</v>
      </c>
      <c r="E5">
        <f t="shared" si="0"/>
        <v>4668.4559554498474</v>
      </c>
      <c r="G5">
        <f t="shared" si="4"/>
        <v>3.0000000000000003E-4</v>
      </c>
      <c r="H5">
        <f t="shared" si="1"/>
        <v>1.7801776996759268E-13</v>
      </c>
      <c r="J5">
        <f t="shared" si="5"/>
        <v>3.0000000000000003E-4</v>
      </c>
      <c r="K5">
        <f t="shared" si="2"/>
        <v>-2.8059935852850285E-10</v>
      </c>
      <c r="L5" t="s">
        <v>5</v>
      </c>
      <c r="M5">
        <f>600/(10^6)</f>
        <v>5.9999999999999995E-4</v>
      </c>
    </row>
    <row r="6" spans="1:16" x14ac:dyDescent="0.3">
      <c r="A6" t="s">
        <v>17</v>
      </c>
      <c r="B6">
        <f>((M6-M15)+(M15-M8)*EXP(M5/B4))/(EXP(-(M5/B4))-EXP(M5/B4))</f>
        <v>1686.7610723884654</v>
      </c>
      <c r="D6">
        <f t="shared" si="3"/>
        <v>4.0000000000000002E-4</v>
      </c>
      <c r="E6">
        <f t="shared" si="0"/>
        <v>3925.2369145747116</v>
      </c>
      <c r="G6">
        <f t="shared" si="4"/>
        <v>4.0000000000000002E-4</v>
      </c>
      <c r="H6">
        <f t="shared" si="1"/>
        <v>2.2121949696909508E-13</v>
      </c>
      <c r="J6">
        <f t="shared" si="5"/>
        <v>4.0000000000000002E-4</v>
      </c>
      <c r="K6">
        <f t="shared" si="2"/>
        <v>-5.9489166184819555E-10</v>
      </c>
      <c r="L6" t="s">
        <v>6</v>
      </c>
      <c r="M6">
        <f>12*133.3</f>
        <v>1599.6000000000001</v>
      </c>
    </row>
    <row r="7" spans="1:16" x14ac:dyDescent="0.3">
      <c r="D7">
        <f t="shared" si="3"/>
        <v>5.0000000000000001E-4</v>
      </c>
      <c r="E7">
        <f t="shared" si="0"/>
        <v>2954.591778488938</v>
      </c>
      <c r="G7">
        <f t="shared" si="4"/>
        <v>5.0000000000000001E-4</v>
      </c>
      <c r="H7">
        <f t="shared" si="1"/>
        <v>3.0018494772862653E-13</v>
      </c>
      <c r="J7">
        <f t="shared" si="5"/>
        <v>5.0000000000000001E-4</v>
      </c>
      <c r="K7">
        <f t="shared" si="2"/>
        <v>-1.0053578619165371E-9</v>
      </c>
      <c r="L7" t="s">
        <v>18</v>
      </c>
      <c r="M7">
        <f>75/(10^9)</f>
        <v>7.4999999999999997E-8</v>
      </c>
    </row>
    <row r="8" spans="1:16" x14ac:dyDescent="0.3">
      <c r="D8">
        <f t="shared" si="3"/>
        <v>6.0000000000000006E-4</v>
      </c>
      <c r="E8">
        <f t="shared" si="0"/>
        <v>1599.5999999999981</v>
      </c>
      <c r="G8">
        <f t="shared" si="4"/>
        <v>6.0000000000000006E-4</v>
      </c>
      <c r="H8">
        <f t="shared" si="1"/>
        <v>4.276801695706085E-13</v>
      </c>
      <c r="J8">
        <f t="shared" si="5"/>
        <v>6.0000000000000006E-4</v>
      </c>
      <c r="K8">
        <f t="shared" si="2"/>
        <v>-1.5783564849591924E-9</v>
      </c>
      <c r="L8" t="s">
        <v>19</v>
      </c>
      <c r="M8">
        <f>50*133.3</f>
        <v>6665.0000000000009</v>
      </c>
    </row>
    <row r="9" spans="1:16" x14ac:dyDescent="0.3">
      <c r="L9" t="s">
        <v>20</v>
      </c>
      <c r="M9">
        <f>55*133.3</f>
        <v>7331.5000000000009</v>
      </c>
    </row>
    <row r="10" spans="1:16" x14ac:dyDescent="0.3">
      <c r="A10" t="s">
        <v>20</v>
      </c>
      <c r="D10" t="s">
        <v>0</v>
      </c>
      <c r="G10" t="s">
        <v>0</v>
      </c>
      <c r="J10" t="s">
        <v>0</v>
      </c>
      <c r="L10" t="s">
        <v>21</v>
      </c>
      <c r="M10">
        <f>60*133.3</f>
        <v>7998.0000000000009</v>
      </c>
    </row>
    <row r="11" spans="1:16" x14ac:dyDescent="0.3">
      <c r="A11" t="s">
        <v>13</v>
      </c>
      <c r="B11">
        <f>(8*M1)/(PI()*(M3^4))</f>
        <v>3.7725616140301099E+19</v>
      </c>
      <c r="D11">
        <v>0</v>
      </c>
      <c r="E11">
        <f t="shared" ref="E11:E17" si="6">B$14*EXP(D2/B$4)+B$15*EXP(-(D2/B$4))+M$15</f>
        <v>7331.5000000000009</v>
      </c>
      <c r="G11">
        <v>0</v>
      </c>
      <c r="H11">
        <f t="shared" ref="H11:H17" si="7">-(1/(B$2*B$4))*(B$14*EXP(G2/B$4)-B$15*EXP(-G2/B$4))</f>
        <v>2.87783295123502E-13</v>
      </c>
      <c r="J11">
        <v>0</v>
      </c>
      <c r="K11">
        <f t="shared" ref="K11:K17" si="8">((E11-M$15)/B$3)</f>
        <v>8.4554811694242441E-10</v>
      </c>
    </row>
    <row r="12" spans="1:16" x14ac:dyDescent="0.3">
      <c r="A12" t="s">
        <v>14</v>
      </c>
      <c r="B12">
        <f>(4*M1*M4)/(PI()^2*M7^4*M3*M2)</f>
        <v>2364738280336.271</v>
      </c>
      <c r="D12">
        <f>D11+0.0001</f>
        <v>1E-4</v>
      </c>
      <c r="E12">
        <f t="shared" si="6"/>
        <v>6378.3473159834684</v>
      </c>
      <c r="G12">
        <f>G11+0.0001</f>
        <v>1E-4</v>
      </c>
      <c r="H12">
        <f t="shared" si="7"/>
        <v>2.2422467508680365E-13</v>
      </c>
      <c r="J12">
        <f>J11+0.0001</f>
        <v>1E-4</v>
      </c>
      <c r="K12">
        <f t="shared" si="8"/>
        <v>4.4247912112907291E-10</v>
      </c>
    </row>
    <row r="13" spans="1:16" x14ac:dyDescent="0.3">
      <c r="A13" t="s">
        <v>31</v>
      </c>
      <c r="B13">
        <f>SQRT(B3/B2)</f>
        <v>2.5036485816173665E-4</v>
      </c>
      <c r="D13">
        <f t="shared" ref="D13:D17" si="9">D12+0.0001</f>
        <v>2.0000000000000001E-4</v>
      </c>
      <c r="E13">
        <f t="shared" si="6"/>
        <v>5594.353665761394</v>
      </c>
      <c r="G13">
        <f t="shared" ref="G13:G17" si="10">G12+0.0001</f>
        <v>2.0000000000000001E-4</v>
      </c>
      <c r="H13">
        <f t="shared" si="7"/>
        <v>1.9691561464773228E-13</v>
      </c>
      <c r="J13">
        <f t="shared" ref="J13:J17" si="11">J12+0.0001</f>
        <v>2.0000000000000001E-4</v>
      </c>
      <c r="K13">
        <f t="shared" si="8"/>
        <v>1.1094406004375536E-10</v>
      </c>
    </row>
    <row r="14" spans="1:16" x14ac:dyDescent="0.3">
      <c r="A14" t="s">
        <v>16</v>
      </c>
      <c r="B14">
        <f>((M$15-M$6)+(M$9-M$15)*EXP(-M$5/B$4))/(EXP(-M$5/B$4)-EXP(M$5/B$4))</f>
        <v>-359.33086186007233</v>
      </c>
      <c r="D14">
        <f t="shared" si="9"/>
        <v>3.0000000000000003E-4</v>
      </c>
      <c r="E14">
        <f t="shared" si="6"/>
        <v>4852.7737456026671</v>
      </c>
      <c r="G14">
        <f t="shared" si="10"/>
        <v>3.0000000000000003E-4</v>
      </c>
      <c r="H14">
        <f t="shared" si="7"/>
        <v>2.0144116075280225E-13</v>
      </c>
      <c r="J14">
        <f t="shared" si="11"/>
        <v>3.0000000000000003E-4</v>
      </c>
      <c r="K14">
        <f t="shared" si="8"/>
        <v>-2.026550922705856E-10</v>
      </c>
    </row>
    <row r="15" spans="1:16" x14ac:dyDescent="0.3">
      <c r="A15" t="s">
        <v>17</v>
      </c>
      <c r="B15">
        <f>((M$6-M$15)+(M$15-M$9)*EXP(M$5/B$4))/(EXP(-(M$5/B$4))-EXP(M$5/B$4))</f>
        <v>2358.8308618600731</v>
      </c>
      <c r="D15">
        <f t="shared" si="9"/>
        <v>4.0000000000000002E-4</v>
      </c>
      <c r="E15">
        <f t="shared" si="6"/>
        <v>4033.7191199379627</v>
      </c>
      <c r="G15">
        <f t="shared" si="10"/>
        <v>4.0000000000000002E-4</v>
      </c>
      <c r="H15">
        <f t="shared" si="7"/>
        <v>2.3853294141389062E-13</v>
      </c>
      <c r="J15">
        <f t="shared" si="11"/>
        <v>4.0000000000000002E-4</v>
      </c>
      <c r="K15">
        <f t="shared" si="8"/>
        <v>-5.4901673088212489E-10</v>
      </c>
      <c r="L15" t="s">
        <v>22</v>
      </c>
      <c r="M15">
        <f>40*133.3</f>
        <v>5332</v>
      </c>
    </row>
    <row r="16" spans="1:16" x14ac:dyDescent="0.3">
      <c r="D16">
        <f t="shared" si="9"/>
        <v>5.0000000000000001E-4</v>
      </c>
      <c r="E16">
        <f t="shared" si="6"/>
        <v>3004.7763090498911</v>
      </c>
      <c r="G16">
        <f t="shared" si="10"/>
        <v>5.0000000000000001E-4</v>
      </c>
      <c r="H16">
        <f t="shared" si="7"/>
        <v>3.1418744525623777E-13</v>
      </c>
      <c r="J16">
        <f t="shared" si="11"/>
        <v>5.0000000000000001E-4</v>
      </c>
      <c r="K16">
        <f t="shared" si="8"/>
        <v>-9.8413583875301939E-10</v>
      </c>
    </row>
    <row r="17" spans="1:11" x14ac:dyDescent="0.3">
      <c r="D17">
        <f t="shared" si="9"/>
        <v>6.0000000000000006E-4</v>
      </c>
      <c r="E17">
        <f t="shared" si="6"/>
        <v>1599.5999999999981</v>
      </c>
      <c r="G17">
        <f t="shared" si="10"/>
        <v>6.0000000000000006E-4</v>
      </c>
      <c r="H17">
        <f t="shared" si="7"/>
        <v>4.4063545127328151E-13</v>
      </c>
      <c r="J17">
        <f t="shared" si="11"/>
        <v>6.0000000000000006E-4</v>
      </c>
      <c r="K17">
        <f t="shared" si="8"/>
        <v>-1.5783564849591924E-9</v>
      </c>
    </row>
    <row r="19" spans="1:11" x14ac:dyDescent="0.3">
      <c r="A19" t="s">
        <v>24</v>
      </c>
      <c r="D19" t="s">
        <v>0</v>
      </c>
      <c r="G19" t="s">
        <v>0</v>
      </c>
      <c r="J19" t="s">
        <v>0</v>
      </c>
    </row>
    <row r="20" spans="1:11" x14ac:dyDescent="0.3">
      <c r="A20" t="s">
        <v>13</v>
      </c>
      <c r="B20">
        <f>(8*M1)/(PI()*(M3^4))</f>
        <v>3.7725616140301099E+19</v>
      </c>
      <c r="D20">
        <v>0</v>
      </c>
      <c r="E20">
        <f t="shared" ref="E20:E26" si="12">B$23*EXP(D2/B$4)+B$24*EXP(-(D2/B$4))+M$15</f>
        <v>7998.0000000000009</v>
      </c>
      <c r="G20">
        <v>0</v>
      </c>
      <c r="H20">
        <f t="shared" ref="H20:H26" si="13">-(1/(B$2*B$4))*(B$23*EXP(G2/B$4)-B$24*EXP(-G2/B$4))</f>
        <v>3.5952786765301317E-13</v>
      </c>
      <c r="J20">
        <v>0</v>
      </c>
      <c r="K20">
        <f t="shared" ref="K20:K26" si="14">((E20-M$15)/B$3)</f>
        <v>1.1273974892565657E-9</v>
      </c>
    </row>
    <row r="21" spans="1:11" x14ac:dyDescent="0.3">
      <c r="A21" t="s">
        <v>14</v>
      </c>
      <c r="B21">
        <f>(4*M1*M4)/(PI()^2*M7^4*M3*M2)</f>
        <v>2364738280336.271</v>
      </c>
      <c r="D21">
        <f>D20+0.0001</f>
        <v>1E-4</v>
      </c>
      <c r="E21">
        <f t="shared" si="12"/>
        <v>6820.8075450250699</v>
      </c>
      <c r="G21">
        <f>G20+0.0001</f>
        <v>1E-4</v>
      </c>
      <c r="H21">
        <f t="shared" si="13"/>
        <v>2.7282823806419721E-13</v>
      </c>
      <c r="J21">
        <f>J20+0.0001</f>
        <v>1E-4</v>
      </c>
      <c r="K21">
        <f t="shared" si="14"/>
        <v>6.2958660474399656E-10</v>
      </c>
    </row>
    <row r="22" spans="1:11" x14ac:dyDescent="0.3">
      <c r="A22" t="s">
        <v>31</v>
      </c>
      <c r="B22">
        <f>SQRT(B3/B2)</f>
        <v>2.5036485816173665E-4</v>
      </c>
      <c r="D22">
        <f t="shared" ref="D22:D26" si="15">D21+0.0001</f>
        <v>2.0000000000000001E-4</v>
      </c>
      <c r="E22">
        <f t="shared" si="12"/>
        <v>5884.3050043599287</v>
      </c>
      <c r="G22">
        <f t="shared" ref="G22:G26" si="16">G21+0.0001</f>
        <v>2.0000000000000001E-4</v>
      </c>
      <c r="H22">
        <f t="shared" si="13"/>
        <v>2.3023572323335799E-13</v>
      </c>
      <c r="J22">
        <f t="shared" ref="J22:J26" si="17">J21+0.0001</f>
        <v>2.0000000000000001E-4</v>
      </c>
      <c r="K22">
        <f t="shared" si="14"/>
        <v>2.3355861786167295E-10</v>
      </c>
    </row>
    <row r="23" spans="1:11" x14ac:dyDescent="0.3">
      <c r="A23" t="s">
        <v>16</v>
      </c>
      <c r="B23">
        <f>((M$15-M$6)+(M$10-M$15)*EXP(-M$5/B$4))/(EXP(-M$5/B$4)-EXP(M$5/B$4))</f>
        <v>-364.90065133168008</v>
      </c>
      <c r="D23">
        <f t="shared" si="15"/>
        <v>3.0000000000000003E-4</v>
      </c>
      <c r="E23">
        <f t="shared" si="12"/>
        <v>5037.0915357554877</v>
      </c>
      <c r="G23">
        <f t="shared" si="16"/>
        <v>3.0000000000000003E-4</v>
      </c>
      <c r="H23">
        <f t="shared" si="13"/>
        <v>2.248645515380118E-13</v>
      </c>
      <c r="J23">
        <f t="shared" si="17"/>
        <v>3.0000000000000003E-4</v>
      </c>
      <c r="K23">
        <f t="shared" si="14"/>
        <v>-1.2471082601266794E-10</v>
      </c>
    </row>
    <row r="24" spans="1:11" x14ac:dyDescent="0.3">
      <c r="A24" t="s">
        <v>17</v>
      </c>
      <c r="B24">
        <f>((M$6-M$15)+(M$15-M$10)*EXP(M$5/B$4))/(EXP(-(M$5/B$4))-EXP(M$5/B$4))</f>
        <v>3030.9006513316808</v>
      </c>
      <c r="D24">
        <f t="shared" si="15"/>
        <v>4.0000000000000002E-4</v>
      </c>
      <c r="E24">
        <f t="shared" si="12"/>
        <v>4142.2013253012137</v>
      </c>
      <c r="G24">
        <f t="shared" si="16"/>
        <v>4.0000000000000002E-4</v>
      </c>
      <c r="H24">
        <f t="shared" si="13"/>
        <v>2.5584638585868621E-13</v>
      </c>
      <c r="J24">
        <f t="shared" si="17"/>
        <v>4.0000000000000002E-4</v>
      </c>
      <c r="K24">
        <f t="shared" si="14"/>
        <v>-5.0314179991605423E-10</v>
      </c>
    </row>
    <row r="25" spans="1:11" x14ac:dyDescent="0.3">
      <c r="D25">
        <f t="shared" si="15"/>
        <v>5.0000000000000001E-4</v>
      </c>
      <c r="E25">
        <f t="shared" si="12"/>
        <v>3054.9608396108438</v>
      </c>
      <c r="G25">
        <f t="shared" si="16"/>
        <v>5.0000000000000001E-4</v>
      </c>
      <c r="H25">
        <f t="shared" si="13"/>
        <v>3.2818994278384896E-13</v>
      </c>
      <c r="J25">
        <f t="shared" si="17"/>
        <v>5.0000000000000001E-4</v>
      </c>
      <c r="K25">
        <f t="shared" si="14"/>
        <v>-9.6291381558950213E-10</v>
      </c>
    </row>
    <row r="26" spans="1:11" x14ac:dyDescent="0.3">
      <c r="D26">
        <f t="shared" si="15"/>
        <v>6.0000000000000006E-4</v>
      </c>
      <c r="E26">
        <f t="shared" si="12"/>
        <v>1599.5999999999981</v>
      </c>
      <c r="G26">
        <f t="shared" si="16"/>
        <v>6.0000000000000006E-4</v>
      </c>
      <c r="H26">
        <f t="shared" si="13"/>
        <v>4.5359073297595441E-13</v>
      </c>
      <c r="J26">
        <f t="shared" si="17"/>
        <v>6.0000000000000006E-4</v>
      </c>
      <c r="K26">
        <f t="shared" si="14"/>
        <v>-1.5783564849591924E-9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10" zoomScale="90" zoomScaleNormal="90" workbookViewId="0">
      <selection activeCell="Q1" sqref="Q1"/>
    </sheetView>
  </sheetViews>
  <sheetFormatPr defaultRowHeight="14.4" x14ac:dyDescent="0.3"/>
  <cols>
    <col min="3" max="3" width="8.88671875" customWidth="1"/>
    <col min="9" max="9" width="8.77734375" customWidth="1"/>
    <col min="12" max="12" width="8.77734375" customWidth="1"/>
    <col min="13" max="13" width="8.6640625" customWidth="1"/>
  </cols>
  <sheetData>
    <row r="1" spans="1:17" x14ac:dyDescent="0.3">
      <c r="A1" t="s">
        <v>28</v>
      </c>
      <c r="D1" t="s">
        <v>0</v>
      </c>
      <c r="E1" t="s">
        <v>10</v>
      </c>
      <c r="G1" t="s">
        <v>0</v>
      </c>
      <c r="H1" t="s">
        <v>11</v>
      </c>
      <c r="J1" t="s">
        <v>0</v>
      </c>
      <c r="K1" t="s">
        <v>12</v>
      </c>
      <c r="M1" t="s">
        <v>1</v>
      </c>
      <c r="N1">
        <v>1.1999999999999999E-3</v>
      </c>
      <c r="P1" t="s">
        <v>33</v>
      </c>
      <c r="Q1">
        <f>SUM(K2:K8)/SUM(K2:K3)</f>
        <v>-0.70462508374758015</v>
      </c>
    </row>
    <row r="2" spans="1:17" x14ac:dyDescent="0.3">
      <c r="A2" t="s">
        <v>13</v>
      </c>
      <c r="B2">
        <f>(8*N1)/(PI()*(N3^4))</f>
        <v>3.7725616140301099E+19</v>
      </c>
      <c r="D2">
        <v>0</v>
      </c>
      <c r="E2">
        <f t="shared" ref="E2:E8" si="0">B$5*EXP(D2/B$4)+B$6*EXP(-(D2/B$4))+N$8</f>
        <v>6665.0000000000009</v>
      </c>
      <c r="G2">
        <v>0</v>
      </c>
      <c r="H2">
        <f t="shared" ref="H2:H8" si="1">-(1/(B$2*B$4))*(B$5*EXP(G2/B$4)-B$6*EXP(-G2/B$4))</f>
        <v>3.9279257295891397E-13</v>
      </c>
      <c r="J2">
        <v>0</v>
      </c>
      <c r="K2">
        <f t="shared" ref="K2:K8" si="2">((E2-N$8)/B$3)</f>
        <v>2.6723496041637113E-9</v>
      </c>
      <c r="M2" t="s">
        <v>2</v>
      </c>
      <c r="N2">
        <f>1.3*(10^12)</f>
        <v>1300000000000</v>
      </c>
      <c r="P2" t="s">
        <v>34</v>
      </c>
      <c r="Q2">
        <f>SUM(K11:K17)/SUM(K11:K12)</f>
        <v>-2.4239759437489399</v>
      </c>
    </row>
    <row r="3" spans="1:17" x14ac:dyDescent="0.3">
      <c r="A3" t="s">
        <v>14</v>
      </c>
      <c r="B3">
        <f>(4*N1*N4)/(PI()^2*N7^4*N3*N2)</f>
        <v>748217971512.64844</v>
      </c>
      <c r="D3">
        <f>D2+0.0001</f>
        <v>1E-4</v>
      </c>
      <c r="E3">
        <f t="shared" si="0"/>
        <v>5581.0829468184011</v>
      </c>
      <c r="G3">
        <f>G2+0.0001</f>
        <v>1E-4</v>
      </c>
      <c r="H3">
        <f t="shared" si="1"/>
        <v>2.0578321250047965E-13</v>
      </c>
      <c r="J3">
        <f>J2+0.0001</f>
        <v>1E-4</v>
      </c>
      <c r="K3">
        <f t="shared" si="2"/>
        <v>1.2236847839505861E-9</v>
      </c>
      <c r="M3" t="s">
        <v>3</v>
      </c>
      <c r="N3">
        <f>3/(10^6)</f>
        <v>3.0000000000000001E-6</v>
      </c>
      <c r="P3" t="s">
        <v>35</v>
      </c>
      <c r="Q3">
        <f>SUM(K20:K26)/SUM(K20:K21)</f>
        <v>-8.0043977717421306</v>
      </c>
    </row>
    <row r="4" spans="1:17" x14ac:dyDescent="0.3">
      <c r="A4" t="s">
        <v>31</v>
      </c>
      <c r="B4">
        <f>SQRT(B3/B2)</f>
        <v>1.4083023271597688E-4</v>
      </c>
      <c r="D4">
        <f t="shared" ref="D4:D8" si="3">D3+0.0001</f>
        <v>2.0000000000000001E-4</v>
      </c>
      <c r="E4">
        <f t="shared" si="0"/>
        <v>4978.5343952536286</v>
      </c>
      <c r="G4">
        <f t="shared" ref="G4:G8" si="4">G3+0.0001</f>
        <v>2.0000000000000001E-4</v>
      </c>
      <c r="H4">
        <f t="shared" si="1"/>
        <v>1.2696454847591015E-13</v>
      </c>
      <c r="J4">
        <f t="shared" ref="J4:J8" si="5">J3+0.0001</f>
        <v>2.0000000000000001E-4</v>
      </c>
      <c r="K4">
        <f t="shared" si="2"/>
        <v>4.1837326443894013E-10</v>
      </c>
      <c r="M4" t="s">
        <v>4</v>
      </c>
      <c r="N4">
        <f>0.6/(10^6)</f>
        <v>5.9999999999999997E-7</v>
      </c>
    </row>
    <row r="5" spans="1:17" x14ac:dyDescent="0.3">
      <c r="A5" t="s">
        <v>16</v>
      </c>
      <c r="B5">
        <f>((N8-N11)+(N12-N8)*EXP(-N5/B4))/(EXP(-N5/B4)-EXP(N5/B4))</f>
        <v>-43.685264206627785</v>
      </c>
      <c r="D5">
        <f t="shared" si="3"/>
        <v>3.0000000000000003E-4</v>
      </c>
      <c r="E5">
        <f t="shared" si="0"/>
        <v>4540.5639393397087</v>
      </c>
      <c r="G5">
        <f t="shared" si="4"/>
        <v>3.0000000000000003E-4</v>
      </c>
      <c r="H5">
        <f>-(1/(B$2*B$4))*(B$5*EXP(G5/B$4)-B$6*EXP(-G5/B$4))</f>
        <v>1.1489760221834694E-13</v>
      </c>
      <c r="J5">
        <f t="shared" si="5"/>
        <v>3.0000000000000003E-4</v>
      </c>
      <c r="K5">
        <f t="shared" si="2"/>
        <v>-1.6697816066581784E-10</v>
      </c>
      <c r="M5" t="s">
        <v>5</v>
      </c>
      <c r="N5">
        <f>600/(10^6)</f>
        <v>5.9999999999999995E-4</v>
      </c>
    </row>
    <row r="6" spans="1:17" x14ac:dyDescent="0.3">
      <c r="A6" t="s">
        <v>17</v>
      </c>
      <c r="B6">
        <f>((N11-N8)+(N8-N12)*EXP(N5/B4))/(EXP(-(N5/B4))-EXP(N5/B4))</f>
        <v>2043.1852642066287</v>
      </c>
      <c r="D6">
        <f t="shared" si="3"/>
        <v>4.0000000000000002E-4</v>
      </c>
      <c r="E6">
        <f t="shared" si="0"/>
        <v>4036.9082448278696</v>
      </c>
      <c r="G6">
        <f t="shared" si="4"/>
        <v>4.0000000000000002E-4</v>
      </c>
      <c r="H6">
        <f>-(1/(B$2*B$4))*(B$5*EXP(G6/B$4)-B$6*EXP(-G6/B$4))</f>
        <v>1.6323816661987186E-13</v>
      </c>
      <c r="J6">
        <f t="shared" si="5"/>
        <v>4.0000000000000002E-4</v>
      </c>
      <c r="K6">
        <f t="shared" si="2"/>
        <v>-8.4011849368082736E-10</v>
      </c>
      <c r="M6" t="s">
        <v>6</v>
      </c>
      <c r="N6">
        <f>12*133.3</f>
        <v>1599.6000000000001</v>
      </c>
    </row>
    <row r="7" spans="1:17" x14ac:dyDescent="0.3">
      <c r="D7">
        <f t="shared" si="3"/>
        <v>5.0000000000000001E-4</v>
      </c>
      <c r="E7">
        <f t="shared" si="0"/>
        <v>3202.7699082273339</v>
      </c>
      <c r="G7">
        <f t="shared" si="4"/>
        <v>5.0000000000000001E-4</v>
      </c>
      <c r="H7">
        <f t="shared" si="1"/>
        <v>2.9740133392759842E-13</v>
      </c>
      <c r="J7">
        <f t="shared" si="5"/>
        <v>5.0000000000000001E-4</v>
      </c>
      <c r="K7">
        <f t="shared" si="2"/>
        <v>-1.9549518288307234E-9</v>
      </c>
      <c r="M7" t="s">
        <v>18</v>
      </c>
      <c r="N7">
        <f>100/(10^9)</f>
        <v>9.9999999999999995E-8</v>
      </c>
    </row>
    <row r="8" spans="1:17" x14ac:dyDescent="0.3">
      <c r="D8">
        <f t="shared" si="3"/>
        <v>6.0000000000000006E-4</v>
      </c>
      <c r="E8">
        <f t="shared" si="0"/>
        <v>1599.5999999999976</v>
      </c>
      <c r="G8">
        <f t="shared" si="4"/>
        <v>6.0000000000000006E-4</v>
      </c>
      <c r="H8">
        <f t="shared" si="1"/>
        <v>5.8792350179234204E-13</v>
      </c>
      <c r="J8">
        <f t="shared" si="5"/>
        <v>6.0000000000000006E-4</v>
      </c>
      <c r="K8">
        <f t="shared" si="2"/>
        <v>-4.0976027263843579E-9</v>
      </c>
      <c r="M8" t="s">
        <v>25</v>
      </c>
      <c r="N8">
        <f>35*133.3</f>
        <v>4665.5</v>
      </c>
    </row>
    <row r="9" spans="1:17" x14ac:dyDescent="0.3">
      <c r="M9" t="s">
        <v>26</v>
      </c>
      <c r="N9">
        <f>40*133.3</f>
        <v>5332</v>
      </c>
    </row>
    <row r="10" spans="1:17" x14ac:dyDescent="0.3">
      <c r="A10" t="s">
        <v>29</v>
      </c>
      <c r="D10" t="s">
        <v>0</v>
      </c>
      <c r="G10" t="s">
        <v>0</v>
      </c>
      <c r="J10" t="s">
        <v>0</v>
      </c>
      <c r="M10" t="s">
        <v>27</v>
      </c>
      <c r="N10">
        <f>45*133.3</f>
        <v>5998.5000000000009</v>
      </c>
    </row>
    <row r="11" spans="1:17" x14ac:dyDescent="0.3">
      <c r="A11" t="s">
        <v>13</v>
      </c>
      <c r="B11">
        <f>(8*N1)/(PI()*(N3^4))</f>
        <v>3.7725616140301099E+19</v>
      </c>
      <c r="D11">
        <v>0</v>
      </c>
      <c r="E11">
        <f t="shared" ref="E11:E17" si="6">B$14*EXP(D2/B$4)+B$15*EXP(-(D2/B$4))+N$9</f>
        <v>6665.0000000000009</v>
      </c>
      <c r="G11">
        <v>0</v>
      </c>
      <c r="H11">
        <f t="shared" ref="H11:H17" si="7">-(1/(B$2*B$4))*(B$14*EXP(G2/B$4)-B$15*EXP(-G2/B$4))</f>
        <v>2.7083574243802158E-13</v>
      </c>
      <c r="J11">
        <v>0</v>
      </c>
      <c r="K11">
        <f t="shared" ref="K11:K17" si="8">((E11-N$9)/B$3)</f>
        <v>1.7815664027758078E-9</v>
      </c>
      <c r="M11" t="s">
        <v>6</v>
      </c>
      <c r="N11">
        <f>12*133.3</f>
        <v>1599.6000000000001</v>
      </c>
    </row>
    <row r="12" spans="1:17" x14ac:dyDescent="0.3">
      <c r="A12" t="s">
        <v>14</v>
      </c>
      <c r="B12">
        <f>(4*N1*N4)/(PI()^2*N7^4*N3*N2)</f>
        <v>748217971512.64844</v>
      </c>
      <c r="D12">
        <f>D11+0.0001</f>
        <v>1E-4</v>
      </c>
      <c r="E12">
        <f t="shared" si="6"/>
        <v>5905.6159812219867</v>
      </c>
      <c r="G12">
        <f>G11+0.0001</f>
        <v>1E-4</v>
      </c>
      <c r="H12">
        <f t="shared" si="7"/>
        <v>1.4852188660853052E-13</v>
      </c>
      <c r="J12">
        <f>J11+0.0001</f>
        <v>1E-4</v>
      </c>
      <c r="K12">
        <f t="shared" si="8"/>
        <v>7.6664288090050217E-10</v>
      </c>
      <c r="M12" t="s">
        <v>21</v>
      </c>
      <c r="N12">
        <f>50*133.3</f>
        <v>6665.0000000000009</v>
      </c>
    </row>
    <row r="13" spans="1:17" x14ac:dyDescent="0.3">
      <c r="A13" t="s">
        <v>31</v>
      </c>
      <c r="B13">
        <f>SQRT(B3/B2)</f>
        <v>1.4083023271597688E-4</v>
      </c>
      <c r="D13">
        <f t="shared" ref="D13:D17" si="9">D12+0.0001</f>
        <v>2.0000000000000001E-4</v>
      </c>
      <c r="E13">
        <f>B$14*EXP(D4/B$4)+B$15*EXP(-(D4/B$4))+N$9</f>
        <v>5447.8110453045656</v>
      </c>
      <c r="G13">
        <f t="shared" ref="G13:G17" si="10">G12+0.0001</f>
        <v>2.0000000000000001E-4</v>
      </c>
      <c r="H13">
        <f t="shared" si="7"/>
        <v>1.0429353713593412E-13</v>
      </c>
      <c r="J13">
        <f t="shared" ref="J13:J17" si="11">J12+0.0001</f>
        <v>2.0000000000000001E-4</v>
      </c>
      <c r="K13">
        <f t="shared" si="8"/>
        <v>1.5478249616276136E-10</v>
      </c>
    </row>
    <row r="14" spans="1:17" x14ac:dyDescent="0.3">
      <c r="A14" t="s">
        <v>16</v>
      </c>
      <c r="B14">
        <f>((N9-N11)+(N12-N9)*EXP(-N5/B4))/(EXP(-N5/B4)-EXP(N5/B4))</f>
        <v>-52.962596603055005</v>
      </c>
      <c r="D14">
        <f t="shared" si="9"/>
        <v>3.0000000000000003E-4</v>
      </c>
      <c r="E14">
        <f t="shared" si="6"/>
        <v>5050.8938635143459</v>
      </c>
      <c r="G14">
        <f t="shared" si="10"/>
        <v>3.0000000000000003E-4</v>
      </c>
      <c r="H14">
        <f t="shared" si="7"/>
        <v>1.1489760221834694E-13</v>
      </c>
      <c r="J14">
        <f t="shared" si="11"/>
        <v>3.0000000000000003E-4</v>
      </c>
      <c r="K14">
        <f>((E14-N$9)/B$3)</f>
        <v>-3.7570086149808831E-10</v>
      </c>
    </row>
    <row r="15" spans="1:17" x14ac:dyDescent="0.3">
      <c r="A15" s="1" t="s">
        <v>17</v>
      </c>
      <c r="B15">
        <f>((N11-N9)+(N9-N12)*EXP(N5/B4))/(EXP(-(N5/B4))-EXP(N5/B4))</f>
        <v>1385.962596603056</v>
      </c>
      <c r="D15">
        <f t="shared" si="9"/>
        <v>4.0000000000000002E-4</v>
      </c>
      <c r="E15">
        <f>B$14*EXP(D6/B$4)+B$15*EXP(-(D6/B$4))+N$9</f>
        <v>4506.1848948788065</v>
      </c>
      <c r="G15">
        <f t="shared" si="10"/>
        <v>4.0000000000000002E-4</v>
      </c>
      <c r="H15">
        <f t="shared" si="7"/>
        <v>1.8590917795984789E-13</v>
      </c>
      <c r="J15">
        <f t="shared" si="11"/>
        <v>4.0000000000000002E-4</v>
      </c>
      <c r="K15">
        <f t="shared" si="8"/>
        <v>-1.1037092619570063E-9</v>
      </c>
    </row>
    <row r="16" spans="1:17" x14ac:dyDescent="0.3">
      <c r="A16" s="1"/>
      <c r="D16">
        <f t="shared" si="9"/>
        <v>5.0000000000000001E-4</v>
      </c>
      <c r="E16">
        <f t="shared" si="6"/>
        <v>3527.3029426309186</v>
      </c>
      <c r="G16">
        <f t="shared" si="10"/>
        <v>5.0000000000000001E-4</v>
      </c>
      <c r="H16">
        <f t="shared" si="7"/>
        <v>3.5466265981954753E-13</v>
      </c>
      <c r="J16">
        <f t="shared" si="11"/>
        <v>5.0000000000000001E-4</v>
      </c>
      <c r="K16">
        <f t="shared" si="8"/>
        <v>-2.4119937318808085E-9</v>
      </c>
    </row>
    <row r="17" spans="1:11" x14ac:dyDescent="0.3">
      <c r="A17" s="1"/>
      <c r="D17">
        <f t="shared" si="9"/>
        <v>6.0000000000000006E-4</v>
      </c>
      <c r="E17">
        <f t="shared" si="6"/>
        <v>1599.5999999999972</v>
      </c>
      <c r="G17">
        <f t="shared" si="10"/>
        <v>6.0000000000000006E-4</v>
      </c>
      <c r="H17">
        <f t="shared" si="7"/>
        <v>7.0988033231323444E-13</v>
      </c>
      <c r="J17">
        <f t="shared" si="11"/>
        <v>6.0000000000000006E-4</v>
      </c>
      <c r="K17">
        <f t="shared" si="8"/>
        <v>-4.9883859277722618E-9</v>
      </c>
    </row>
    <row r="18" spans="1:11" x14ac:dyDescent="0.3">
      <c r="A18" s="1"/>
    </row>
    <row r="19" spans="1:11" x14ac:dyDescent="0.3">
      <c r="A19" t="s">
        <v>30</v>
      </c>
      <c r="D19" t="s">
        <v>0</v>
      </c>
      <c r="G19" t="s">
        <v>0</v>
      </c>
      <c r="J19" t="s">
        <v>0</v>
      </c>
    </row>
    <row r="20" spans="1:11" x14ac:dyDescent="0.3">
      <c r="A20" t="s">
        <v>13</v>
      </c>
      <c r="B20">
        <f>(8*N1)/(PI()*(N3^4))</f>
        <v>3.7725616140301099E+19</v>
      </c>
      <c r="D20">
        <v>0</v>
      </c>
      <c r="E20">
        <f t="shared" ref="E20:E26" si="12">B$23*EXP(D2/B$4)+B$24*EXP(-(D2/B$4))+N$10</f>
        <v>6665.0000000000009</v>
      </c>
      <c r="G20">
        <v>0</v>
      </c>
      <c r="H20">
        <f t="shared" ref="H20:H26" si="13">-(1/(B$2*B$4))*(B$23*EXP(G2/B$4)-B$24*EXP(-G2/B$4))</f>
        <v>1.48878911917129E-13</v>
      </c>
      <c r="J20">
        <v>0</v>
      </c>
      <c r="K20">
        <f t="shared" ref="K20:K26" si="14">((E20-N$10)/B$3)</f>
        <v>8.9078320138790328E-10</v>
      </c>
    </row>
    <row r="21" spans="1:11" x14ac:dyDescent="0.3">
      <c r="A21" t="s">
        <v>14</v>
      </c>
      <c r="B21">
        <f>(4*N1*N4)/(PI()^2*N7^4*N3*N2)</f>
        <v>748217971512.64844</v>
      </c>
      <c r="D21">
        <f>D20+0.0001</f>
        <v>1E-4</v>
      </c>
      <c r="E21">
        <f t="shared" si="12"/>
        <v>6230.1490156255713</v>
      </c>
      <c r="G21">
        <f>G20+0.0001</f>
        <v>1E-4</v>
      </c>
      <c r="H21">
        <f t="shared" si="13"/>
        <v>9.1260560716581298E-14</v>
      </c>
      <c r="J21">
        <f>J20+0.0001</f>
        <v>1E-4</v>
      </c>
      <c r="K21">
        <f t="shared" si="14"/>
        <v>3.0960097785041569E-10</v>
      </c>
    </row>
    <row r="22" spans="1:11" x14ac:dyDescent="0.3">
      <c r="A22" t="s">
        <v>15</v>
      </c>
      <c r="B22">
        <f>SQRT(B3/B2)</f>
        <v>1.4083023271597688E-4</v>
      </c>
      <c r="D22">
        <f t="shared" ref="D22:D26" si="15">D21+0.0001</f>
        <v>2.0000000000000001E-4</v>
      </c>
      <c r="E22">
        <f t="shared" si="12"/>
        <v>5917.0876953555025</v>
      </c>
      <c r="G22">
        <f t="shared" ref="G22:G26" si="16">G21+0.0001</f>
        <v>2.0000000000000001E-4</v>
      </c>
      <c r="H22">
        <f t="shared" si="13"/>
        <v>8.1622525795958094E-14</v>
      </c>
      <c r="J22">
        <f t="shared" ref="J22:J26" si="17">J21+0.0001</f>
        <v>2.0000000000000001E-4</v>
      </c>
      <c r="K22">
        <f t="shared" si="14"/>
        <v>-1.0880827211341863E-10</v>
      </c>
    </row>
    <row r="23" spans="1:11" x14ac:dyDescent="0.3">
      <c r="A23" t="s">
        <v>16</v>
      </c>
      <c r="B23">
        <f>((N10-N11)+(N12-N10)*EXP(-N5/B4))/(EXP(-N5/B4)-EXP(N5/B4))</f>
        <v>-62.239928999482252</v>
      </c>
      <c r="D23">
        <f t="shared" si="15"/>
        <v>3.0000000000000003E-4</v>
      </c>
      <c r="E23">
        <f t="shared" si="12"/>
        <v>5561.2237876889831</v>
      </c>
      <c r="G23">
        <f t="shared" si="16"/>
        <v>3.0000000000000003E-4</v>
      </c>
      <c r="H23">
        <f t="shared" si="13"/>
        <v>1.1489760221834696E-13</v>
      </c>
      <c r="J23">
        <f t="shared" si="17"/>
        <v>3.0000000000000003E-4</v>
      </c>
      <c r="K23">
        <f t="shared" si="14"/>
        <v>-5.8442356233036008E-10</v>
      </c>
    </row>
    <row r="24" spans="1:11" x14ac:dyDescent="0.3">
      <c r="A24" t="s">
        <v>17</v>
      </c>
      <c r="B24">
        <f>((N11-N10)+(N10-N12)*EXP(N5/B4))/(EXP(-(N5/B4))-EXP(N5/B4))</f>
        <v>728.73992899948234</v>
      </c>
      <c r="D24">
        <f t="shared" si="15"/>
        <v>4.0000000000000002E-4</v>
      </c>
      <c r="E24">
        <f t="shared" si="12"/>
        <v>4975.4615449297435</v>
      </c>
      <c r="G24">
        <f t="shared" si="16"/>
        <v>4.0000000000000002E-4</v>
      </c>
      <c r="H24">
        <f t="shared" si="13"/>
        <v>2.0858018929982401E-13</v>
      </c>
      <c r="J24">
        <f t="shared" si="17"/>
        <v>4.0000000000000002E-4</v>
      </c>
      <c r="K24">
        <f t="shared" si="14"/>
        <v>-1.3673000302331861E-9</v>
      </c>
    </row>
    <row r="25" spans="1:11" x14ac:dyDescent="0.3">
      <c r="D25">
        <f t="shared" si="15"/>
        <v>5.0000000000000001E-4</v>
      </c>
      <c r="E25">
        <f t="shared" si="12"/>
        <v>3851.8359770345037</v>
      </c>
      <c r="G25">
        <f t="shared" si="16"/>
        <v>5.0000000000000001E-4</v>
      </c>
      <c r="H25">
        <f t="shared" si="13"/>
        <v>4.1192398571149688E-13</v>
      </c>
      <c r="J25">
        <f t="shared" si="17"/>
        <v>5.0000000000000001E-4</v>
      </c>
      <c r="K25">
        <f t="shared" si="14"/>
        <v>-2.8690356349308944E-9</v>
      </c>
    </row>
    <row r="26" spans="1:11" x14ac:dyDescent="0.3">
      <c r="D26">
        <f t="shared" si="15"/>
        <v>6.0000000000000006E-4</v>
      </c>
      <c r="E26">
        <f t="shared" si="12"/>
        <v>1599.5999999999958</v>
      </c>
      <c r="G26">
        <f t="shared" si="16"/>
        <v>6.0000000000000006E-4</v>
      </c>
      <c r="H26">
        <f t="shared" si="13"/>
        <v>8.3183716283412735E-13</v>
      </c>
      <c r="J26">
        <f t="shared" si="17"/>
        <v>6.0000000000000006E-4</v>
      </c>
      <c r="K26">
        <f t="shared" si="14"/>
        <v>-5.8791691291601682E-9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2022-12-14T21:21:40Z</dcterms:modified>
</cp:coreProperties>
</file>