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GitHub\Data_phD\Data\Modeling\"/>
    </mc:Choice>
  </mc:AlternateContent>
  <bookViews>
    <workbookView xWindow="-105" yWindow="-105" windowWidth="23250" windowHeight="12720" activeTab="4"/>
  </bookViews>
  <sheets>
    <sheet name="RHP" sheetId="1" r:id="rId1"/>
    <sheet name="Geothermal gradient" sheetId="2" r:id="rId2"/>
    <sheet name="Heat flux" sheetId="3" r:id="rId3"/>
    <sheet name="Conductivity" sheetId="4" r:id="rId4"/>
    <sheet name="Sheet1" sheetId="5" r:id="rId5"/>
  </sheets>
  <definedNames>
    <definedName name="_xlnm._FilterDatabase" localSheetId="1" hidden="1">'Geothermal gradient'!$B$1:$I$64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6" i="4" l="1"/>
  <c r="F57" i="4"/>
  <c r="E58" i="4"/>
  <c r="E57" i="4"/>
  <c r="E59" i="4"/>
  <c r="E56" i="4"/>
  <c r="D13" i="5"/>
  <c r="C13" i="5"/>
  <c r="E18" i="5"/>
  <c r="G12" i="1"/>
  <c r="E12" i="1"/>
  <c r="C12" i="1"/>
  <c r="F9" i="1"/>
  <c r="C14" i="5" l="1"/>
  <c r="C18" i="5" s="1"/>
  <c r="C15" i="5"/>
  <c r="C16" i="5"/>
  <c r="C17" i="5"/>
  <c r="K20" i="4"/>
  <c r="C7" i="5"/>
  <c r="C8" i="5" s="1"/>
  <c r="C9" i="5" s="1"/>
  <c r="C10" i="5" s="1"/>
  <c r="D7" i="5" l="1"/>
  <c r="D14" i="5" s="1"/>
  <c r="D9" i="5"/>
  <c r="D16" i="5" s="1"/>
  <c r="D10" i="5"/>
  <c r="D17" i="5" s="1"/>
  <c r="D6" i="5"/>
  <c r="D8" i="5"/>
  <c r="D15" i="5" s="1"/>
  <c r="L33" i="2"/>
  <c r="D18" i="5" l="1"/>
  <c r="G58" i="4"/>
  <c r="G60" i="4"/>
  <c r="F43" i="4"/>
  <c r="F60" i="4"/>
  <c r="G57" i="4"/>
  <c r="F58" i="4"/>
  <c r="F59" i="4"/>
  <c r="G59" i="4" s="1"/>
  <c r="F56" i="4"/>
  <c r="M20" i="4" l="1"/>
  <c r="O63" i="4"/>
  <c r="N63" i="4"/>
  <c r="C50" i="4" l="1"/>
  <c r="F61" i="4" l="1"/>
  <c r="M21" i="4"/>
  <c r="M22" i="4"/>
  <c r="M23" i="4"/>
  <c r="M24" i="4"/>
  <c r="M25" i="4"/>
  <c r="K21" i="4"/>
  <c r="K22" i="4"/>
  <c r="K23" i="4"/>
  <c r="K24" i="4"/>
  <c r="K25" i="4"/>
  <c r="F62" i="4" l="1"/>
  <c r="C60" i="4" l="1"/>
  <c r="D57" i="4" s="1"/>
  <c r="D56" i="4" l="1"/>
  <c r="D59" i="4"/>
  <c r="D60" i="4"/>
  <c r="D58" i="4"/>
  <c r="F51" i="4"/>
  <c r="C49" i="4"/>
  <c r="F49" i="4" s="1"/>
  <c r="C48" i="4"/>
  <c r="F48" i="4" s="1"/>
  <c r="C47" i="4"/>
  <c r="C46" i="4"/>
  <c r="F46" i="4" s="1"/>
  <c r="C45" i="4"/>
  <c r="C44" i="4"/>
  <c r="M5" i="4"/>
  <c r="M7" i="4"/>
  <c r="M9" i="4"/>
  <c r="M10" i="4"/>
  <c r="M4" i="4"/>
  <c r="D43" i="4" l="1"/>
  <c r="F63" i="4"/>
  <c r="D45" i="4"/>
  <c r="D47" i="4"/>
  <c r="F45" i="4"/>
  <c r="D44" i="4"/>
  <c r="D48" i="4"/>
  <c r="D49" i="4"/>
  <c r="F47" i="4"/>
  <c r="D46" i="4"/>
  <c r="F44" i="4"/>
  <c r="F50" i="4"/>
  <c r="F52" i="4" s="1"/>
  <c r="K59" i="2"/>
  <c r="K58" i="2"/>
  <c r="K57" i="2"/>
  <c r="E33" i="1" l="1"/>
  <c r="E25" i="1"/>
  <c r="E18" i="1"/>
  <c r="C33" i="1"/>
  <c r="C25" i="1"/>
  <c r="C18" i="1"/>
  <c r="F6" i="1"/>
  <c r="C29" i="1"/>
  <c r="F14" i="1"/>
  <c r="F22" i="1"/>
  <c r="AA4" i="1" l="1"/>
  <c r="AB4" i="1" s="1"/>
  <c r="AC4" i="1" s="1"/>
  <c r="AD4" i="1" s="1"/>
  <c r="AG8" i="1"/>
  <c r="Z9" i="1"/>
  <c r="AA9" i="1"/>
  <c r="AB9" i="1"/>
  <c r="AE10" i="1"/>
  <c r="C27" i="4"/>
  <c r="C21" i="4"/>
  <c r="C22" i="4" s="1"/>
  <c r="C23" i="4" s="1"/>
  <c r="C24" i="4" s="1"/>
  <c r="K12" i="1" l="1"/>
  <c r="K33" i="1"/>
  <c r="K25" i="1"/>
  <c r="J7" i="1" l="1"/>
  <c r="J6" i="1"/>
  <c r="C10" i="1" l="1"/>
  <c r="C7" i="1"/>
  <c r="C3" i="1"/>
  <c r="C2" i="1"/>
  <c r="C4" i="1" s="1"/>
  <c r="O10" i="1"/>
  <c r="U8" i="1"/>
  <c r="T3" i="1"/>
  <c r="T4" i="1" s="1"/>
  <c r="T5" i="1" s="1"/>
  <c r="S5" i="1"/>
  <c r="S6" i="1" s="1"/>
  <c r="C22" i="1" s="1"/>
  <c r="S4" i="1"/>
  <c r="C17" i="1" s="1"/>
  <c r="S7" i="1" l="1"/>
  <c r="F15" i="1"/>
  <c r="F13" i="1"/>
  <c r="F10" i="1"/>
  <c r="C20" i="1"/>
  <c r="C23" i="1"/>
  <c r="F7" i="1" l="1"/>
  <c r="G18" i="1"/>
  <c r="F21" i="1"/>
  <c r="F20" i="1"/>
  <c r="F19" i="1"/>
  <c r="G25" i="1" l="1"/>
  <c r="G34" i="1" l="1"/>
</calcChain>
</file>

<file path=xl/sharedStrings.xml><?xml version="1.0" encoding="utf-8"?>
<sst xmlns="http://schemas.openxmlformats.org/spreadsheetml/2006/main" count="960" uniqueCount="534">
  <si>
    <t>Coal Measures</t>
  </si>
  <si>
    <t>Passage Formation</t>
  </si>
  <si>
    <t>Limestone Coal</t>
  </si>
  <si>
    <t>Lower Limestone Fm</t>
  </si>
  <si>
    <t>Upper Limestone FM</t>
  </si>
  <si>
    <t>FORMATION</t>
  </si>
  <si>
    <t>LITHOLOGY</t>
  </si>
  <si>
    <t>PERCENTAGE</t>
  </si>
  <si>
    <t>HPE</t>
  </si>
  <si>
    <t>?</t>
  </si>
  <si>
    <t>K</t>
  </si>
  <si>
    <t>Th</t>
  </si>
  <si>
    <t>U</t>
  </si>
  <si>
    <t>-</t>
  </si>
  <si>
    <t>mg/L</t>
  </si>
  <si>
    <t>µg/L</t>
  </si>
  <si>
    <t>Concentration</t>
  </si>
  <si>
    <t>A</t>
  </si>
  <si>
    <t>RHP µW/m3</t>
  </si>
  <si>
    <t>m</t>
  </si>
  <si>
    <t>km</t>
  </si>
  <si>
    <t xml:space="preserve">Thickness (m): </t>
  </si>
  <si>
    <t>STEWART 1</t>
  </si>
  <si>
    <t>COUSLAND 1</t>
  </si>
  <si>
    <t>PASSAGE FM</t>
  </si>
  <si>
    <t>UPPER LIMESTONE FM</t>
  </si>
  <si>
    <t>LIMESTONE COAL</t>
  </si>
  <si>
    <t>LOWER LIMESTONE FM</t>
  </si>
  <si>
    <t>WEST LOTHIAN OIL SHALE</t>
  </si>
  <si>
    <t>GULLANE</t>
  </si>
  <si>
    <t>CLYDE PLATEAU VOLCANIC FM</t>
  </si>
  <si>
    <t>CARRINGTON 1</t>
  </si>
  <si>
    <t>SPLILMERSFORD</t>
  </si>
  <si>
    <t>LOWER COAL MEASURES GROUP</t>
  </si>
  <si>
    <t>MONKTONHOUSE BORE 37</t>
  </si>
  <si>
    <t xml:space="preserve">MIDLOTHIAN 1 </t>
  </si>
  <si>
    <t>Length (m)</t>
  </si>
  <si>
    <t>in Lonhead (238 m)</t>
  </si>
  <si>
    <t>in Lonhead (320 m)</t>
  </si>
  <si>
    <t>Carboniferous strata below</t>
  </si>
  <si>
    <t>W</t>
  </si>
  <si>
    <t>1 feet =</t>
  </si>
  <si>
    <t>1 mile =</t>
  </si>
  <si>
    <t>Volume (m3)</t>
  </si>
  <si>
    <t>* Vila et al. (2010); ** OSIMOBI et al., 2018</t>
  </si>
  <si>
    <t>Sandstone*</t>
  </si>
  <si>
    <t>Siltstone / Mudstone*</t>
  </si>
  <si>
    <t>Coal**</t>
  </si>
  <si>
    <t>Ironstone**</t>
  </si>
  <si>
    <t>Granite*</t>
  </si>
  <si>
    <t>Basalt*</t>
  </si>
  <si>
    <t>Limestone**</t>
  </si>
  <si>
    <t>Width (m)</t>
  </si>
  <si>
    <t>Area (m2)</t>
  </si>
  <si>
    <t>H (W/kg)</t>
  </si>
  <si>
    <t>Density (kg/m3)</t>
  </si>
  <si>
    <t>TOTAL HEAT PRODUCTION:</t>
  </si>
  <si>
    <t>µW/m3</t>
  </si>
  <si>
    <t>GW in aquifers extensively mined for coal</t>
  </si>
  <si>
    <t>Fe</t>
  </si>
  <si>
    <t>Al</t>
  </si>
  <si>
    <t>HPE values are from Ruedas (2017)</t>
  </si>
  <si>
    <t>So4</t>
  </si>
  <si>
    <t>SO4</t>
  </si>
  <si>
    <t xml:space="preserve"> </t>
  </si>
  <si>
    <t>LCS</t>
  </si>
  <si>
    <t>LLCS</t>
  </si>
  <si>
    <t>307+</t>
  </si>
  <si>
    <t>545+</t>
  </si>
  <si>
    <t>87+</t>
  </si>
  <si>
    <t>593+</t>
  </si>
  <si>
    <t>449+</t>
  </si>
  <si>
    <t>STRAITON1</t>
  </si>
  <si>
    <t>638+</t>
  </si>
  <si>
    <t>Thickness of the formation from boreholes in the Midlothian Coalfield</t>
  </si>
  <si>
    <t>COUSLAND 6</t>
  </si>
  <si>
    <t>BOREHOLE</t>
  </si>
  <si>
    <t>DEPTH (ft)</t>
  </si>
  <si>
    <t>SAMPLE No</t>
  </si>
  <si>
    <t>Stratigraphy</t>
  </si>
  <si>
    <t>Quartz</t>
  </si>
  <si>
    <t>Plagioclases</t>
  </si>
  <si>
    <t>K-feldspath</t>
  </si>
  <si>
    <t>Mica</t>
  </si>
  <si>
    <t>Kaolinite</t>
  </si>
  <si>
    <t>Chlorite</t>
  </si>
  <si>
    <t>Calcite</t>
  </si>
  <si>
    <t>Ankerite / Fe dolomite</t>
  </si>
  <si>
    <t>Siderite</t>
  </si>
  <si>
    <t>Pyrite</t>
  </si>
  <si>
    <t>Kelty Bridge</t>
  </si>
  <si>
    <t>SSK40294</t>
  </si>
  <si>
    <t>LLGS</t>
  </si>
  <si>
    <t>&lt;0.5</t>
  </si>
  <si>
    <t>Airth-6</t>
  </si>
  <si>
    <t>SSK40263</t>
  </si>
  <si>
    <t>LSC</t>
  </si>
  <si>
    <t>SSK40301</t>
  </si>
  <si>
    <t>SSK40262</t>
  </si>
  <si>
    <t>Milton of Balgonie 3</t>
  </si>
  <si>
    <t>SSK40268</t>
  </si>
  <si>
    <t>SSK40269</t>
  </si>
  <si>
    <t>Cousland 6</t>
  </si>
  <si>
    <t>SSK40266</t>
  </si>
  <si>
    <t>WLO</t>
  </si>
  <si>
    <t>SSK40267</t>
  </si>
  <si>
    <t>Pumpherston 1</t>
  </si>
  <si>
    <t>SSK40272</t>
  </si>
  <si>
    <t>GUL</t>
  </si>
  <si>
    <t>SSK40302</t>
  </si>
  <si>
    <t>SSK40273</t>
  </si>
  <si>
    <t>SSK40274</t>
  </si>
  <si>
    <t>SSK40303</t>
  </si>
  <si>
    <t>Borehole name</t>
  </si>
  <si>
    <t>Region</t>
  </si>
  <si>
    <t>Grid reference</t>
  </si>
  <si>
    <t>Source</t>
  </si>
  <si>
    <t>Depth</t>
  </si>
  <si>
    <t>Temp</t>
  </si>
  <si>
    <t>Type</t>
  </si>
  <si>
    <t>EQM Equilibrium temperatures</t>
  </si>
  <si>
    <t>Altnabreac</t>
  </si>
  <si>
    <t>Caithness</t>
  </si>
  <si>
    <t>NC 9990 4528</t>
  </si>
  <si>
    <t>BGS</t>
  </si>
  <si>
    <t>10.3</t>
  </si>
  <si>
    <t>7.4</t>
  </si>
  <si>
    <t>LOG</t>
  </si>
  <si>
    <t>BHT Bottom hole temperatures</t>
  </si>
  <si>
    <t>NC 9939 4291</t>
  </si>
  <si>
    <t>8.8</t>
  </si>
  <si>
    <t>3.7</t>
  </si>
  <si>
    <t>LOG Wireline log temperatures</t>
  </si>
  <si>
    <t>ND 0232 4167</t>
  </si>
  <si>
    <t>10.1</t>
  </si>
  <si>
    <t>7.1</t>
  </si>
  <si>
    <t>MWT Mine water temperatures</t>
  </si>
  <si>
    <t>Lothbeg No.1</t>
  </si>
  <si>
    <t>NC 946 095</t>
  </si>
  <si>
    <t>PCO</t>
  </si>
  <si>
    <t>40.6</t>
  </si>
  <si>
    <t>42.9</t>
  </si>
  <si>
    <t>BHT</t>
  </si>
  <si>
    <t>DST Drill stem test derived temperatures</t>
  </si>
  <si>
    <t>Bennachie</t>
  </si>
  <si>
    <t>East Grampians</t>
  </si>
  <si>
    <t>NJ 6690 2110</t>
  </si>
  <si>
    <t>14.0</t>
  </si>
  <si>
    <t>20.1</t>
  </si>
  <si>
    <t>Mt Battock</t>
  </si>
  <si>
    <t>NO 543 905</t>
  </si>
  <si>
    <t>22.1</t>
  </si>
  <si>
    <t>Ballater</t>
  </si>
  <si>
    <t>NO 4000 9850</t>
  </si>
  <si>
    <t>19.6</t>
  </si>
  <si>
    <t>Rashiehill</t>
  </si>
  <si>
    <t>West Midland Valley</t>
  </si>
  <si>
    <t>NS 8386 7301</t>
  </si>
  <si>
    <t>34.4</t>
  </si>
  <si>
    <t>26.2</t>
  </si>
  <si>
    <t>Clachie Bridge</t>
  </si>
  <si>
    <t>NS 6447 8368</t>
  </si>
  <si>
    <t>13.2</t>
  </si>
  <si>
    <t>16.0</t>
  </si>
  <si>
    <t>Salsburgh</t>
  </si>
  <si>
    <t>NS 8166 6486</t>
  </si>
  <si>
    <t>GAS</t>
  </si>
  <si>
    <t>30.0</t>
  </si>
  <si>
    <t>24.1</t>
  </si>
  <si>
    <t>Hallside</t>
  </si>
  <si>
    <t>NS 6694 5975</t>
  </si>
  <si>
    <t>11.8</t>
  </si>
  <si>
    <t>6.0</t>
  </si>
  <si>
    <t>Grangemouth</t>
  </si>
  <si>
    <t>NS 9513 8387</t>
  </si>
  <si>
    <t>NCB</t>
  </si>
  <si>
    <t>45.0</t>
  </si>
  <si>
    <t>30.9</t>
  </si>
  <si>
    <t>South Balgray</t>
  </si>
  <si>
    <t>NS 50 75</t>
  </si>
  <si>
    <t>BEN</t>
  </si>
  <si>
    <t>15.3</t>
  </si>
  <si>
    <t>EQM</t>
  </si>
  <si>
    <t>Blythswood</t>
  </si>
  <si>
    <t>NS 5003 6823</t>
  </si>
  <si>
    <t>12.0</t>
  </si>
  <si>
    <t>37.1</t>
  </si>
  <si>
    <t>Douglas Colliery</t>
  </si>
  <si>
    <t>NS 830 300</t>
  </si>
  <si>
    <t>12.2</t>
  </si>
  <si>
    <t>14.2</t>
  </si>
  <si>
    <t>MWT</t>
  </si>
  <si>
    <t>Solsgirth Colliery</t>
  </si>
  <si>
    <t>NS 9777 9329</t>
  </si>
  <si>
    <t>21.5</t>
  </si>
  <si>
    <t>31.0</t>
  </si>
  <si>
    <t>Bogside Colliery</t>
  </si>
  <si>
    <t>NS 9564 8778</t>
  </si>
  <si>
    <t>17.0</t>
  </si>
  <si>
    <t>22.2</t>
  </si>
  <si>
    <t>Highhouse Colliery</t>
  </si>
  <si>
    <t>NS 5321 7202</t>
  </si>
  <si>
    <t>18.0</t>
  </si>
  <si>
    <t>19.5</t>
  </si>
  <si>
    <t>Barony Colliery</t>
  </si>
  <si>
    <t>NS 5105 1971</t>
  </si>
  <si>
    <t>19.0</t>
  </si>
  <si>
    <t>Killoch Colliery</t>
  </si>
  <si>
    <t>NS 4883 2130</t>
  </si>
  <si>
    <t>11.9</t>
  </si>
  <si>
    <t>Polkemmet Colliery</t>
  </si>
  <si>
    <t>NS 9190 6278</t>
  </si>
  <si>
    <t>15.5</t>
  </si>
  <si>
    <t>Eggerton</t>
  </si>
  <si>
    <t>NS 8504 3171</t>
  </si>
  <si>
    <t>Tillicoultry</t>
  </si>
  <si>
    <t>NS 9276 9653</t>
  </si>
  <si>
    <t>15.9</t>
  </si>
  <si>
    <t>Tullibody</t>
  </si>
  <si>
    <t>NS 8601 9594</t>
  </si>
  <si>
    <t>18.8</t>
  </si>
  <si>
    <t>Cartlove</t>
  </si>
  <si>
    <t>NS 9403 9267</t>
  </si>
  <si>
    <t>16.6</t>
  </si>
  <si>
    <t>16.3</t>
  </si>
  <si>
    <t>Gartenkeir</t>
  </si>
  <si>
    <t>NS 9267 9486</t>
  </si>
  <si>
    <t>15.0</t>
  </si>
  <si>
    <t>Shannock Hill</t>
  </si>
  <si>
    <t>NS 9338 9512</t>
  </si>
  <si>
    <t>19.9</t>
  </si>
  <si>
    <t>Pipersink</t>
  </si>
  <si>
    <t>NS 9307 8911</t>
  </si>
  <si>
    <t>20.2</t>
  </si>
  <si>
    <t>25.5</t>
  </si>
  <si>
    <t>Glenochill</t>
  </si>
  <si>
    <t>NS 8769 9617</t>
  </si>
  <si>
    <t>32.0</t>
  </si>
  <si>
    <t>Queenslie</t>
  </si>
  <si>
    <t>NS 6466 6598</t>
  </si>
  <si>
    <t>36.0</t>
  </si>
  <si>
    <t>38.4</t>
  </si>
  <si>
    <t>Slatehole</t>
  </si>
  <si>
    <t>NS 4906 2342</t>
  </si>
  <si>
    <t>40.0</t>
  </si>
  <si>
    <t>29.8</t>
  </si>
  <si>
    <t>Gallowknowe</t>
  </si>
  <si>
    <t>NS 8388 3118</t>
  </si>
  <si>
    <t>37.5</t>
  </si>
  <si>
    <t>22.8</t>
  </si>
  <si>
    <t>Stoneyknowes</t>
  </si>
  <si>
    <t>NS 8817 3570</t>
  </si>
  <si>
    <t>13.5</t>
  </si>
  <si>
    <t>18.1</t>
  </si>
  <si>
    <t>Craighead</t>
  </si>
  <si>
    <t>NS 8267 6212</t>
  </si>
  <si>
    <t>TAW</t>
  </si>
  <si>
    <t>35.0</t>
  </si>
  <si>
    <t>27.2</t>
  </si>
  <si>
    <t>Maryhill</t>
  </si>
  <si>
    <t>NS 5718 6856</t>
  </si>
  <si>
    <t>IC6</t>
  </si>
  <si>
    <t>20.0</t>
  </si>
  <si>
    <t>34.0</t>
  </si>
  <si>
    <t>Comrie</t>
  </si>
  <si>
    <t>NS 9787 9501</t>
  </si>
  <si>
    <t>VST</t>
  </si>
  <si>
    <t>Glenrothes</t>
  </si>
  <si>
    <t>East Midland Valley</t>
  </si>
  <si>
    <t>NO 2561 0314</t>
  </si>
  <si>
    <t>14.4</t>
  </si>
  <si>
    <t>Balfour</t>
  </si>
  <si>
    <t>NO 323 003</t>
  </si>
  <si>
    <t>Windygates</t>
  </si>
  <si>
    <t>NO 3510 0034</t>
  </si>
  <si>
    <t>Spilmersford</t>
  </si>
  <si>
    <t>NT 4570 6902</t>
  </si>
  <si>
    <t>27.8</t>
  </si>
  <si>
    <t>Midlothian</t>
  </si>
  <si>
    <t>NT 363 647</t>
  </si>
  <si>
    <t>ESO</t>
  </si>
  <si>
    <t>37.8</t>
  </si>
  <si>
    <t>Birnieknowes</t>
  </si>
  <si>
    <t>NT 7580 7317</t>
  </si>
  <si>
    <t>23.9</t>
  </si>
  <si>
    <t>Marshall Meadow</t>
  </si>
  <si>
    <t>NT 9797 5686</t>
  </si>
  <si>
    <t>IC5</t>
  </si>
  <si>
    <t>11.5</t>
  </si>
  <si>
    <t>Cousland No.5</t>
  </si>
  <si>
    <t>NT 3774 6773</t>
  </si>
  <si>
    <t>BP</t>
  </si>
  <si>
    <t>17.8</t>
  </si>
  <si>
    <t>Cousland No.6</t>
  </si>
  <si>
    <t>NT 3835 6801</t>
  </si>
  <si>
    <t>Pumpherston</t>
  </si>
  <si>
    <t>NT 0733 6979</t>
  </si>
  <si>
    <t>36.7</t>
  </si>
  <si>
    <t>Lochead</t>
  </si>
  <si>
    <t>NT 3219 9659</t>
  </si>
  <si>
    <t>30.4</t>
  </si>
  <si>
    <t>Boreland</t>
  </si>
  <si>
    <t>NT 3040 9420</t>
  </si>
  <si>
    <t>AND</t>
  </si>
  <si>
    <t>Mackies Mill</t>
  </si>
  <si>
    <t>NT 3050 9795</t>
  </si>
  <si>
    <t>33.3</t>
  </si>
  <si>
    <t>Thornton Bridge</t>
  </si>
  <si>
    <t>NT 2889 9722</t>
  </si>
  <si>
    <t>28.0</t>
  </si>
  <si>
    <t>Thornton Farm</t>
  </si>
  <si>
    <t>NT 2969 9761</t>
  </si>
  <si>
    <t>38.0</t>
  </si>
  <si>
    <t>Eastfield</t>
  </si>
  <si>
    <t>NT 3264 7297</t>
  </si>
  <si>
    <t>26.0</t>
  </si>
  <si>
    <t>Bilston Glen Colliery</t>
  </si>
  <si>
    <t>NT 2996 6320</t>
  </si>
  <si>
    <t>8.7</t>
  </si>
  <si>
    <t>Lady Victoria Colliery</t>
  </si>
  <si>
    <t>NT 3294 6666</t>
  </si>
  <si>
    <t>10.8</t>
  </si>
  <si>
    <t>Auchendinny</t>
  </si>
  <si>
    <t>NT 2496 6125</t>
  </si>
  <si>
    <t>Wellsgreen</t>
  </si>
  <si>
    <t>NT 3342 9833</t>
  </si>
  <si>
    <t>42.3</t>
  </si>
  <si>
    <t>Livingston</t>
  </si>
  <si>
    <t>NT 018 691</t>
  </si>
  <si>
    <t>OX3</t>
  </si>
  <si>
    <t>27.0</t>
  </si>
  <si>
    <t>Stewart</t>
  </si>
  <si>
    <t>NT 3633 6476</t>
  </si>
  <si>
    <t>LAS</t>
  </si>
  <si>
    <t>37.9</t>
  </si>
  <si>
    <t>Frances</t>
  </si>
  <si>
    <t>NT 3214 9050</t>
  </si>
  <si>
    <t>29.0</t>
  </si>
  <si>
    <t>23.8</t>
  </si>
  <si>
    <t>Monktonhall</t>
  </si>
  <si>
    <t>NT 3242 7053</t>
  </si>
  <si>
    <t>Seafield</t>
  </si>
  <si>
    <t>NT 3150 8923</t>
  </si>
  <si>
    <t>Castle Douglas</t>
  </si>
  <si>
    <t>Dumfries &amp; Galloway</t>
  </si>
  <si>
    <t>NX 717 550</t>
  </si>
  <si>
    <t>OX5</t>
  </si>
  <si>
    <t>14.7</t>
  </si>
  <si>
    <t>Archerbeck</t>
  </si>
  <si>
    <t>NY 4157 7815</t>
  </si>
  <si>
    <t>61.2</t>
  </si>
  <si>
    <t>All data are from Burley et al. (1984), except Glenrothes which is from Brereton et al. (1988). 'East Midland Valley' includes all boreholes in National Grid Reference 100 km squares NO and NT. 'West Midland Valley' includes all boreholes in National Grid Reference 100 km square NS. BGS = British Geological Survey, PCO = Premier Consolidated Oilfields, GAS = British Gas Corporation (as was), NCB = National Coal Board (as was), BEN = Benfield (1939), TAW = Taylor Woodrow Energy (as was), IC6 = Wheildon et al. (1984), ESO = Esso, IC5 = pers. comm. (to Burley et al., 1984) from J Wheildon, BP = British Petroleum (as was), AND = Anderson (1940), OX3 = Bloomer et al. (1979), LAS = Lasmo, OX5 = Oxburgh (1982). Depths are in metres measured from the ground surface; temperatures are in ºC; T grad = temperature gradient, in ºC/km. Type: LOG = T measured during geophysical logging; BHT = bottom-hole temperature; EQM = equilibrium temperature; MWT = mine water temperature; VST = virgin strata (= equilibrium) temperature. Full descriptions of these terms and the reliability of the associated measurements are given in Burley et al. (1984). Surface temperatures for each borehole, which are required to calculate T grad, are given in Burley et al. (1984).</t>
  </si>
  <si>
    <t>Gillespie et al, 2013,  In Burley et al., 1984</t>
  </si>
  <si>
    <t>Area</t>
  </si>
  <si>
    <t>Latitude</t>
  </si>
  <si>
    <t>Longitude</t>
  </si>
  <si>
    <t>No</t>
  </si>
  <si>
    <t>Dufton</t>
  </si>
  <si>
    <t>Edinburgh</t>
  </si>
  <si>
    <t>Harewood</t>
  </si>
  <si>
    <t>Longhorsley</t>
  </si>
  <si>
    <t>Newbiggin</t>
  </si>
  <si>
    <t>Newtown</t>
  </si>
  <si>
    <t>Rhiw</t>
  </si>
  <si>
    <t>Selkirk</t>
  </si>
  <si>
    <t>Shipton</t>
  </si>
  <si>
    <t>Wray</t>
  </si>
  <si>
    <t>Wyche</t>
  </si>
  <si>
    <t>Gebski et al., 1987</t>
  </si>
  <si>
    <t>Montrose</t>
  </si>
  <si>
    <t>Marshall Meadows</t>
  </si>
  <si>
    <t>Kipperoch</t>
  </si>
  <si>
    <t>Barnhill</t>
  </si>
  <si>
    <t>Hurlet</t>
  </si>
  <si>
    <t>Heat flux</t>
  </si>
  <si>
    <t>DT</t>
  </si>
  <si>
    <t>Heat flow and conductivity values reported in Brown (1987)</t>
  </si>
  <si>
    <t>Difference in heat flows in the littérature due to the different thermal conductivity used :</t>
  </si>
  <si>
    <t>Benfield (1939), who used thermal conductivities of core samples from the Boreland Borehole (Edinburgh, GR NT 3304, 6942)</t>
  </si>
  <si>
    <t>Anderson (1940), who used estimates of thermal conductivity from core samples from the Boreland Borehole measured by “Bullard”</t>
  </si>
  <si>
    <t>Rollin (1987) and Wheildon and Rollin (1986) chose to use the lower of the two values of heat flow, whereas Browne et al. (1985) and Gillespie et al. (2013) used the higher values of heat flow for these boreholes</t>
  </si>
  <si>
    <t>type</t>
  </si>
  <si>
    <t>x</t>
  </si>
  <si>
    <t>y</t>
  </si>
  <si>
    <t>depth</t>
  </si>
  <si>
    <t>temperature</t>
  </si>
  <si>
    <t>ESKMOUTH</t>
  </si>
  <si>
    <t>16+</t>
  </si>
  <si>
    <t>207+</t>
  </si>
  <si>
    <t>Unit Thickness</t>
  </si>
  <si>
    <t>Thickness</t>
  </si>
  <si>
    <t>Conductivity</t>
  </si>
  <si>
    <t>Average geothermal gradient East MidLand Valley</t>
  </si>
  <si>
    <t>Exclude MWT</t>
  </si>
  <si>
    <t>Depth &gt; 400 m</t>
  </si>
  <si>
    <t>NT 78 Edinburgh 32830 67595 102 215 37 37 53 0.3157</t>
  </si>
  <si>
    <t>Rollin 1995</t>
  </si>
  <si>
    <t>Average Fm conductivity</t>
  </si>
  <si>
    <t xml:space="preserve">see how relative proportion of low/high conductivity and low/high radiogenic production in each formation affect temperature profile </t>
  </si>
  <si>
    <t>Ironstone</t>
  </si>
  <si>
    <t>Elevation m.a.s.l</t>
  </si>
  <si>
    <t>Depth top (m)</t>
  </si>
  <si>
    <t>Depth bottom (m)</t>
  </si>
  <si>
    <t>No temps</t>
  </si>
  <si>
    <t>No heat flow values in selected borehole, geothermal gradient only calculated from temperature measurements</t>
  </si>
  <si>
    <t>Flux 53 mW/m2  in Gebski et al., 1987 and Rollin, 1995</t>
  </si>
  <si>
    <t>source</t>
  </si>
  <si>
    <t>Using wells &gt; 500 m , average temperature gradient of 25°C/km</t>
  </si>
  <si>
    <t>can it fit average geothermal gradient of 25 °C in the Midlothian coaldfield?</t>
  </si>
  <si>
    <t>plot geothermal gradient with cond vs heat production</t>
  </si>
  <si>
    <t>Busby (2019)</t>
  </si>
  <si>
    <t>Burley et al., 1984</t>
  </si>
  <si>
    <t>Carrington-1 (Monaghan and Brown, 2014)</t>
  </si>
  <si>
    <t>Black hill</t>
  </si>
  <si>
    <t>Torduff Hill</t>
  </si>
  <si>
    <t>Warklaw Hill</t>
  </si>
  <si>
    <t>Bonaly</t>
  </si>
  <si>
    <t>Greywacke conglomerate Fm</t>
  </si>
  <si>
    <t>Bell's Hill</t>
  </si>
  <si>
    <t>Capelaw</t>
  </si>
  <si>
    <t>Allermuir</t>
  </si>
  <si>
    <t>Caerketton</t>
  </si>
  <si>
    <t>Woodhouselee</t>
  </si>
  <si>
    <t xml:space="preserve">Carnethy Hill </t>
  </si>
  <si>
    <t xml:space="preserve">Fairmilehead </t>
  </si>
  <si>
    <t>Braid Hills</t>
  </si>
  <si>
    <t>Blackford Hill</t>
  </si>
  <si>
    <t>Lanark Group (Pentland Hills Volcanic Formation)</t>
  </si>
  <si>
    <t>Kinneswood</t>
  </si>
  <si>
    <t>Ballagen</t>
  </si>
  <si>
    <t>Clyde Sandstone</t>
  </si>
  <si>
    <t>Inverclyde Gp</t>
  </si>
  <si>
    <t>Clyde Plateau Volcanic Fm</t>
  </si>
  <si>
    <t>Arthur's seat (Edinburgh)</t>
  </si>
  <si>
    <t>Aberlady Fm / West-Lothian Oil-shale (WLO: HON + CDE) / Pathhead &amp; Sandy Craig Fm</t>
  </si>
  <si>
    <t>Strathclyde Group</t>
  </si>
  <si>
    <t>Lawmuir Fm (Glasgow)</t>
  </si>
  <si>
    <t>ULCS</t>
  </si>
  <si>
    <t>PGP</t>
  </si>
  <si>
    <t>Clackmannan Group</t>
  </si>
  <si>
    <t>SCM</t>
  </si>
  <si>
    <t>Formation</t>
  </si>
  <si>
    <t>Group</t>
  </si>
  <si>
    <t>Sandstone CM</t>
  </si>
  <si>
    <t>Sandstone PGP</t>
  </si>
  <si>
    <t>Kirkwood Fm  (tuffaceous mudstones)</t>
  </si>
  <si>
    <t>Gullane Fm (dominant sandstones) with Gallerton Hills volcanic Fm (Bathgate Group: Kinghorn Volcanic Fm in Fife)</t>
  </si>
  <si>
    <t>https://www.bgs.ac.uk/lexicon/lex_list.cfm?desc=gullane&amp;pub=%25&amp;map=&amp;status=%25&amp;age=%25&amp;SUBMIT=Submit+Query</t>
  </si>
  <si>
    <t xml:space="preserve">% lithology for each formation </t>
  </si>
  <si>
    <t>Temperature measurement</t>
  </si>
  <si>
    <t>Grid</t>
  </si>
  <si>
    <t>156,4 or 1700m?</t>
  </si>
  <si>
    <t xml:space="preserve"> Heat flow (mW/m2)</t>
  </si>
  <si>
    <t>2,1*</t>
  </si>
  <si>
    <t>*Kirkwood Fm conductivity</t>
  </si>
  <si>
    <t>4,19**</t>
  </si>
  <si>
    <t>**Clyde Sandstone Fm Conductivity</t>
  </si>
  <si>
    <t>AVERAGE RHP (µW/m3):</t>
  </si>
  <si>
    <t>TOTAL RHP (W):</t>
  </si>
  <si>
    <t>RHP</t>
  </si>
  <si>
    <t>Limestone</t>
  </si>
  <si>
    <t>Gradient (°C/km)</t>
  </si>
  <si>
    <t>Lab no</t>
  </si>
  <si>
    <t>United Kingdom</t>
  </si>
  <si>
    <t>Bardon Hill</t>
  </si>
  <si>
    <t>Carn Caglau</t>
  </si>
  <si>
    <t>Church Stretton</t>
  </si>
  <si>
    <t>Cleethorpes No 1</t>
  </si>
  <si>
    <t>Clitherde No 2</t>
  </si>
  <si>
    <t>Gelli Fawr</t>
  </si>
  <si>
    <t>Llanwrtyd Wells</t>
  </si>
  <si>
    <t>Market Weighton</t>
  </si>
  <si>
    <t>Morley Quarry</t>
  </si>
  <si>
    <t>Rowlands Gill</t>
  </si>
  <si>
    <t>No cond HF (mW/m2)</t>
  </si>
  <si>
    <t>Surface temperature</t>
  </si>
  <si>
    <t>RHP (W/m3)</t>
  </si>
  <si>
    <t>RHP (J/s)</t>
  </si>
  <si>
    <t>%thickness</t>
  </si>
  <si>
    <t>Q</t>
  </si>
  <si>
    <t>L/s</t>
  </si>
  <si>
    <t>kg</t>
  </si>
  <si>
    <t>rho</t>
  </si>
  <si>
    <t>Kg/m3</t>
  </si>
  <si>
    <t>V</t>
  </si>
  <si>
    <t>m3</t>
  </si>
  <si>
    <t xml:space="preserve"> Dalkeith (full thickness)</t>
  </si>
  <si>
    <t>Carrington-1:</t>
  </si>
  <si>
    <t>Groundwater composition</t>
  </si>
  <si>
    <t>Siltstone CM</t>
  </si>
  <si>
    <t>Mudstone CM</t>
  </si>
  <si>
    <t>Coal</t>
  </si>
  <si>
    <t>Calculated harmonic mean</t>
  </si>
  <si>
    <t>Calculated harmonic mean (W/m3)</t>
  </si>
  <si>
    <t>Average RHP</t>
  </si>
  <si>
    <t>Average conductivity :</t>
  </si>
  <si>
    <t>Gradient :</t>
  </si>
  <si>
    <t>Heat flux :</t>
  </si>
  <si>
    <t>Midlothian  Model</t>
  </si>
  <si>
    <t>Reference Model</t>
  </si>
  <si>
    <t>Maryhill Boreholes</t>
  </si>
  <si>
    <t>COAL</t>
  </si>
  <si>
    <t>IRONSTONE</t>
  </si>
  <si>
    <t>LIMESTONE</t>
  </si>
  <si>
    <t>MUDSTONE</t>
  </si>
  <si>
    <t>SILTSTONE</t>
  </si>
  <si>
    <t>SANDSTONE</t>
  </si>
  <si>
    <t>SEATROCK</t>
  </si>
  <si>
    <t>DOLERITE</t>
  </si>
  <si>
    <t>VOID</t>
  </si>
  <si>
    <t>c</t>
  </si>
  <si>
    <t>alpha</t>
  </si>
  <si>
    <t>% rock</t>
  </si>
  <si>
    <t>ssd</t>
  </si>
  <si>
    <t>slst</t>
  </si>
  <si>
    <t>mdst</t>
  </si>
  <si>
    <t>lmst</t>
  </si>
  <si>
    <t>seatrock</t>
  </si>
  <si>
    <t>dlst</t>
  </si>
  <si>
    <t>fireclay</t>
  </si>
  <si>
    <t xml:space="preserve"> UPPER COAL MEASURES GROUP</t>
  </si>
  <si>
    <t xml:space="preserve"> LOWER COAL MEASURES GROUP</t>
  </si>
  <si>
    <t xml:space="preserve"> MIDDLE COAL MEASURES GROUP</t>
  </si>
  <si>
    <t>ALL</t>
  </si>
  <si>
    <t>MUD</t>
  </si>
  <si>
    <t>SIL</t>
  </si>
  <si>
    <t>SAN</t>
  </si>
  <si>
    <t>GRA</t>
  </si>
  <si>
    <t>Volume</t>
  </si>
  <si>
    <t>TOTAL</t>
  </si>
  <si>
    <t>Table. Average and total radiogenic heat production estimates in the Midlothian coalfield. The average formation conductivity values are from Busby (2019)</t>
  </si>
  <si>
    <t>Total RHP (W)</t>
  </si>
  <si>
    <t>2200 m²</t>
  </si>
  <si>
    <t>70 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</si>
</sst>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E+00"/>
    <numFmt numFmtId="165" formatCode="0.000"/>
    <numFmt numFmtId="166" formatCode="0.0"/>
  </numFmts>
  <fonts count="16" x14ac:knownFonts="1">
    <font>
      <sz val="11"/>
      <color theme="1"/>
      <name val="Calibri"/>
      <family val="2"/>
      <scheme val="minor"/>
    </font>
    <font>
      <b/>
      <sz val="11"/>
      <color theme="1"/>
      <name val="Calibri"/>
      <family val="2"/>
      <scheme val="minor"/>
    </font>
    <font>
      <sz val="11"/>
      <color theme="2" tint="-0.249977111117893"/>
      <name val="Calibri"/>
      <family val="2"/>
      <scheme val="minor"/>
    </font>
    <font>
      <sz val="11"/>
      <color theme="1"/>
      <name val="Arial"/>
      <family val="2"/>
    </font>
    <font>
      <sz val="11"/>
      <color theme="1"/>
      <name val="Calibri"/>
      <family val="2"/>
    </font>
    <font>
      <sz val="10"/>
      <color theme="1"/>
      <name val="Calibri"/>
      <family val="2"/>
    </font>
    <font>
      <sz val="11"/>
      <color theme="1"/>
      <name val="Calibri Light"/>
      <family val="2"/>
      <scheme val="major"/>
    </font>
    <font>
      <b/>
      <sz val="11"/>
      <color rgb="FF333333"/>
      <name val="Calibri Light"/>
      <family val="2"/>
      <scheme val="major"/>
    </font>
    <font>
      <sz val="11"/>
      <color rgb="FF333333"/>
      <name val="Calibri Light"/>
      <family val="2"/>
      <scheme val="major"/>
    </font>
    <font>
      <sz val="11"/>
      <color theme="1"/>
      <name val="Arial"/>
      <family val="2"/>
    </font>
    <font>
      <sz val="10"/>
      <color theme="1"/>
      <name val="Calibri Light"/>
      <family val="2"/>
      <scheme val="major"/>
    </font>
    <font>
      <b/>
      <sz val="10"/>
      <color theme="1"/>
      <name val="Calibri Light"/>
      <family val="2"/>
      <scheme val="major"/>
    </font>
    <font>
      <sz val="10"/>
      <color theme="1"/>
      <name val="Calibri"/>
      <family val="2"/>
      <scheme val="minor"/>
    </font>
    <font>
      <b/>
      <sz val="10"/>
      <color theme="1"/>
      <name val="Calibri"/>
      <family val="2"/>
      <scheme val="minor"/>
    </font>
    <font>
      <sz val="11"/>
      <color theme="7" tint="-0.249977111117893"/>
      <name val="Calibri"/>
      <family val="2"/>
      <scheme val="minor"/>
    </font>
    <font>
      <sz val="11"/>
      <color theme="2" tint="-0.499984740745262"/>
      <name val="Calibri"/>
      <family val="2"/>
      <scheme val="minor"/>
    </font>
  </fonts>
  <fills count="13">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FF"/>
        <bgColor indexed="64"/>
      </patternFill>
    </fill>
    <fill>
      <patternFill patternType="solid">
        <fgColor rgb="FFF8F8F8"/>
        <bgColor indexed="64"/>
      </patternFill>
    </fill>
    <fill>
      <patternFill patternType="solid">
        <fgColor theme="6" tint="0.59999389629810485"/>
        <bgColor indexed="64"/>
      </patternFill>
    </fill>
    <fill>
      <patternFill patternType="solid">
        <fgColor rgb="FFFFFF00"/>
        <bgColor indexed="64"/>
      </patternFill>
    </fill>
    <fill>
      <patternFill patternType="solid">
        <fgColor theme="2"/>
        <bgColor indexed="64"/>
      </patternFill>
    </fill>
    <fill>
      <patternFill patternType="solid">
        <fgColor theme="0" tint="-4.9989318521683403E-2"/>
        <bgColor indexed="64"/>
      </patternFill>
    </fill>
    <fill>
      <patternFill patternType="solid">
        <fgColor theme="6"/>
        <bgColor indexed="64"/>
      </patternFill>
    </fill>
    <fill>
      <patternFill patternType="solid">
        <fgColor theme="8" tint="0.79998168889431442"/>
        <bgColor indexed="64"/>
      </patternFill>
    </fill>
    <fill>
      <patternFill patternType="solid">
        <fgColor theme="5"/>
        <bgColor indexed="64"/>
      </patternFill>
    </fill>
  </fills>
  <borders count="5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s>
  <cellStyleXfs count="3">
    <xf numFmtId="0" fontId="0" fillId="0" borderId="0"/>
    <xf numFmtId="0" fontId="3" fillId="0" borderId="0"/>
    <xf numFmtId="0" fontId="9" fillId="0" borderId="0"/>
  </cellStyleXfs>
  <cellXfs count="388">
    <xf numFmtId="0" fontId="0" fillId="0" borderId="0" xfId="0"/>
    <xf numFmtId="0" fontId="0" fillId="0" borderId="0" xfId="0" applyAlignment="1">
      <alignment horizontal="center" vertical="center"/>
    </xf>
    <xf numFmtId="0" fontId="0" fillId="0" borderId="0" xfId="0" applyAlignment="1">
      <alignment horizontal="right"/>
    </xf>
    <xf numFmtId="0" fontId="0" fillId="0" borderId="0" xfId="0" applyNumberFormat="1" applyAlignment="1">
      <alignment horizontal="right"/>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3" borderId="12" xfId="0" applyFill="1" applyBorder="1"/>
    <xf numFmtId="0" fontId="0" fillId="3" borderId="12" xfId="0" applyFill="1" applyBorder="1" applyAlignment="1">
      <alignment horizontal="right"/>
    </xf>
    <xf numFmtId="0" fontId="0" fillId="3" borderId="4"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xf numFmtId="0" fontId="0" fillId="3" borderId="0" xfId="0" applyFill="1" applyBorder="1" applyAlignment="1">
      <alignment horizontal="right"/>
    </xf>
    <xf numFmtId="0" fontId="0" fillId="3" borderId="5" xfId="0" applyFill="1" applyBorder="1"/>
    <xf numFmtId="0" fontId="0" fillId="3" borderId="0" xfId="0" applyNumberFormat="1" applyFill="1" applyBorder="1" applyAlignment="1">
      <alignment horizontal="right"/>
    </xf>
    <xf numFmtId="0" fontId="0" fillId="3" borderId="0" xfId="0" applyFill="1" applyAlignment="1">
      <alignment horizontal="left" vertical="center"/>
    </xf>
    <xf numFmtId="0" fontId="0" fillId="3" borderId="0" xfId="0" applyFill="1" applyAlignment="1">
      <alignment horizontal="center" vertical="center"/>
    </xf>
    <xf numFmtId="0" fontId="0" fillId="3" borderId="0" xfId="0" applyFill="1"/>
    <xf numFmtId="0" fontId="0" fillId="3" borderId="0" xfId="0" applyFill="1" applyAlignment="1">
      <alignment horizontal="right"/>
    </xf>
    <xf numFmtId="0" fontId="0" fillId="3" borderId="0" xfId="0" applyNumberFormat="1" applyFill="1" applyAlignment="1">
      <alignment horizontal="right"/>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vertical="center"/>
    </xf>
    <xf numFmtId="0" fontId="0" fillId="0" borderId="15" xfId="0" applyBorder="1" applyAlignment="1">
      <alignment horizontal="center" vertical="center"/>
    </xf>
    <xf numFmtId="0" fontId="0" fillId="0" borderId="15" xfId="0" applyBorder="1" applyAlignment="1">
      <alignment horizontal="center"/>
    </xf>
    <xf numFmtId="0" fontId="0" fillId="0" borderId="15" xfId="0" applyNumberFormat="1" applyBorder="1" applyAlignment="1">
      <alignment horizontal="center"/>
    </xf>
    <xf numFmtId="0" fontId="0" fillId="0" borderId="26" xfId="0" applyBorder="1" applyAlignment="1">
      <alignment horizontal="center" vertical="center"/>
    </xf>
    <xf numFmtId="0" fontId="1" fillId="0" borderId="27" xfId="0" applyFont="1" applyBorder="1" applyAlignment="1">
      <alignment horizont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9" xfId="0" applyBorder="1" applyAlignment="1">
      <alignment horizontal="center" vertical="center"/>
    </xf>
    <xf numFmtId="0" fontId="0" fillId="0" borderId="19" xfId="0" applyBorder="1" applyAlignment="1">
      <alignment horizontal="center"/>
    </xf>
    <xf numFmtId="0" fontId="0" fillId="0" borderId="19" xfId="0" applyNumberFormat="1" applyBorder="1" applyAlignment="1">
      <alignment horizontal="center"/>
    </xf>
    <xf numFmtId="0" fontId="10" fillId="0" borderId="15" xfId="1" applyFont="1" applyBorder="1" applyAlignment="1"/>
    <xf numFmtId="0" fontId="11" fillId="0" borderId="26" xfId="1" applyFont="1" applyBorder="1" applyAlignment="1"/>
    <xf numFmtId="0" fontId="11" fillId="0" borderId="27" xfId="1" applyFont="1" applyBorder="1" applyAlignment="1"/>
    <xf numFmtId="0" fontId="11" fillId="0" borderId="28" xfId="1" applyFont="1" applyBorder="1" applyAlignment="1"/>
    <xf numFmtId="0" fontId="10" fillId="0" borderId="16" xfId="1" applyFont="1" applyBorder="1" applyAlignment="1"/>
    <xf numFmtId="0" fontId="10" fillId="0" borderId="17" xfId="1" applyFont="1" applyBorder="1" applyAlignment="1"/>
    <xf numFmtId="0" fontId="10" fillId="0" borderId="18" xfId="1" applyFont="1" applyBorder="1" applyAlignment="1"/>
    <xf numFmtId="0" fontId="10" fillId="0" borderId="19" xfId="1" applyFont="1" applyBorder="1" applyAlignment="1"/>
    <xf numFmtId="0" fontId="10" fillId="0" borderId="20" xfId="1" applyFont="1" applyBorder="1" applyAlignment="1"/>
    <xf numFmtId="0" fontId="3" fillId="0" borderId="0" xfId="1" applyFont="1" applyAlignment="1"/>
    <xf numFmtId="0" fontId="6" fillId="0" borderId="0" xfId="1" applyFont="1" applyAlignment="1"/>
    <xf numFmtId="0" fontId="6" fillId="0" borderId="0" xfId="1" applyFont="1"/>
    <xf numFmtId="0" fontId="7" fillId="4" borderId="14" xfId="1" applyFont="1" applyFill="1" applyBorder="1" applyAlignment="1">
      <alignment horizontal="left" vertical="top" wrapText="1" indent="1"/>
    </xf>
    <xf numFmtId="0" fontId="7" fillId="4" borderId="14" xfId="1" applyFont="1" applyFill="1" applyBorder="1" applyAlignment="1">
      <alignment horizontal="left" vertical="top" wrapText="1"/>
    </xf>
    <xf numFmtId="0" fontId="8" fillId="5" borderId="14" xfId="1" applyFont="1" applyFill="1" applyBorder="1" applyAlignment="1">
      <alignment vertical="top" wrapText="1" indent="1"/>
    </xf>
    <xf numFmtId="0" fontId="8" fillId="5" borderId="14" xfId="1" applyFont="1" applyFill="1" applyBorder="1" applyAlignment="1">
      <alignment vertical="top" wrapText="1"/>
    </xf>
    <xf numFmtId="0" fontId="8" fillId="4" borderId="14" xfId="1" applyFont="1" applyFill="1" applyBorder="1" applyAlignment="1">
      <alignment vertical="top" wrapText="1" indent="1"/>
    </xf>
    <xf numFmtId="0" fontId="8" fillId="4" borderId="14" xfId="1" applyFont="1" applyFill="1" applyBorder="1" applyAlignment="1">
      <alignment vertical="top" wrapText="1"/>
    </xf>
    <xf numFmtId="0" fontId="3" fillId="0" borderId="0" xfId="1" applyFont="1" applyAlignment="1"/>
    <xf numFmtId="0" fontId="10" fillId="0" borderId="0" xfId="1" applyFont="1" applyAlignment="1"/>
    <xf numFmtId="0" fontId="10" fillId="0" borderId="0" xfId="1" applyFont="1" applyFill="1" applyAlignment="1"/>
    <xf numFmtId="0" fontId="4" fillId="0" borderId="0" xfId="1" applyFont="1"/>
    <xf numFmtId="0" fontId="5" fillId="0" borderId="0" xfId="1" applyFont="1"/>
    <xf numFmtId="0" fontId="10" fillId="2" borderId="0" xfId="1" applyFont="1" applyFill="1" applyAlignment="1"/>
    <xf numFmtId="0" fontId="0" fillId="0" borderId="0" xfId="0" applyAlignment="1"/>
    <xf numFmtId="0" fontId="0" fillId="0" borderId="0" xfId="0" applyAlignment="1">
      <alignment wrapText="1"/>
    </xf>
    <xf numFmtId="0" fontId="0" fillId="0" borderId="15" xfId="0" applyBorder="1"/>
    <xf numFmtId="0" fontId="0" fillId="0" borderId="15" xfId="0" applyFill="1" applyBorder="1" applyAlignment="1">
      <alignment horizontal="center"/>
    </xf>
    <xf numFmtId="0" fontId="0" fillId="0" borderId="17" xfId="0" applyBorder="1"/>
    <xf numFmtId="0" fontId="0" fillId="0" borderId="17" xfId="0" applyBorder="1" applyAlignment="1">
      <alignment horizontal="center" vertical="center"/>
    </xf>
    <xf numFmtId="0" fontId="0" fillId="0" borderId="19" xfId="0" applyBorder="1"/>
    <xf numFmtId="0" fontId="0" fillId="0" borderId="20" xfId="0" applyBorder="1"/>
    <xf numFmtId="0" fontId="1" fillId="0" borderId="27" xfId="0" applyFont="1" applyBorder="1" applyAlignment="1">
      <alignment horizontal="center" vertical="center"/>
    </xf>
    <xf numFmtId="0" fontId="1" fillId="0" borderId="27" xfId="0" applyNumberFormat="1" applyFont="1" applyBorder="1" applyAlignment="1">
      <alignment horizontal="center"/>
    </xf>
    <xf numFmtId="0" fontId="11" fillId="0" borderId="27" xfId="2" applyFont="1" applyFill="1" applyBorder="1"/>
    <xf numFmtId="0" fontId="11" fillId="0" borderId="28" xfId="2" applyFont="1" applyFill="1" applyBorder="1"/>
    <xf numFmtId="0" fontId="13" fillId="0" borderId="16" xfId="2" applyFont="1" applyFill="1" applyBorder="1" applyAlignment="1">
      <alignment horizontal="left"/>
    </xf>
    <xf numFmtId="0" fontId="12" fillId="0" borderId="15" xfId="0" applyFont="1" applyFill="1" applyBorder="1" applyAlignment="1">
      <alignment horizontal="left"/>
    </xf>
    <xf numFmtId="0" fontId="12" fillId="0" borderId="0" xfId="0" applyFont="1" applyFill="1"/>
    <xf numFmtId="0" fontId="13" fillId="0" borderId="16" xfId="0" applyFont="1" applyFill="1" applyBorder="1" applyAlignment="1">
      <alignment horizontal="left"/>
    </xf>
    <xf numFmtId="0" fontId="12" fillId="0" borderId="17" xfId="0" applyFont="1" applyFill="1" applyBorder="1" applyAlignment="1">
      <alignment horizontal="left"/>
    </xf>
    <xf numFmtId="0" fontId="13" fillId="0" borderId="16" xfId="0" applyNumberFormat="1" applyFont="1" applyFill="1" applyBorder="1" applyAlignment="1">
      <alignment horizontal="left"/>
    </xf>
    <xf numFmtId="0" fontId="12" fillId="0" borderId="15" xfId="0" applyNumberFormat="1" applyFont="1" applyFill="1" applyBorder="1" applyAlignment="1">
      <alignment horizontal="left"/>
    </xf>
    <xf numFmtId="0" fontId="12" fillId="0" borderId="17" xfId="0" applyNumberFormat="1" applyFont="1" applyFill="1" applyBorder="1" applyAlignment="1">
      <alignment horizontal="left"/>
    </xf>
    <xf numFmtId="0" fontId="12" fillId="0" borderId="15" xfId="0" applyFont="1" applyFill="1" applyBorder="1" applyAlignment="1">
      <alignment horizontal="left" vertical="center"/>
    </xf>
    <xf numFmtId="0" fontId="13" fillId="0" borderId="16" xfId="0" applyFont="1" applyFill="1" applyBorder="1" applyAlignment="1">
      <alignment horizontal="left" vertical="center"/>
    </xf>
    <xf numFmtId="0" fontId="12" fillId="0" borderId="19" xfId="0" applyFont="1" applyFill="1" applyBorder="1" applyAlignment="1">
      <alignment horizontal="left" vertical="center"/>
    </xf>
    <xf numFmtId="0" fontId="12" fillId="0" borderId="0" xfId="0" applyFont="1" applyFill="1" applyBorder="1"/>
    <xf numFmtId="0" fontId="12" fillId="0" borderId="15" xfId="0" applyFont="1" applyFill="1" applyBorder="1"/>
    <xf numFmtId="0" fontId="12" fillId="0" borderId="15" xfId="2" applyFont="1" applyFill="1" applyBorder="1"/>
    <xf numFmtId="0" fontId="12" fillId="0" borderId="16" xfId="0" applyFont="1" applyFill="1" applyBorder="1"/>
    <xf numFmtId="0" fontId="12" fillId="0" borderId="17" xfId="0" applyFont="1" applyFill="1" applyBorder="1"/>
    <xf numFmtId="0" fontId="13" fillId="0" borderId="18" xfId="2" applyFont="1" applyFill="1" applyBorder="1" applyAlignment="1">
      <alignment horizontal="left"/>
    </xf>
    <xf numFmtId="0" fontId="12" fillId="0" borderId="19" xfId="2" applyFont="1" applyFill="1" applyBorder="1"/>
    <xf numFmtId="0" fontId="12" fillId="0" borderId="19"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16" xfId="0" applyFont="1" applyFill="1" applyBorder="1" applyAlignment="1">
      <alignment horizontal="left" vertical="center"/>
    </xf>
    <xf numFmtId="0" fontId="12" fillId="0" borderId="16" xfId="0" applyFont="1" applyFill="1" applyBorder="1" applyAlignment="1">
      <alignment horizontal="left"/>
    </xf>
    <xf numFmtId="0" fontId="12" fillId="0" borderId="16" xfId="0" applyNumberFormat="1" applyFont="1" applyFill="1" applyBorder="1" applyAlignment="1">
      <alignment horizontal="left"/>
    </xf>
    <xf numFmtId="0" fontId="12" fillId="0" borderId="18" xfId="0" applyFont="1" applyFill="1" applyBorder="1" applyAlignment="1">
      <alignment horizontal="left"/>
    </xf>
    <xf numFmtId="0" fontId="12" fillId="0" borderId="20" xfId="0" applyFont="1" applyFill="1" applyBorder="1" applyAlignment="1">
      <alignment horizontal="left"/>
    </xf>
    <xf numFmtId="0" fontId="13" fillId="0" borderId="29" xfId="0" applyFont="1" applyFill="1" applyBorder="1" applyAlignment="1">
      <alignment horizontal="left"/>
    </xf>
    <xf numFmtId="0" fontId="12" fillId="0" borderId="21" xfId="2" applyFont="1" applyFill="1" applyBorder="1"/>
    <xf numFmtId="0" fontId="12" fillId="0" borderId="21" xfId="0" applyFont="1" applyFill="1" applyBorder="1" applyAlignment="1">
      <alignment horizontal="left"/>
    </xf>
    <xf numFmtId="0" fontId="12" fillId="0" borderId="22" xfId="0" applyFont="1" applyFill="1" applyBorder="1" applyAlignment="1">
      <alignment horizontal="left"/>
    </xf>
    <xf numFmtId="0" fontId="12" fillId="0" borderId="21" xfId="0" applyFont="1" applyFill="1" applyBorder="1"/>
    <xf numFmtId="0" fontId="12" fillId="0" borderId="22" xfId="0" applyFont="1" applyFill="1" applyBorder="1"/>
    <xf numFmtId="0" fontId="13" fillId="0" borderId="26" xfId="0" applyFont="1" applyFill="1" applyBorder="1"/>
    <xf numFmtId="0" fontId="13" fillId="0" borderId="18" xfId="0" applyFont="1" applyFill="1" applyBorder="1"/>
    <xf numFmtId="0" fontId="13" fillId="0" borderId="18" xfId="0" applyFont="1" applyFill="1" applyBorder="1" applyAlignment="1">
      <alignment horizontal="left" vertical="center"/>
    </xf>
    <xf numFmtId="0" fontId="13" fillId="0" borderId="19" xfId="0" applyFont="1" applyFill="1" applyBorder="1" applyAlignment="1">
      <alignment horizontal="left" vertical="center"/>
    </xf>
    <xf numFmtId="0" fontId="13" fillId="0" borderId="20" xfId="0" applyFont="1" applyFill="1" applyBorder="1" applyAlignment="1">
      <alignment horizontal="left" vertical="center"/>
    </xf>
    <xf numFmtId="0" fontId="8" fillId="4" borderId="0" xfId="1" applyFont="1" applyFill="1" applyBorder="1" applyAlignment="1">
      <alignment vertical="top" wrapText="1"/>
    </xf>
    <xf numFmtId="0" fontId="8" fillId="5" borderId="0" xfId="1" applyFont="1" applyFill="1" applyBorder="1" applyAlignment="1">
      <alignment vertical="top"/>
    </xf>
    <xf numFmtId="0" fontId="12" fillId="0" borderId="0" xfId="0" applyFont="1" applyFill="1" applyAlignment="1">
      <alignment vertical="center" wrapText="1"/>
    </xf>
    <xf numFmtId="0" fontId="13" fillId="2" borderId="29" xfId="0" applyFont="1" applyFill="1" applyBorder="1" applyAlignment="1">
      <alignment horizontal="left"/>
    </xf>
    <xf numFmtId="0" fontId="12" fillId="2" borderId="29" xfId="0" applyFont="1" applyFill="1" applyBorder="1" applyAlignment="1">
      <alignment horizontal="left"/>
    </xf>
    <xf numFmtId="0" fontId="12" fillId="2" borderId="21" xfId="0" applyFont="1" applyFill="1" applyBorder="1" applyAlignment="1">
      <alignment horizontal="left"/>
    </xf>
    <xf numFmtId="0" fontId="12" fillId="2" borderId="17" xfId="0" applyFont="1" applyFill="1" applyBorder="1" applyAlignment="1">
      <alignment horizontal="left" vertical="center"/>
    </xf>
    <xf numFmtId="0" fontId="12" fillId="2" borderId="15" xfId="0" applyFont="1" applyFill="1" applyBorder="1" applyAlignment="1">
      <alignment horizontal="left" vertical="center"/>
    </xf>
    <xf numFmtId="0" fontId="3" fillId="2" borderId="0" xfId="1" applyFont="1" applyFill="1" applyAlignment="1"/>
    <xf numFmtId="0" fontId="8" fillId="2" borderId="14" xfId="1" applyFont="1" applyFill="1" applyBorder="1" applyAlignment="1">
      <alignment vertical="top" wrapText="1" indent="1"/>
    </xf>
    <xf numFmtId="0" fontId="8" fillId="2" borderId="14" xfId="1" applyFont="1" applyFill="1" applyBorder="1" applyAlignment="1">
      <alignment vertical="top" wrapText="1"/>
    </xf>
    <xf numFmtId="0" fontId="0" fillId="0" borderId="0" xfId="0" applyFill="1" applyBorder="1"/>
    <xf numFmtId="9" fontId="0" fillId="0" borderId="0" xfId="0" applyNumberFormat="1" applyFill="1" applyBorder="1" applyAlignment="1">
      <alignment horizontal="right"/>
    </xf>
    <xf numFmtId="0" fontId="13" fillId="0" borderId="23" xfId="0" applyFont="1" applyFill="1" applyBorder="1"/>
    <xf numFmtId="0" fontId="13" fillId="0" borderId="24" xfId="0" applyFont="1" applyFill="1" applyBorder="1"/>
    <xf numFmtId="0" fontId="13" fillId="0" borderId="30" xfId="0" applyFont="1" applyFill="1" applyBorder="1"/>
    <xf numFmtId="0" fontId="13" fillId="0" borderId="31" xfId="0" applyFont="1" applyFill="1" applyBorder="1"/>
    <xf numFmtId="0" fontId="14" fillId="0" borderId="0" xfId="0" applyFont="1"/>
    <xf numFmtId="0" fontId="15" fillId="0" borderId="0" xfId="0" applyFont="1"/>
    <xf numFmtId="0" fontId="12" fillId="0" borderId="9" xfId="0" applyFont="1" applyFill="1" applyBorder="1"/>
    <xf numFmtId="0" fontId="12" fillId="0" borderId="8" xfId="0" applyFont="1" applyFill="1" applyBorder="1"/>
    <xf numFmtId="0" fontId="13" fillId="0" borderId="36" xfId="0" applyFont="1" applyFill="1" applyBorder="1"/>
    <xf numFmtId="0" fontId="12" fillId="0" borderId="37" xfId="2" applyFont="1" applyFill="1" applyBorder="1" applyAlignment="1">
      <alignment horizontal="right"/>
    </xf>
    <xf numFmtId="0" fontId="12" fillId="0" borderId="38" xfId="2" applyFont="1" applyFill="1" applyBorder="1" applyAlignment="1">
      <alignment horizontal="right"/>
    </xf>
    <xf numFmtId="0" fontId="12" fillId="0" borderId="39" xfId="2" applyFont="1" applyFill="1" applyBorder="1" applyAlignment="1">
      <alignment horizontal="right"/>
    </xf>
    <xf numFmtId="0" fontId="12" fillId="0" borderId="29" xfId="0" applyFont="1" applyFill="1" applyBorder="1"/>
    <xf numFmtId="0" fontId="12" fillId="0" borderId="18" xfId="0" applyFont="1" applyFill="1" applyBorder="1"/>
    <xf numFmtId="0" fontId="13" fillId="0" borderId="32" xfId="0" applyFont="1" applyFill="1" applyBorder="1"/>
    <xf numFmtId="0" fontId="0" fillId="0" borderId="43" xfId="0" applyBorder="1"/>
    <xf numFmtId="0" fontId="0" fillId="0" borderId="44" xfId="0" applyBorder="1"/>
    <xf numFmtId="0" fontId="14" fillId="0" borderId="44" xfId="0" applyFont="1" applyBorder="1"/>
    <xf numFmtId="0" fontId="0" fillId="0" borderId="44" xfId="0" applyBorder="1" applyAlignment="1">
      <alignment wrapText="1"/>
    </xf>
    <xf numFmtId="0" fontId="15" fillId="0" borderId="44" xfId="0" applyFont="1" applyBorder="1"/>
    <xf numFmtId="0" fontId="14" fillId="0" borderId="45" xfId="0" applyFont="1" applyBorder="1"/>
    <xf numFmtId="0" fontId="0" fillId="0" borderId="40" xfId="0" applyBorder="1"/>
    <xf numFmtId="0" fontId="0" fillId="0" borderId="41" xfId="0" applyBorder="1"/>
    <xf numFmtId="0" fontId="12" fillId="0" borderId="22" xfId="0" applyFont="1" applyFill="1" applyBorder="1" applyAlignment="1">
      <alignment horizontal="center" vertical="center"/>
    </xf>
    <xf numFmtId="0" fontId="12" fillId="0" borderId="17" xfId="0" applyFont="1" applyFill="1" applyBorder="1" applyAlignment="1">
      <alignment horizontal="center" vertical="center"/>
    </xf>
    <xf numFmtId="0" fontId="12" fillId="6" borderId="17" xfId="0" applyFont="1" applyFill="1" applyBorder="1" applyAlignment="1">
      <alignment horizontal="center" vertical="center"/>
    </xf>
    <xf numFmtId="0" fontId="12" fillId="6" borderId="20" xfId="0" applyFont="1" applyFill="1" applyBorder="1" applyAlignment="1">
      <alignment horizontal="center" vertical="center"/>
    </xf>
    <xf numFmtId="0" fontId="12" fillId="0" borderId="42" xfId="0" applyFont="1" applyFill="1" applyBorder="1" applyAlignment="1">
      <alignment horizontal="center" vertical="center"/>
    </xf>
    <xf numFmtId="0" fontId="12" fillId="2" borderId="1" xfId="0" applyFont="1" applyFill="1" applyBorder="1" applyAlignment="1">
      <alignment horizontal="center"/>
    </xf>
    <xf numFmtId="0" fontId="12" fillId="0" borderId="41" xfId="0" applyFont="1" applyFill="1" applyBorder="1" applyAlignment="1">
      <alignment horizontal="center" vertical="center"/>
    </xf>
    <xf numFmtId="0" fontId="12" fillId="0" borderId="0" xfId="0" applyFont="1" applyFill="1" applyAlignment="1">
      <alignment horizontal="right"/>
    </xf>
    <xf numFmtId="0" fontId="12" fillId="7" borderId="15" xfId="2" applyFont="1" applyFill="1" applyBorder="1"/>
    <xf numFmtId="0" fontId="12" fillId="7" borderId="38" xfId="2" applyFont="1" applyFill="1" applyBorder="1" applyAlignment="1">
      <alignment horizontal="right"/>
    </xf>
    <xf numFmtId="0" fontId="12" fillId="7" borderId="16" xfId="0" applyFont="1" applyFill="1" applyBorder="1"/>
    <xf numFmtId="0" fontId="12" fillId="7" borderId="15" xfId="0" applyFont="1" applyFill="1" applyBorder="1"/>
    <xf numFmtId="0" fontId="12" fillId="7" borderId="17" xfId="0" applyFont="1" applyFill="1" applyBorder="1"/>
    <xf numFmtId="0" fontId="13" fillId="7" borderId="16" xfId="0" applyFont="1" applyFill="1" applyBorder="1" applyAlignment="1">
      <alignment horizontal="left"/>
    </xf>
    <xf numFmtId="0" fontId="2" fillId="9" borderId="4" xfId="0" applyFont="1" applyFill="1" applyBorder="1" applyAlignment="1">
      <alignment horizontal="center" vertical="center" wrapText="1"/>
    </xf>
    <xf numFmtId="0" fontId="0" fillId="9" borderId="4" xfId="0" applyFill="1" applyBorder="1"/>
    <xf numFmtId="9" fontId="0" fillId="9" borderId="0" xfId="0" applyNumberFormat="1" applyFill="1" applyBorder="1" applyAlignment="1">
      <alignment horizontal="right"/>
    </xf>
    <xf numFmtId="11" fontId="0" fillId="9" borderId="0" xfId="0" applyNumberFormat="1" applyFill="1" applyBorder="1" applyAlignment="1">
      <alignment horizontal="right"/>
    </xf>
    <xf numFmtId="0" fontId="0" fillId="9" borderId="5" xfId="0" applyFill="1" applyBorder="1"/>
    <xf numFmtId="0" fontId="0" fillId="9" borderId="5" xfId="0" applyFill="1" applyBorder="1" applyAlignment="1">
      <alignment horizontal="right"/>
    </xf>
    <xf numFmtId="0" fontId="0" fillId="9" borderId="0" xfId="0" applyFill="1" applyBorder="1"/>
    <xf numFmtId="0" fontId="0" fillId="9" borderId="4" xfId="0" applyFill="1" applyBorder="1" applyAlignment="1">
      <alignment horizontal="center" vertical="center" wrapText="1"/>
    </xf>
    <xf numFmtId="11" fontId="0" fillId="9" borderId="0" xfId="0" applyNumberFormat="1" applyFill="1" applyBorder="1"/>
    <xf numFmtId="0" fontId="0" fillId="9" borderId="0" xfId="0" applyFill="1" applyBorder="1" applyAlignment="1">
      <alignment horizontal="right"/>
    </xf>
    <xf numFmtId="0" fontId="0" fillId="9" borderId="9" xfId="0" applyFill="1" applyBorder="1"/>
    <xf numFmtId="0" fontId="0" fillId="9" borderId="10" xfId="0" applyFill="1" applyBorder="1"/>
    <xf numFmtId="0" fontId="0" fillId="9" borderId="0" xfId="0" applyNumberFormat="1" applyFill="1" applyBorder="1" applyAlignment="1">
      <alignment horizontal="right"/>
    </xf>
    <xf numFmtId="0" fontId="0" fillId="9" borderId="2" xfId="0" applyNumberFormat="1" applyFill="1" applyBorder="1" applyAlignment="1">
      <alignment horizontal="right"/>
    </xf>
    <xf numFmtId="0" fontId="0" fillId="9" borderId="6" xfId="0" applyFill="1" applyBorder="1" applyAlignment="1">
      <alignment horizontal="left" vertical="center"/>
    </xf>
    <xf numFmtId="0" fontId="0" fillId="9" borderId="7" xfId="0" applyFill="1" applyBorder="1" applyAlignment="1">
      <alignment horizontal="center" vertical="center"/>
    </xf>
    <xf numFmtId="1" fontId="1" fillId="9" borderId="9" xfId="0" applyNumberFormat="1" applyFont="1" applyFill="1" applyBorder="1"/>
    <xf numFmtId="9" fontId="1" fillId="9" borderId="9" xfId="0" applyNumberFormat="1" applyFont="1" applyFill="1" applyBorder="1" applyAlignment="1">
      <alignment horizontal="left"/>
    </xf>
    <xf numFmtId="0" fontId="0" fillId="8" borderId="10" xfId="0" applyFill="1" applyBorder="1" applyAlignment="1">
      <alignment horizontal="right"/>
    </xf>
    <xf numFmtId="0" fontId="0" fillId="8" borderId="8" xfId="0" applyFill="1" applyBorder="1"/>
    <xf numFmtId="0" fontId="0" fillId="8" borderId="9" xfId="0" applyFill="1" applyBorder="1"/>
    <xf numFmtId="0" fontId="0" fillId="8" borderId="10" xfId="0" applyFill="1" applyBorder="1"/>
    <xf numFmtId="0" fontId="0" fillId="8" borderId="1" xfId="0" applyFill="1" applyBorder="1" applyAlignment="1">
      <alignment horizontal="right"/>
    </xf>
    <xf numFmtId="0" fontId="0" fillId="8" borderId="1" xfId="0" applyFill="1" applyBorder="1" applyAlignment="1">
      <alignment horizontal="center" vertical="center"/>
    </xf>
    <xf numFmtId="0" fontId="0" fillId="8" borderId="1" xfId="0" applyNumberFormat="1" applyFill="1" applyBorder="1" applyAlignment="1">
      <alignment horizontal="right"/>
    </xf>
    <xf numFmtId="0" fontId="1" fillId="9" borderId="2" xfId="0" applyFont="1" applyFill="1" applyBorder="1" applyAlignment="1">
      <alignment horizontal="right" vertical="center" wrapText="1"/>
    </xf>
    <xf numFmtId="0" fontId="1" fillId="8" borderId="1" xfId="0" applyFont="1" applyFill="1" applyBorder="1" applyAlignment="1">
      <alignment horizontal="center" vertical="center" wrapText="1"/>
    </xf>
    <xf numFmtId="0" fontId="1" fillId="9" borderId="2" xfId="0" applyFont="1" applyFill="1" applyBorder="1" applyAlignment="1">
      <alignment horizontal="center" vertical="center" wrapText="1"/>
    </xf>
    <xf numFmtId="11" fontId="0" fillId="8" borderId="9" xfId="0" applyNumberFormat="1" applyFill="1" applyBorder="1"/>
    <xf numFmtId="0" fontId="0" fillId="10" borderId="8" xfId="0" applyFill="1" applyBorder="1" applyAlignment="1">
      <alignment horizontal="center" vertical="center"/>
    </xf>
    <xf numFmtId="0" fontId="0" fillId="10" borderId="8" xfId="0" applyFill="1" applyBorder="1" applyAlignment="1">
      <alignment horizontal="center" vertical="center" wrapText="1"/>
    </xf>
    <xf numFmtId="0" fontId="0" fillId="3" borderId="13" xfId="0" applyFill="1" applyBorder="1" applyAlignment="1">
      <alignment horizontal="left"/>
    </xf>
    <xf numFmtId="0" fontId="0" fillId="3" borderId="5" xfId="0" applyFill="1" applyBorder="1" applyAlignment="1">
      <alignment horizontal="left"/>
    </xf>
    <xf numFmtId="0" fontId="0" fillId="9" borderId="0" xfId="0" applyFill="1" applyBorder="1" applyAlignment="1">
      <alignment horizontal="center" vertical="center"/>
    </xf>
    <xf numFmtId="0" fontId="0" fillId="9" borderId="6" xfId="0" applyFill="1" applyBorder="1" applyAlignment="1">
      <alignment horizontal="center" vertical="center" wrapText="1"/>
    </xf>
    <xf numFmtId="0" fontId="0" fillId="9" borderId="6" xfId="0" applyFill="1" applyBorder="1"/>
    <xf numFmtId="9" fontId="0" fillId="9" borderId="7" xfId="0" applyNumberFormat="1" applyFill="1" applyBorder="1" applyAlignment="1">
      <alignment horizontal="right"/>
    </xf>
    <xf numFmtId="0" fontId="0" fillId="9" borderId="7" xfId="0" applyNumberFormat="1" applyFill="1" applyBorder="1" applyAlignment="1">
      <alignment horizontal="right"/>
    </xf>
    <xf numFmtId="0" fontId="0" fillId="9" borderId="3" xfId="0" applyNumberFormat="1" applyFill="1" applyBorder="1" applyAlignment="1">
      <alignment horizontal="right"/>
    </xf>
    <xf numFmtId="0" fontId="1" fillId="8" borderId="8" xfId="0" applyNumberFormat="1" applyFont="1" applyFill="1" applyBorder="1" applyAlignment="1">
      <alignment horizontal="right"/>
    </xf>
    <xf numFmtId="165" fontId="1" fillId="8" borderId="10" xfId="0" applyNumberFormat="1" applyFont="1" applyFill="1" applyBorder="1" applyAlignment="1">
      <alignment horizontal="right"/>
    </xf>
    <xf numFmtId="0" fontId="1" fillId="8" borderId="9" xfId="0" applyNumberFormat="1" applyFont="1" applyFill="1" applyBorder="1" applyAlignment="1">
      <alignment horizontal="right"/>
    </xf>
    <xf numFmtId="164" fontId="1" fillId="8" borderId="10" xfId="0" applyNumberFormat="1" applyFont="1" applyFill="1" applyBorder="1"/>
    <xf numFmtId="0" fontId="1" fillId="8" borderId="8" xfId="0" applyFont="1" applyFill="1" applyBorder="1"/>
    <xf numFmtId="164" fontId="1" fillId="8" borderId="9" xfId="0" applyNumberFormat="1" applyFont="1" applyFill="1" applyBorder="1"/>
    <xf numFmtId="0" fontId="1" fillId="8" borderId="9" xfId="0" applyFont="1" applyFill="1" applyBorder="1" applyAlignment="1">
      <alignment horizontal="right"/>
    </xf>
    <xf numFmtId="0" fontId="1" fillId="0" borderId="1" xfId="0" applyFont="1" applyBorder="1" applyAlignment="1">
      <alignment horizontal="center" vertical="center"/>
    </xf>
    <xf numFmtId="0" fontId="1" fillId="10" borderId="8" xfId="0" applyFont="1" applyFill="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9" xfId="0" applyNumberFormat="1" applyFont="1" applyBorder="1" applyAlignment="1">
      <alignment horizontal="center" vertical="center"/>
    </xf>
    <xf numFmtId="0" fontId="1" fillId="0" borderId="10" xfId="0" applyFont="1" applyBorder="1" applyAlignment="1">
      <alignment horizontal="center" vertical="center"/>
    </xf>
    <xf numFmtId="0" fontId="13" fillId="0" borderId="23" xfId="0" applyFont="1" applyFill="1" applyBorder="1" applyAlignment="1">
      <alignment horizontal="center" vertical="center"/>
    </xf>
    <xf numFmtId="0" fontId="13" fillId="0" borderId="9" xfId="0" applyFont="1" applyFill="1" applyBorder="1" applyAlignment="1">
      <alignment horizontal="center" vertical="center"/>
    </xf>
    <xf numFmtId="0" fontId="13" fillId="0" borderId="24" xfId="0" applyFont="1" applyFill="1" applyBorder="1" applyAlignment="1">
      <alignment horizontal="center" vertical="center"/>
    </xf>
    <xf numFmtId="0" fontId="13" fillId="0" borderId="25" xfId="0" applyFont="1" applyFill="1" applyBorder="1" applyAlignment="1">
      <alignment horizontal="center" vertical="center"/>
    </xf>
    <xf numFmtId="0" fontId="12" fillId="0" borderId="0" xfId="0" applyFont="1" applyFill="1" applyBorder="1" applyAlignment="1">
      <alignment vertical="center" wrapText="1"/>
    </xf>
    <xf numFmtId="0" fontId="12" fillId="0" borderId="0" xfId="0" applyFont="1" applyFill="1" applyBorder="1" applyAlignment="1">
      <alignment horizontal="center"/>
    </xf>
    <xf numFmtId="0" fontId="12" fillId="0" borderId="0" xfId="0" applyFont="1" applyFill="1" applyBorder="1" applyAlignment="1">
      <alignment horizontal="center" vertical="center"/>
    </xf>
    <xf numFmtId="0" fontId="13" fillId="0" borderId="8" xfId="0" applyFont="1" applyFill="1" applyBorder="1" applyAlignment="1">
      <alignment horizontal="right"/>
    </xf>
    <xf numFmtId="0" fontId="13" fillId="0" borderId="6" xfId="0" applyFont="1" applyFill="1" applyBorder="1" applyAlignment="1">
      <alignment horizontal="right"/>
    </xf>
    <xf numFmtId="0" fontId="13" fillId="3" borderId="13" xfId="0" applyFont="1" applyFill="1" applyBorder="1" applyAlignment="1">
      <alignment horizontal="center" vertical="center"/>
    </xf>
    <xf numFmtId="0" fontId="12" fillId="0" borderId="28" xfId="0" applyFont="1" applyFill="1" applyBorder="1" applyAlignment="1">
      <alignment horizontal="center" vertical="center"/>
    </xf>
    <xf numFmtId="0" fontId="12" fillId="0" borderId="40" xfId="0" applyFont="1" applyFill="1" applyBorder="1" applyAlignment="1">
      <alignment horizontal="center" vertical="center"/>
    </xf>
    <xf numFmtId="0" fontId="12" fillId="0" borderId="47" xfId="0" applyFont="1" applyFill="1" applyBorder="1" applyAlignment="1">
      <alignment horizontal="center" vertical="center"/>
    </xf>
    <xf numFmtId="0" fontId="12" fillId="0" borderId="38" xfId="0" applyFont="1" applyFill="1" applyBorder="1" applyAlignment="1">
      <alignment horizontal="center" vertical="center"/>
    </xf>
    <xf numFmtId="0" fontId="12" fillId="0" borderId="39" xfId="0" applyFont="1" applyFill="1" applyBorder="1" applyAlignment="1">
      <alignment horizontal="center" vertical="center"/>
    </xf>
    <xf numFmtId="11" fontId="12" fillId="0" borderId="40" xfId="0" applyNumberFormat="1" applyFont="1" applyFill="1" applyBorder="1" applyAlignment="1">
      <alignment horizontal="center" wrapText="1"/>
    </xf>
    <xf numFmtId="11" fontId="12" fillId="0" borderId="41" xfId="0" applyNumberFormat="1" applyFont="1" applyFill="1" applyBorder="1" applyAlignment="1">
      <alignment horizontal="center" wrapText="1"/>
    </xf>
    <xf numFmtId="11" fontId="12" fillId="0" borderId="41" xfId="0" applyNumberFormat="1" applyFont="1" applyFill="1" applyBorder="1" applyAlignment="1">
      <alignment horizontal="center" vertical="center"/>
    </xf>
    <xf numFmtId="0" fontId="12" fillId="2" borderId="8" xfId="0" applyFont="1" applyFill="1" applyBorder="1" applyAlignment="1">
      <alignment horizontal="center"/>
    </xf>
    <xf numFmtId="0" fontId="13" fillId="0" borderId="1" xfId="0" applyFont="1" applyFill="1" applyBorder="1" applyAlignment="1">
      <alignment horizontal="center" vertical="center" wrapText="1"/>
    </xf>
    <xf numFmtId="0" fontId="12" fillId="3" borderId="0" xfId="0" applyFont="1" applyFill="1" applyAlignment="1">
      <alignment vertical="center" wrapText="1"/>
    </xf>
    <xf numFmtId="0" fontId="12" fillId="3" borderId="0" xfId="0" applyFont="1" applyFill="1" applyBorder="1"/>
    <xf numFmtId="0" fontId="12" fillId="3" borderId="0" xfId="0" applyFont="1" applyFill="1"/>
    <xf numFmtId="0" fontId="12" fillId="3" borderId="0" xfId="0" applyFont="1" applyFill="1" applyBorder="1" applyAlignment="1">
      <alignment vertical="center" wrapText="1"/>
    </xf>
    <xf numFmtId="0" fontId="12" fillId="3" borderId="12" xfId="0" applyFont="1" applyFill="1" applyBorder="1"/>
    <xf numFmtId="0" fontId="12" fillId="3" borderId="5" xfId="0" applyFont="1" applyFill="1" applyBorder="1"/>
    <xf numFmtId="0" fontId="12" fillId="2" borderId="33" xfId="0" applyFont="1" applyFill="1" applyBorder="1" applyAlignment="1">
      <alignment horizontal="center"/>
    </xf>
    <xf numFmtId="0" fontId="12" fillId="2" borderId="12" xfId="0" applyFont="1" applyFill="1" applyBorder="1" applyAlignment="1">
      <alignment horizontal="center"/>
    </xf>
    <xf numFmtId="0" fontId="12" fillId="2" borderId="34" xfId="0" applyFont="1" applyFill="1" applyBorder="1" applyAlignment="1">
      <alignment horizontal="center"/>
    </xf>
    <xf numFmtId="0" fontId="12" fillId="2" borderId="35" xfId="0" applyFont="1" applyFill="1" applyBorder="1" applyAlignment="1">
      <alignment horizontal="center"/>
    </xf>
    <xf numFmtId="0" fontId="12" fillId="2" borderId="23" xfId="0" applyFont="1" applyFill="1" applyBorder="1" applyAlignment="1">
      <alignment horizontal="center"/>
    </xf>
    <xf numFmtId="0" fontId="12" fillId="2" borderId="24" xfId="0" applyFont="1" applyFill="1" applyBorder="1" applyAlignment="1">
      <alignment horizontal="center"/>
    </xf>
    <xf numFmtId="0" fontId="12" fillId="2" borderId="25" xfId="0" applyFont="1" applyFill="1" applyBorder="1" applyAlignment="1">
      <alignment horizontal="center"/>
    </xf>
    <xf numFmtId="0" fontId="12" fillId="0" borderId="26" xfId="0" applyFont="1" applyFill="1" applyBorder="1" applyAlignment="1">
      <alignment horizontal="center" vertical="center"/>
    </xf>
    <xf numFmtId="0" fontId="12" fillId="6" borderId="27" xfId="0" applyFont="1" applyFill="1" applyBorder="1" applyAlignment="1">
      <alignment horizontal="center" vertical="center"/>
    </xf>
    <xf numFmtId="0" fontId="12" fillId="0" borderId="27" xfId="0" applyFont="1" applyFill="1" applyBorder="1" applyAlignment="1">
      <alignment horizontal="center" vertical="center"/>
    </xf>
    <xf numFmtId="0" fontId="12" fillId="6" borderId="4" xfId="0" applyFont="1" applyFill="1" applyBorder="1" applyAlignment="1">
      <alignment horizontal="center" vertical="center"/>
    </xf>
    <xf numFmtId="0" fontId="12" fillId="0" borderId="15" xfId="0" applyFont="1" applyFill="1" applyBorder="1" applyAlignment="1">
      <alignment horizontal="center" vertical="center"/>
    </xf>
    <xf numFmtId="0" fontId="12" fillId="6" borderId="15" xfId="0" applyFont="1" applyFill="1" applyBorder="1" applyAlignment="1">
      <alignment horizontal="center" vertical="center"/>
    </xf>
    <xf numFmtId="0" fontId="12" fillId="0" borderId="16" xfId="0" applyFont="1" applyFill="1" applyBorder="1" applyAlignment="1">
      <alignment horizontal="center" vertical="center"/>
    </xf>
    <xf numFmtId="0" fontId="12" fillId="6" borderId="16" xfId="0" applyFont="1" applyFill="1" applyBorder="1" applyAlignment="1">
      <alignment horizontal="center" vertical="center"/>
    </xf>
    <xf numFmtId="0" fontId="12" fillId="6" borderId="18" xfId="0" applyFont="1" applyFill="1" applyBorder="1" applyAlignment="1">
      <alignment horizontal="center" vertical="center"/>
    </xf>
    <xf numFmtId="0" fontId="12" fillId="6" borderId="19" xfId="0" applyFont="1" applyFill="1" applyBorder="1" applyAlignment="1">
      <alignment horizontal="center" vertical="center"/>
    </xf>
    <xf numFmtId="0" fontId="12" fillId="0" borderId="49" xfId="0" applyFont="1" applyFill="1" applyBorder="1" applyAlignment="1">
      <alignment horizontal="center"/>
    </xf>
    <xf numFmtId="0" fontId="12" fillId="0" borderId="50" xfId="0" applyFont="1" applyFill="1" applyBorder="1" applyAlignment="1">
      <alignment horizontal="center"/>
    </xf>
    <xf numFmtId="0" fontId="12" fillId="0" borderId="50" xfId="0" applyFont="1" applyFill="1" applyBorder="1" applyAlignment="1">
      <alignment horizontal="center" vertical="center"/>
    </xf>
    <xf numFmtId="0" fontId="12" fillId="0" borderId="51" xfId="0" applyFont="1" applyFill="1" applyBorder="1" applyAlignment="1">
      <alignment horizontal="center" vertical="center"/>
    </xf>
    <xf numFmtId="0" fontId="13" fillId="3" borderId="1" xfId="0" applyFont="1" applyFill="1" applyBorder="1" applyAlignment="1">
      <alignment horizontal="right" vertical="center"/>
    </xf>
    <xf numFmtId="0" fontId="13" fillId="0" borderId="40" xfId="0" applyFont="1" applyFill="1" applyBorder="1" applyAlignment="1">
      <alignment horizontal="left" vertical="center"/>
    </xf>
    <xf numFmtId="0" fontId="13" fillId="0" borderId="41" xfId="0" applyFont="1" applyFill="1" applyBorder="1" applyAlignment="1">
      <alignment horizontal="left" vertical="center"/>
    </xf>
    <xf numFmtId="0" fontId="13" fillId="0" borderId="42" xfId="0" applyFont="1" applyFill="1" applyBorder="1" applyAlignment="1">
      <alignment horizontal="left" vertical="center"/>
    </xf>
    <xf numFmtId="0" fontId="13" fillId="3" borderId="0" xfId="0" applyFont="1" applyFill="1" applyBorder="1" applyAlignment="1"/>
    <xf numFmtId="9" fontId="0" fillId="3" borderId="0" xfId="0" applyNumberFormat="1" applyFill="1" applyBorder="1" applyAlignment="1">
      <alignment horizontal="right"/>
    </xf>
    <xf numFmtId="0" fontId="13" fillId="3" borderId="0" xfId="0" applyFont="1" applyFill="1" applyAlignment="1">
      <alignment horizontal="right"/>
    </xf>
    <xf numFmtId="0" fontId="1" fillId="3" borderId="26" xfId="0" applyFont="1" applyFill="1" applyBorder="1" applyAlignment="1">
      <alignment horizontal="right"/>
    </xf>
    <xf numFmtId="0" fontId="1" fillId="3" borderId="27" xfId="0" applyFont="1" applyFill="1" applyBorder="1" applyAlignment="1">
      <alignment horizontal="right"/>
    </xf>
    <xf numFmtId="0" fontId="1" fillId="3" borderId="28" xfId="0" applyFont="1" applyFill="1" applyBorder="1" applyAlignment="1">
      <alignment horizontal="right"/>
    </xf>
    <xf numFmtId="0" fontId="13" fillId="3" borderId="40" xfId="0" applyFont="1" applyFill="1" applyBorder="1" applyAlignment="1">
      <alignment horizontal="left" vertical="center"/>
    </xf>
    <xf numFmtId="0" fontId="13" fillId="3" borderId="41" xfId="0" applyFont="1" applyFill="1" applyBorder="1" applyAlignment="1">
      <alignment horizontal="left" vertical="center"/>
    </xf>
    <xf numFmtId="0" fontId="13" fillId="3" borderId="42" xfId="0" applyFont="1" applyFill="1" applyBorder="1" applyAlignment="1">
      <alignment horizontal="left" vertical="center"/>
    </xf>
    <xf numFmtId="0" fontId="0" fillId="3" borderId="16" xfId="0" applyFont="1" applyFill="1" applyBorder="1"/>
    <xf numFmtId="165" fontId="0" fillId="3" borderId="15" xfId="0" applyNumberFormat="1" applyFont="1" applyFill="1" applyBorder="1" applyAlignment="1">
      <alignment horizontal="right"/>
    </xf>
    <xf numFmtId="11" fontId="0" fillId="3" borderId="15" xfId="0" applyNumberFormat="1" applyFont="1" applyFill="1" applyBorder="1" applyAlignment="1">
      <alignment horizontal="right"/>
    </xf>
    <xf numFmtId="165" fontId="0" fillId="3" borderId="17" xfId="0" applyNumberFormat="1" applyFont="1" applyFill="1" applyBorder="1"/>
    <xf numFmtId="11" fontId="0" fillId="3" borderId="15" xfId="0" applyNumberFormat="1" applyFont="1" applyFill="1" applyBorder="1"/>
    <xf numFmtId="0" fontId="0" fillId="3" borderId="18" xfId="0" applyFont="1" applyFill="1" applyBorder="1"/>
    <xf numFmtId="165" fontId="0" fillId="3" borderId="19" xfId="0" applyNumberFormat="1" applyFont="1" applyFill="1" applyBorder="1" applyAlignment="1">
      <alignment horizontal="right"/>
    </xf>
    <xf numFmtId="165" fontId="0" fillId="3" borderId="20" xfId="0" applyNumberFormat="1" applyFont="1" applyFill="1" applyBorder="1"/>
    <xf numFmtId="0" fontId="0" fillId="3" borderId="0" xfId="0" applyFont="1" applyFill="1" applyBorder="1"/>
    <xf numFmtId="0" fontId="0" fillId="3" borderId="0" xfId="0" applyFont="1" applyFill="1"/>
    <xf numFmtId="0" fontId="0" fillId="3" borderId="0" xfId="0" applyFont="1" applyFill="1" applyAlignment="1">
      <alignment horizontal="right"/>
    </xf>
    <xf numFmtId="165" fontId="0" fillId="3" borderId="0" xfId="0" applyNumberFormat="1" applyFont="1" applyFill="1"/>
    <xf numFmtId="11" fontId="0" fillId="3" borderId="0" xfId="0" applyNumberFormat="1" applyFont="1" applyFill="1"/>
    <xf numFmtId="11" fontId="0" fillId="3" borderId="19" xfId="0" applyNumberFormat="1" applyFont="1" applyFill="1" applyBorder="1" applyAlignment="1">
      <alignment horizontal="right"/>
    </xf>
    <xf numFmtId="0" fontId="1" fillId="3" borderId="0" xfId="0" applyFont="1" applyFill="1" applyAlignment="1">
      <alignment horizontal="center"/>
    </xf>
    <xf numFmtId="0" fontId="8" fillId="0" borderId="0" xfId="1" applyFont="1" applyFill="1" applyBorder="1" applyAlignment="1">
      <alignment vertical="top"/>
    </xf>
    <xf numFmtId="0" fontId="12" fillId="11" borderId="0" xfId="0" applyFont="1" applyFill="1"/>
    <xf numFmtId="0" fontId="1" fillId="3" borderId="21" xfId="0" applyFont="1" applyFill="1" applyBorder="1" applyAlignment="1">
      <alignment horizontal="right"/>
    </xf>
    <xf numFmtId="0" fontId="1" fillId="3" borderId="22" xfId="0" applyFont="1" applyFill="1" applyBorder="1" applyAlignment="1">
      <alignment horizontal="right"/>
    </xf>
    <xf numFmtId="0" fontId="12" fillId="11" borderId="0" xfId="0" applyFont="1" applyFill="1" applyBorder="1" applyAlignment="1">
      <alignment vertical="center" wrapText="1"/>
    </xf>
    <xf numFmtId="0" fontId="12" fillId="11" borderId="0" xfId="0" applyFont="1" applyFill="1" applyBorder="1"/>
    <xf numFmtId="0" fontId="1" fillId="3" borderId="52" xfId="0" applyFont="1" applyFill="1" applyBorder="1" applyAlignment="1">
      <alignment horizontal="right"/>
    </xf>
    <xf numFmtId="0" fontId="0" fillId="3" borderId="53" xfId="0" applyFont="1" applyFill="1" applyBorder="1"/>
    <xf numFmtId="0" fontId="0" fillId="3" borderId="54" xfId="0" applyFont="1" applyFill="1" applyBorder="1"/>
    <xf numFmtId="0" fontId="12" fillId="12" borderId="0" xfId="0" applyFont="1" applyFill="1" applyBorder="1" applyAlignment="1">
      <alignment vertical="center" wrapText="1"/>
    </xf>
    <xf numFmtId="0" fontId="12" fillId="12" borderId="0" xfId="0" applyFont="1" applyFill="1" applyBorder="1" applyAlignment="1">
      <alignment horizontal="center" vertical="center"/>
    </xf>
    <xf numFmtId="0" fontId="12" fillId="12" borderId="0" xfId="0" applyFont="1" applyFill="1"/>
    <xf numFmtId="11" fontId="12" fillId="0" borderId="0" xfId="0" applyNumberFormat="1" applyFont="1" applyFill="1"/>
    <xf numFmtId="0" fontId="12" fillId="3" borderId="0" xfId="0" applyFont="1" applyFill="1" applyAlignment="1">
      <alignment horizontal="right"/>
    </xf>
    <xf numFmtId="0" fontId="12" fillId="0" borderId="21"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8" xfId="0" applyFont="1" applyFill="1" applyBorder="1" applyAlignment="1">
      <alignment horizontal="center" vertical="center"/>
    </xf>
    <xf numFmtId="0" fontId="12" fillId="3" borderId="6" xfId="0" applyFont="1" applyFill="1" applyBorder="1"/>
    <xf numFmtId="0" fontId="12" fillId="3" borderId="0" xfId="0" applyFont="1" applyFill="1" applyBorder="1" applyAlignment="1">
      <alignment horizontal="center" vertical="center"/>
    </xf>
    <xf numFmtId="0" fontId="12" fillId="0" borderId="37" xfId="0" applyFont="1" applyFill="1" applyBorder="1" applyAlignment="1">
      <alignment horizontal="center"/>
    </xf>
    <xf numFmtId="0" fontId="12" fillId="0" borderId="38" xfId="0" applyFont="1" applyFill="1" applyBorder="1" applyAlignment="1">
      <alignment horizontal="center"/>
    </xf>
    <xf numFmtId="0" fontId="12" fillId="0" borderId="29"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29" xfId="0" applyFont="1" applyFill="1" applyBorder="1" applyAlignment="1">
      <alignment horizontal="left" vertical="center"/>
    </xf>
    <xf numFmtId="0" fontId="12" fillId="3" borderId="21" xfId="0" applyFont="1" applyFill="1" applyBorder="1" applyAlignment="1">
      <alignment horizontal="center"/>
    </xf>
    <xf numFmtId="0" fontId="13" fillId="3" borderId="16" xfId="0" applyFont="1" applyFill="1" applyBorder="1" applyAlignment="1">
      <alignment horizontal="left" vertical="center"/>
    </xf>
    <xf numFmtId="0" fontId="12" fillId="3" borderId="15" xfId="0" applyFont="1" applyFill="1" applyBorder="1" applyAlignment="1">
      <alignment horizontal="center"/>
    </xf>
    <xf numFmtId="0" fontId="13" fillId="3" borderId="18" xfId="0" applyFont="1" applyFill="1" applyBorder="1" applyAlignment="1">
      <alignment horizontal="left" vertical="center"/>
    </xf>
    <xf numFmtId="0" fontId="12" fillId="3" borderId="19" xfId="0" applyFont="1" applyFill="1" applyBorder="1" applyAlignment="1">
      <alignment horizontal="center"/>
    </xf>
    <xf numFmtId="0" fontId="12" fillId="3" borderId="39" xfId="0" applyFont="1" applyFill="1" applyBorder="1" applyAlignment="1">
      <alignment horizontal="center"/>
    </xf>
    <xf numFmtId="0" fontId="12" fillId="3" borderId="18" xfId="0" applyFont="1" applyFill="1" applyBorder="1" applyAlignment="1">
      <alignment horizontal="center" vertical="center"/>
    </xf>
    <xf numFmtId="0" fontId="12" fillId="3" borderId="19" xfId="0" applyFont="1" applyFill="1" applyBorder="1" applyAlignment="1">
      <alignment horizontal="center" vertical="center"/>
    </xf>
    <xf numFmtId="0" fontId="12" fillId="3" borderId="20" xfId="0" applyFont="1" applyFill="1" applyBorder="1" applyAlignment="1">
      <alignment horizontal="center" vertical="center"/>
    </xf>
    <xf numFmtId="0" fontId="12" fillId="3" borderId="8" xfId="0" applyFont="1" applyFill="1" applyBorder="1" applyAlignment="1">
      <alignment horizontal="center" vertical="center"/>
    </xf>
    <xf numFmtId="0" fontId="12" fillId="3" borderId="10" xfId="0" applyFont="1" applyFill="1" applyBorder="1" applyAlignment="1">
      <alignment horizontal="center" vertical="center"/>
    </xf>
    <xf numFmtId="0" fontId="13" fillId="2" borderId="11" xfId="0" applyFont="1" applyFill="1" applyBorder="1" applyAlignment="1">
      <alignment horizontal="center" vertical="center"/>
    </xf>
    <xf numFmtId="0" fontId="13" fillId="3" borderId="0" xfId="0" applyFont="1" applyFill="1" applyBorder="1" applyAlignment="1">
      <alignment wrapText="1"/>
    </xf>
    <xf numFmtId="0" fontId="13" fillId="3" borderId="1" xfId="0" applyFont="1" applyFill="1" applyBorder="1" applyAlignment="1">
      <alignment wrapText="1"/>
    </xf>
    <xf numFmtId="0" fontId="12" fillId="0" borderId="0" xfId="0" applyFont="1"/>
    <xf numFmtId="0" fontId="12" fillId="3" borderId="56" xfId="0" applyFont="1" applyFill="1" applyBorder="1" applyAlignment="1">
      <alignment horizontal="right" vertical="center"/>
    </xf>
    <xf numFmtId="0" fontId="12" fillId="3" borderId="44" xfId="0" applyFont="1" applyFill="1" applyBorder="1" applyAlignment="1">
      <alignment horizontal="right" vertical="center"/>
    </xf>
    <xf numFmtId="0" fontId="12" fillId="3" borderId="45" xfId="0" applyFont="1" applyFill="1" applyBorder="1" applyAlignment="1">
      <alignment horizontal="right" vertical="center"/>
    </xf>
    <xf numFmtId="165" fontId="12" fillId="3" borderId="55" xfId="0" applyNumberFormat="1" applyFont="1" applyFill="1" applyBorder="1" applyAlignment="1">
      <alignment horizontal="right"/>
    </xf>
    <xf numFmtId="165" fontId="12" fillId="3" borderId="41" xfId="0" applyNumberFormat="1" applyFont="1" applyFill="1" applyBorder="1" applyAlignment="1">
      <alignment horizontal="right"/>
    </xf>
    <xf numFmtId="165" fontId="12" fillId="3" borderId="42" xfId="0" applyNumberFormat="1" applyFont="1" applyFill="1" applyBorder="1" applyAlignment="1">
      <alignment horizontal="right"/>
    </xf>
    <xf numFmtId="165" fontId="12" fillId="3" borderId="3" xfId="0" applyNumberFormat="1" applyFont="1" applyFill="1" applyBorder="1" applyAlignment="1">
      <alignment horizontal="right"/>
    </xf>
    <xf numFmtId="1" fontId="12" fillId="3" borderId="55" xfId="0" applyNumberFormat="1" applyFont="1" applyFill="1" applyBorder="1" applyAlignment="1">
      <alignment horizontal="right"/>
    </xf>
    <xf numFmtId="1" fontId="12" fillId="3" borderId="41" xfId="0" applyNumberFormat="1" applyFont="1" applyFill="1" applyBorder="1" applyAlignment="1">
      <alignment horizontal="right"/>
    </xf>
    <xf numFmtId="1" fontId="12" fillId="3" borderId="42" xfId="0" applyNumberFormat="1" applyFont="1" applyFill="1" applyBorder="1" applyAlignment="1">
      <alignment horizontal="right"/>
    </xf>
    <xf numFmtId="1" fontId="12" fillId="3" borderId="3" xfId="0" applyNumberFormat="1" applyFont="1" applyFill="1" applyBorder="1" applyAlignment="1">
      <alignment horizontal="right"/>
    </xf>
    <xf numFmtId="0" fontId="1" fillId="3" borderId="47" xfId="0" applyFont="1" applyFill="1" applyBorder="1" applyAlignment="1">
      <alignment horizontal="right"/>
    </xf>
    <xf numFmtId="11" fontId="0" fillId="3" borderId="38" xfId="0" applyNumberFormat="1" applyFont="1" applyFill="1" applyBorder="1" applyAlignment="1">
      <alignment horizontal="right"/>
    </xf>
    <xf numFmtId="11" fontId="0" fillId="3" borderId="39" xfId="0" applyNumberFormat="1" applyFont="1" applyFill="1" applyBorder="1" applyAlignment="1">
      <alignment horizontal="right"/>
    </xf>
    <xf numFmtId="0" fontId="1" fillId="3" borderId="43" xfId="0" applyFont="1" applyFill="1" applyBorder="1" applyAlignment="1">
      <alignment horizontal="right"/>
    </xf>
    <xf numFmtId="0" fontId="0" fillId="3" borderId="44" xfId="0" applyFont="1" applyFill="1" applyBorder="1"/>
    <xf numFmtId="0" fontId="0" fillId="3" borderId="45" xfId="0" applyFont="1" applyFill="1" applyBorder="1"/>
    <xf numFmtId="11" fontId="0" fillId="3" borderId="16" xfId="0" applyNumberFormat="1" applyFont="1" applyFill="1" applyBorder="1" applyAlignment="1">
      <alignment horizontal="right"/>
    </xf>
    <xf numFmtId="11" fontId="12" fillId="3" borderId="17" xfId="0" applyNumberFormat="1" applyFont="1" applyFill="1" applyBorder="1"/>
    <xf numFmtId="11" fontId="0" fillId="3" borderId="18" xfId="0" applyNumberFormat="1" applyFont="1" applyFill="1" applyBorder="1" applyAlignment="1">
      <alignment horizontal="right"/>
    </xf>
    <xf numFmtId="11" fontId="12" fillId="3" borderId="20" xfId="0" applyNumberFormat="1" applyFont="1" applyFill="1" applyBorder="1"/>
    <xf numFmtId="0" fontId="12" fillId="0" borderId="16" xfId="0" applyFont="1" applyFill="1" applyBorder="1" applyAlignment="1">
      <alignment horizontal="center"/>
    </xf>
    <xf numFmtId="0" fontId="12" fillId="0" borderId="17" xfId="0" applyFont="1" applyFill="1" applyBorder="1" applyAlignment="1">
      <alignment horizontal="center"/>
    </xf>
    <xf numFmtId="0" fontId="1" fillId="3" borderId="0" xfId="0" applyFont="1" applyFill="1" applyAlignment="1">
      <alignment horizontal="right"/>
    </xf>
    <xf numFmtId="0" fontId="10" fillId="0" borderId="0" xfId="1" applyFont="1" applyAlignment="1">
      <alignment horizontal="center"/>
    </xf>
    <xf numFmtId="0" fontId="13" fillId="0" borderId="26" xfId="0" applyFont="1" applyFill="1" applyBorder="1" applyAlignment="1">
      <alignment horizontal="center"/>
    </xf>
    <xf numFmtId="0" fontId="13" fillId="0" borderId="27" xfId="0" applyFont="1" applyFill="1" applyBorder="1" applyAlignment="1">
      <alignment horizontal="center"/>
    </xf>
    <xf numFmtId="0" fontId="13" fillId="0" borderId="28" xfId="0" applyFont="1" applyFill="1" applyBorder="1" applyAlignment="1">
      <alignment horizontal="center"/>
    </xf>
    <xf numFmtId="0" fontId="1" fillId="9" borderId="8" xfId="0" applyFont="1" applyFill="1" applyBorder="1" applyAlignment="1">
      <alignment horizontal="right"/>
    </xf>
    <xf numFmtId="0" fontId="1" fillId="9" borderId="9" xfId="0" applyFont="1" applyFill="1" applyBorder="1" applyAlignment="1">
      <alignment horizontal="right"/>
    </xf>
    <xf numFmtId="0" fontId="1" fillId="9" borderId="2" xfId="0"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48" xfId="0" applyBorder="1" applyAlignment="1">
      <alignment horizontal="center" vertical="center"/>
    </xf>
    <xf numFmtId="0" fontId="8" fillId="0" borderId="0" xfId="1" applyFont="1" applyBorder="1" applyAlignment="1">
      <alignment horizontal="center" vertical="top" wrapText="1"/>
    </xf>
    <xf numFmtId="0" fontId="1" fillId="3" borderId="26" xfId="0" applyFont="1" applyFill="1" applyBorder="1" applyAlignment="1">
      <alignment horizontal="center"/>
    </xf>
    <xf numFmtId="0" fontId="1" fillId="3" borderId="28" xfId="0" applyFont="1" applyFill="1" applyBorder="1" applyAlignment="1">
      <alignment horizontal="center"/>
    </xf>
    <xf numFmtId="0" fontId="12" fillId="0" borderId="0" xfId="0" applyFont="1" applyAlignment="1">
      <alignment horizontal="center" wrapText="1"/>
    </xf>
    <xf numFmtId="0" fontId="12" fillId="0" borderId="46" xfId="0" applyFont="1" applyFill="1" applyBorder="1" applyAlignment="1">
      <alignment horizontal="center" vertical="center" wrapText="1"/>
    </xf>
    <xf numFmtId="0" fontId="12" fillId="0" borderId="3"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9" xfId="0" applyFont="1" applyFill="1" applyBorder="1" applyAlignment="1">
      <alignment horizontal="center" vertical="center" wrapText="1"/>
    </xf>
    <xf numFmtId="0" fontId="0" fillId="0" borderId="41" xfId="0" applyBorder="1" applyAlignment="1">
      <alignment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13" fillId="0" borderId="46"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8" xfId="0" applyFont="1" applyFill="1" applyBorder="1" applyAlignment="1">
      <alignment horizontal="center"/>
    </xf>
    <xf numFmtId="0" fontId="13" fillId="0" borderId="9" xfId="0" applyFont="1" applyFill="1" applyBorder="1" applyAlignment="1">
      <alignment horizontal="center"/>
    </xf>
    <xf numFmtId="0" fontId="13" fillId="0" borderId="10" xfId="0" applyFont="1" applyFill="1" applyBorder="1" applyAlignment="1">
      <alignment horizontal="center"/>
    </xf>
    <xf numFmtId="0" fontId="12" fillId="0" borderId="11"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3" fillId="3" borderId="8" xfId="0" applyFont="1" applyFill="1" applyBorder="1" applyAlignment="1">
      <alignment horizontal="center"/>
    </xf>
    <xf numFmtId="0" fontId="13" fillId="3" borderId="9" xfId="0" applyFont="1" applyFill="1" applyBorder="1" applyAlignment="1">
      <alignment horizontal="center"/>
    </xf>
    <xf numFmtId="0" fontId="12" fillId="0" borderId="2" xfId="0" applyFont="1" applyFill="1" applyBorder="1" applyAlignment="1">
      <alignment horizontal="center" vertical="center" wrapText="1"/>
    </xf>
    <xf numFmtId="0" fontId="12" fillId="3" borderId="0" xfId="0" applyFont="1" applyFill="1" applyAlignment="1">
      <alignment horizontal="center" vertical="center" wrapText="1"/>
    </xf>
    <xf numFmtId="0" fontId="13" fillId="3" borderId="10" xfId="0" applyFont="1" applyFill="1" applyBorder="1" applyAlignment="1">
      <alignment horizontal="center"/>
    </xf>
    <xf numFmtId="166" fontId="12" fillId="3" borderId="48" xfId="0" applyNumberFormat="1" applyFont="1" applyFill="1" applyBorder="1" applyAlignment="1">
      <alignment horizontal="right"/>
    </xf>
  </cellXfs>
  <cellStyles count="3">
    <cellStyle name="Normal" xfId="0" builtinId="0"/>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609600</xdr:colOff>
      <xdr:row>37</xdr:row>
      <xdr:rowOff>87086</xdr:rowOff>
    </xdr:from>
    <xdr:to>
      <xdr:col>4</xdr:col>
      <xdr:colOff>760747</xdr:colOff>
      <xdr:row>61</xdr:row>
      <xdr:rowOff>21772</xdr:rowOff>
    </xdr:to>
    <xdr:pic>
      <xdr:nvPicPr>
        <xdr:cNvPr id="2" name="Image 1">
          <a:extLst>
            <a:ext uri="{FF2B5EF4-FFF2-40B4-BE49-F238E27FC236}">
              <a16:creationId xmlns:a16="http://schemas.microsoft.com/office/drawing/2014/main" id="{317BC609-46FE-4345-874B-ECE2C9E401D8}"/>
            </a:ext>
          </a:extLst>
        </xdr:cNvPr>
        <xdr:cNvPicPr>
          <a:picLocks noChangeAspect="1"/>
        </xdr:cNvPicPr>
      </xdr:nvPicPr>
      <xdr:blipFill>
        <a:blip xmlns:r="http://schemas.openxmlformats.org/officeDocument/2006/relationships" r:embed="rId1"/>
        <a:stretch>
          <a:fillRect/>
        </a:stretch>
      </xdr:blipFill>
      <xdr:spPr>
        <a:xfrm>
          <a:off x="609600" y="7108372"/>
          <a:ext cx="6105633" cy="4376057"/>
        </a:xfrm>
        <a:prstGeom prst="rect">
          <a:avLst/>
        </a:prstGeom>
      </xdr:spPr>
    </xdr:pic>
    <xdr:clientData/>
  </xdr:twoCellAnchor>
  <xdr:twoCellAnchor editAs="oneCell">
    <xdr:from>
      <xdr:col>9</xdr:col>
      <xdr:colOff>132261</xdr:colOff>
      <xdr:row>36</xdr:row>
      <xdr:rowOff>145324</xdr:rowOff>
    </xdr:from>
    <xdr:to>
      <xdr:col>14</xdr:col>
      <xdr:colOff>992994</xdr:colOff>
      <xdr:row>60</xdr:row>
      <xdr:rowOff>43544</xdr:rowOff>
    </xdr:to>
    <xdr:pic>
      <xdr:nvPicPr>
        <xdr:cNvPr id="3" name="Image 2">
          <a:extLst>
            <a:ext uri="{FF2B5EF4-FFF2-40B4-BE49-F238E27FC236}">
              <a16:creationId xmlns:a16="http://schemas.microsoft.com/office/drawing/2014/main" id="{4BC78C43-E7BE-4AA8-AF2A-CD6573A58AD2}"/>
            </a:ext>
          </a:extLst>
        </xdr:cNvPr>
        <xdr:cNvPicPr>
          <a:picLocks noChangeAspect="1"/>
        </xdr:cNvPicPr>
      </xdr:nvPicPr>
      <xdr:blipFill>
        <a:blip xmlns:r="http://schemas.openxmlformats.org/officeDocument/2006/relationships" r:embed="rId2"/>
        <a:stretch>
          <a:fillRect/>
        </a:stretch>
      </xdr:blipFill>
      <xdr:spPr>
        <a:xfrm>
          <a:off x="10451918" y="6981553"/>
          <a:ext cx="6008315" cy="4339591"/>
        </a:xfrm>
        <a:prstGeom prst="rect">
          <a:avLst/>
        </a:prstGeom>
      </xdr:spPr>
    </xdr:pic>
    <xdr:clientData/>
  </xdr:twoCellAnchor>
  <xdr:twoCellAnchor editAs="oneCell">
    <xdr:from>
      <xdr:col>8</xdr:col>
      <xdr:colOff>247648</xdr:colOff>
      <xdr:row>58</xdr:row>
      <xdr:rowOff>163288</xdr:rowOff>
    </xdr:from>
    <xdr:to>
      <xdr:col>14</xdr:col>
      <xdr:colOff>884707</xdr:colOff>
      <xdr:row>78</xdr:row>
      <xdr:rowOff>152401</xdr:rowOff>
    </xdr:to>
    <xdr:pic>
      <xdr:nvPicPr>
        <xdr:cNvPr id="4" name="Image 3">
          <a:extLst>
            <a:ext uri="{FF2B5EF4-FFF2-40B4-BE49-F238E27FC236}">
              <a16:creationId xmlns:a16="http://schemas.microsoft.com/office/drawing/2014/main" id="{E468C071-DB26-471B-A68D-F7346CAADC0C}"/>
            </a:ext>
          </a:extLst>
        </xdr:cNvPr>
        <xdr:cNvPicPr>
          <a:picLocks noChangeAspect="1"/>
        </xdr:cNvPicPr>
      </xdr:nvPicPr>
      <xdr:blipFill>
        <a:blip xmlns:r="http://schemas.openxmlformats.org/officeDocument/2006/relationships" r:embed="rId3"/>
        <a:stretch>
          <a:fillRect/>
        </a:stretch>
      </xdr:blipFill>
      <xdr:spPr>
        <a:xfrm>
          <a:off x="10262505" y="11070774"/>
          <a:ext cx="6079916" cy="3690256"/>
        </a:xfrm>
        <a:prstGeom prst="rect">
          <a:avLst/>
        </a:prstGeom>
      </xdr:spPr>
    </xdr:pic>
    <xdr:clientData/>
  </xdr:twoCellAnchor>
  <xdr:twoCellAnchor editAs="oneCell">
    <xdr:from>
      <xdr:col>4</xdr:col>
      <xdr:colOff>680359</xdr:colOff>
      <xdr:row>37</xdr:row>
      <xdr:rowOff>26127</xdr:rowOff>
    </xdr:from>
    <xdr:to>
      <xdr:col>9</xdr:col>
      <xdr:colOff>119744</xdr:colOff>
      <xdr:row>71</xdr:row>
      <xdr:rowOff>92801</xdr:rowOff>
    </xdr:to>
    <xdr:pic>
      <xdr:nvPicPr>
        <xdr:cNvPr id="5" name="Image 4">
          <a:extLst>
            <a:ext uri="{FF2B5EF4-FFF2-40B4-BE49-F238E27FC236}">
              <a16:creationId xmlns:a16="http://schemas.microsoft.com/office/drawing/2014/main" id="{AD6E9CEF-AF5A-49F0-B5FA-CF206238E70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634845" y="7047413"/>
          <a:ext cx="3804556" cy="63586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1216270</xdr:colOff>
      <xdr:row>0</xdr:row>
      <xdr:rowOff>0</xdr:rowOff>
    </xdr:from>
    <xdr:to>
      <xdr:col>20</xdr:col>
      <xdr:colOff>1276273</xdr:colOff>
      <xdr:row>40</xdr:row>
      <xdr:rowOff>25909</xdr:rowOff>
    </xdr:to>
    <xdr:pic>
      <xdr:nvPicPr>
        <xdr:cNvPr id="2" name="Image 1">
          <a:extLst>
            <a:ext uri="{FF2B5EF4-FFF2-40B4-BE49-F238E27FC236}">
              <a16:creationId xmlns:a16="http://schemas.microsoft.com/office/drawing/2014/main" id="{FC051E3C-7D31-4478-A37C-67F1964BEAEE}"/>
            </a:ext>
          </a:extLst>
        </xdr:cNvPr>
        <xdr:cNvPicPr>
          <a:picLocks noChangeAspect="1"/>
        </xdr:cNvPicPr>
      </xdr:nvPicPr>
      <xdr:blipFill>
        <a:blip xmlns:r="http://schemas.openxmlformats.org/officeDocument/2006/relationships" r:embed="rId1"/>
        <a:stretch>
          <a:fillRect/>
        </a:stretch>
      </xdr:blipFill>
      <xdr:spPr>
        <a:xfrm>
          <a:off x="11298116" y="0"/>
          <a:ext cx="11212166" cy="618623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16</xdr:col>
      <xdr:colOff>0</xdr:colOff>
      <xdr:row>30</xdr:row>
      <xdr:rowOff>47625</xdr:rowOff>
    </xdr:from>
    <xdr:to>
      <xdr:col>17</xdr:col>
      <xdr:colOff>6581775</xdr:colOff>
      <xdr:row>37</xdr:row>
      <xdr:rowOff>47625</xdr:rowOff>
    </xdr:to>
    <xdr:pic>
      <xdr:nvPicPr>
        <xdr:cNvPr id="3" name="Picture 2"/>
        <xdr:cNvPicPr/>
      </xdr:nvPicPr>
      <xdr:blipFill>
        <a:blip xmlns:r="http://schemas.openxmlformats.org/officeDocument/2006/relationships" r:embed="rId1"/>
        <a:stretch>
          <a:fillRect/>
        </a:stretch>
      </xdr:blipFill>
      <xdr:spPr>
        <a:xfrm>
          <a:off x="13230225" y="5553075"/>
          <a:ext cx="7981950" cy="1266825"/>
        </a:xfrm>
        <a:prstGeom prst="rect">
          <a:avLst/>
        </a:prstGeom>
      </xdr:spPr>
    </xdr:pic>
    <xdr:clientData/>
  </xdr:twoCellAnchor>
  <xdr:twoCellAnchor editAs="oneCell">
    <xdr:from>
      <xdr:col>16</xdr:col>
      <xdr:colOff>68140</xdr:colOff>
      <xdr:row>37</xdr:row>
      <xdr:rowOff>9525</xdr:rowOff>
    </xdr:from>
    <xdr:to>
      <xdr:col>17</xdr:col>
      <xdr:colOff>4657725</xdr:colOff>
      <xdr:row>54</xdr:row>
      <xdr:rowOff>139977</xdr:rowOff>
    </xdr:to>
    <xdr:pic>
      <xdr:nvPicPr>
        <xdr:cNvPr id="5" name="Picture 4"/>
        <xdr:cNvPicPr/>
      </xdr:nvPicPr>
      <xdr:blipFill>
        <a:blip xmlns:r="http://schemas.openxmlformats.org/officeDocument/2006/relationships" r:embed="rId2"/>
        <a:stretch>
          <a:fillRect/>
        </a:stretch>
      </xdr:blipFill>
      <xdr:spPr>
        <a:xfrm>
          <a:off x="13298365" y="6781800"/>
          <a:ext cx="5989760" cy="3257033"/>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G76"/>
  <sheetViews>
    <sheetView zoomScale="70" zoomScaleNormal="70" workbookViewId="0">
      <selection activeCell="G13" sqref="G13"/>
    </sheetView>
  </sheetViews>
  <sheetFormatPr defaultColWidth="11.42578125" defaultRowHeight="15" x14ac:dyDescent="0.25"/>
  <cols>
    <col min="2" max="2" width="22.85546875" style="1" customWidth="1"/>
    <col min="3" max="3" width="30.5703125" style="1" customWidth="1"/>
    <col min="4" max="4" width="21.85546875" customWidth="1"/>
    <col min="5" max="5" width="12.140625" style="2" bestFit="1" customWidth="1"/>
    <col min="6" max="6" width="17.28515625" style="3" bestFit="1" customWidth="1"/>
    <col min="7" max="7" width="14.28515625" bestFit="1" customWidth="1"/>
    <col min="8" max="8" width="15.5703125" customWidth="1"/>
    <col min="9" max="9" width="4.42578125" customWidth="1"/>
    <col min="10" max="10" width="12" bestFit="1" customWidth="1"/>
    <col min="11" max="11" width="13.28515625" bestFit="1" customWidth="1"/>
    <col min="12" max="12" width="9.28515625" customWidth="1"/>
    <col min="14" max="14" width="28.7109375" bestFit="1" customWidth="1"/>
    <col min="15" max="15" width="14.85546875" bestFit="1" customWidth="1"/>
    <col min="16" max="16" width="14.42578125" bestFit="1" customWidth="1"/>
    <col min="17" max="17" width="13.85546875" bestFit="1" customWidth="1"/>
    <col min="18" max="18" width="14" bestFit="1" customWidth="1"/>
    <col min="19" max="19" width="18.28515625" bestFit="1" customWidth="1"/>
    <col min="20" max="20" width="32.140625" bestFit="1" customWidth="1"/>
    <col min="21" max="21" width="21.140625" bestFit="1" customWidth="1"/>
  </cols>
  <sheetData>
    <row r="1" spans="2:33" ht="15.75" thickBot="1" x14ac:dyDescent="0.3"/>
    <row r="2" spans="2:33" x14ac:dyDescent="0.25">
      <c r="B2" s="4" t="s">
        <v>36</v>
      </c>
      <c r="C2" s="5">
        <f>9*$G$3*1000</f>
        <v>14484.06</v>
      </c>
      <c r="D2" s="6"/>
      <c r="E2" s="7"/>
      <c r="F2" s="5" t="s">
        <v>41</v>
      </c>
      <c r="G2" s="6">
        <v>0.30480000000000002</v>
      </c>
      <c r="H2" s="186" t="s">
        <v>19</v>
      </c>
      <c r="I2" s="355" t="s">
        <v>488</v>
      </c>
      <c r="J2" s="356"/>
      <c r="K2" s="356"/>
      <c r="L2" s="357"/>
      <c r="N2" s="25"/>
      <c r="O2" s="64" t="s">
        <v>35</v>
      </c>
      <c r="P2" s="26" t="s">
        <v>22</v>
      </c>
      <c r="Q2" s="26" t="s">
        <v>23</v>
      </c>
      <c r="R2" s="65" t="s">
        <v>75</v>
      </c>
      <c r="S2" s="26" t="s">
        <v>31</v>
      </c>
      <c r="T2" s="26" t="s">
        <v>34</v>
      </c>
      <c r="U2" s="26" t="s">
        <v>32</v>
      </c>
      <c r="V2" s="66" t="s">
        <v>72</v>
      </c>
      <c r="W2" s="67" t="s">
        <v>386</v>
      </c>
      <c r="Y2" s="100" t="s">
        <v>113</v>
      </c>
      <c r="Z2" s="346" t="s">
        <v>389</v>
      </c>
      <c r="AA2" s="347"/>
      <c r="AB2" s="347"/>
      <c r="AC2" s="347"/>
      <c r="AD2" s="347"/>
      <c r="AE2" s="347"/>
      <c r="AF2" s="347"/>
      <c r="AG2" s="348"/>
    </row>
    <row r="3" spans="2:33" ht="15.75" thickBot="1" x14ac:dyDescent="0.3">
      <c r="B3" s="8" t="s">
        <v>52</v>
      </c>
      <c r="C3" s="9">
        <f>3.5*$G$3*1000</f>
        <v>5632.6900000000005</v>
      </c>
      <c r="D3" s="10"/>
      <c r="E3" s="11"/>
      <c r="F3" s="9" t="s">
        <v>42</v>
      </c>
      <c r="G3" s="10">
        <v>1.60934</v>
      </c>
      <c r="H3" s="187" t="s">
        <v>20</v>
      </c>
      <c r="I3" s="358"/>
      <c r="J3" s="359"/>
      <c r="K3" s="359"/>
      <c r="L3" s="360"/>
      <c r="N3" s="27" t="s">
        <v>33</v>
      </c>
      <c r="O3" s="22"/>
      <c r="P3" s="23"/>
      <c r="Q3" s="23"/>
      <c r="R3" s="24"/>
      <c r="S3" s="23">
        <v>250</v>
      </c>
      <c r="T3" s="23">
        <f>330</f>
        <v>330</v>
      </c>
      <c r="U3" s="23"/>
      <c r="V3" s="58"/>
      <c r="W3" s="60"/>
      <c r="Y3" s="101"/>
      <c r="Z3" s="102" t="s">
        <v>33</v>
      </c>
      <c r="AA3" s="103" t="s">
        <v>24</v>
      </c>
      <c r="AB3" s="103" t="s">
        <v>25</v>
      </c>
      <c r="AC3" s="103" t="s">
        <v>26</v>
      </c>
      <c r="AD3" s="103" t="s">
        <v>27</v>
      </c>
      <c r="AE3" s="103" t="s">
        <v>28</v>
      </c>
      <c r="AF3" s="103" t="s">
        <v>29</v>
      </c>
      <c r="AG3" s="104" t="s">
        <v>30</v>
      </c>
    </row>
    <row r="4" spans="2:33" ht="15.75" thickBot="1" x14ac:dyDescent="0.3">
      <c r="B4" s="8" t="s">
        <v>53</v>
      </c>
      <c r="C4" s="9">
        <f>C2*C3</f>
        <v>81584219.921400011</v>
      </c>
      <c r="D4" s="10"/>
      <c r="E4" s="11"/>
      <c r="F4" s="13"/>
      <c r="G4" s="10"/>
      <c r="H4" s="12"/>
      <c r="I4" s="361"/>
      <c r="J4" s="362"/>
      <c r="K4" s="362"/>
      <c r="L4" s="363"/>
      <c r="N4" s="27" t="s">
        <v>24</v>
      </c>
      <c r="O4" s="22"/>
      <c r="P4" s="23"/>
      <c r="Q4" s="23"/>
      <c r="R4" s="24"/>
      <c r="S4" s="23">
        <f>460-S3</f>
        <v>210</v>
      </c>
      <c r="T4" s="23">
        <f>520-T3</f>
        <v>190</v>
      </c>
      <c r="U4" s="23"/>
      <c r="V4" s="58"/>
      <c r="W4" s="60"/>
      <c r="Y4" s="108" t="s">
        <v>31</v>
      </c>
      <c r="Z4" s="109">
        <v>250</v>
      </c>
      <c r="AA4" s="110">
        <f>460-Z4</f>
        <v>210</v>
      </c>
      <c r="AB4" s="110">
        <f>625-(AA4+Z4)</f>
        <v>165</v>
      </c>
      <c r="AC4" s="110">
        <f>800-(AB4+AA4+Z4)</f>
        <v>175</v>
      </c>
      <c r="AD4" s="110">
        <f>885-(AC4+AB4+AA4+Z4)</f>
        <v>85</v>
      </c>
      <c r="AE4" s="110">
        <v>492</v>
      </c>
      <c r="AF4" s="96" t="s">
        <v>67</v>
      </c>
      <c r="AG4" s="97"/>
    </row>
    <row r="5" spans="2:33" s="1" customFormat="1" ht="15.75" thickBot="1" x14ac:dyDescent="0.3">
      <c r="B5" s="201" t="s">
        <v>5</v>
      </c>
      <c r="C5" s="202" t="s">
        <v>43</v>
      </c>
      <c r="D5" s="203" t="s">
        <v>6</v>
      </c>
      <c r="E5" s="204" t="s">
        <v>7</v>
      </c>
      <c r="F5" s="205" t="s">
        <v>43</v>
      </c>
      <c r="G5" s="206" t="s">
        <v>18</v>
      </c>
      <c r="H5" s="206" t="s">
        <v>55</v>
      </c>
      <c r="I5" s="204" t="s">
        <v>8</v>
      </c>
      <c r="J5" s="204" t="s">
        <v>54</v>
      </c>
      <c r="K5" s="353" t="s">
        <v>16</v>
      </c>
      <c r="L5" s="354"/>
      <c r="N5" s="27" t="s">
        <v>25</v>
      </c>
      <c r="O5" s="22"/>
      <c r="P5" s="23"/>
      <c r="Q5" s="23"/>
      <c r="R5" s="24"/>
      <c r="S5" s="23">
        <f>625-(S4+S3)</f>
        <v>165</v>
      </c>
      <c r="T5" s="23">
        <f>790-SUM(T3:T4)</f>
        <v>270</v>
      </c>
      <c r="U5" s="23"/>
      <c r="V5" s="22"/>
      <c r="W5" s="61"/>
      <c r="Y5" s="71" t="s">
        <v>23</v>
      </c>
      <c r="Z5" s="90"/>
      <c r="AA5" s="69"/>
      <c r="AB5" s="69"/>
      <c r="AC5" s="69"/>
      <c r="AD5" s="69">
        <v>70</v>
      </c>
      <c r="AE5" s="69">
        <v>283</v>
      </c>
      <c r="AF5" s="69" t="s">
        <v>68</v>
      </c>
      <c r="AG5" s="72"/>
    </row>
    <row r="6" spans="2:33" x14ac:dyDescent="0.25">
      <c r="B6" s="351" t="s">
        <v>0</v>
      </c>
      <c r="C6" s="155" t="s">
        <v>486</v>
      </c>
      <c r="D6" s="156" t="s">
        <v>45</v>
      </c>
      <c r="E6" s="157">
        <v>0.35</v>
      </c>
      <c r="F6" s="158">
        <f>E6*$C$12</f>
        <v>7138619243.1225004</v>
      </c>
      <c r="G6" s="159">
        <v>0.89600000000000002</v>
      </c>
      <c r="H6" s="160">
        <v>2400</v>
      </c>
      <c r="I6" s="161" t="s">
        <v>10</v>
      </c>
      <c r="J6" s="163">
        <f>0.0000000034</f>
        <v>3.3999999999999998E-9</v>
      </c>
      <c r="K6" s="163">
        <v>9.19</v>
      </c>
      <c r="L6" s="159" t="s">
        <v>14</v>
      </c>
      <c r="N6" s="27" t="s">
        <v>26</v>
      </c>
      <c r="O6" s="22"/>
      <c r="P6" s="23"/>
      <c r="Q6" s="23"/>
      <c r="R6" s="24"/>
      <c r="S6" s="23">
        <f>800-(S5+S4+S3)</f>
        <v>175</v>
      </c>
      <c r="T6" s="23" t="s">
        <v>388</v>
      </c>
      <c r="U6" s="23"/>
      <c r="V6" s="58"/>
      <c r="W6" s="60">
        <v>215</v>
      </c>
      <c r="Y6" s="73" t="s">
        <v>75</v>
      </c>
      <c r="Z6" s="91"/>
      <c r="AA6" s="74"/>
      <c r="AB6" s="74"/>
      <c r="AC6" s="74"/>
      <c r="AD6" s="74"/>
      <c r="AE6" s="74">
        <v>479</v>
      </c>
      <c r="AF6" s="74" t="s">
        <v>69</v>
      </c>
      <c r="AG6" s="75"/>
    </row>
    <row r="7" spans="2:33" x14ac:dyDescent="0.25">
      <c r="B7" s="351"/>
      <c r="C7" s="155">
        <f>1500*$G$2</f>
        <v>457.20000000000005</v>
      </c>
      <c r="D7" s="156" t="s">
        <v>46</v>
      </c>
      <c r="E7" s="157">
        <v>0.6</v>
      </c>
      <c r="F7" s="158">
        <f>E7*$C$12</f>
        <v>12237632988.210001</v>
      </c>
      <c r="G7" s="159">
        <v>1.3919999999999999</v>
      </c>
      <c r="H7" s="160">
        <v>2400</v>
      </c>
      <c r="I7" s="161" t="s">
        <v>11</v>
      </c>
      <c r="J7" s="163">
        <f>0.000026368</f>
        <v>2.6367999999999999E-5</v>
      </c>
      <c r="K7" s="163">
        <v>8.9999999999999993E-3</v>
      </c>
      <c r="L7" s="159" t="s">
        <v>15</v>
      </c>
      <c r="N7" s="27" t="s">
        <v>27</v>
      </c>
      <c r="O7" s="22">
        <v>55</v>
      </c>
      <c r="P7" s="23">
        <v>50</v>
      </c>
      <c r="Q7" s="23">
        <v>70</v>
      </c>
      <c r="R7" s="24"/>
      <c r="S7" s="23">
        <f>885-(S6+S5+S4+S3)</f>
        <v>85</v>
      </c>
      <c r="T7" s="23"/>
      <c r="U7" s="23"/>
      <c r="V7" s="58"/>
      <c r="W7" s="60" t="s">
        <v>387</v>
      </c>
      <c r="Y7" s="68" t="s">
        <v>386</v>
      </c>
      <c r="Z7" s="90"/>
      <c r="AA7" s="69"/>
      <c r="AB7" s="76"/>
      <c r="AC7" s="69">
        <v>215</v>
      </c>
      <c r="AD7" s="69" t="s">
        <v>387</v>
      </c>
      <c r="AE7" s="69"/>
      <c r="AF7" s="69"/>
      <c r="AG7" s="72"/>
    </row>
    <row r="8" spans="2:33" x14ac:dyDescent="0.25">
      <c r="B8" s="351"/>
      <c r="C8" s="162"/>
      <c r="D8" s="156" t="s">
        <v>51</v>
      </c>
      <c r="E8" s="157">
        <v>0</v>
      </c>
      <c r="F8" s="158">
        <v>0</v>
      </c>
      <c r="G8" s="159">
        <v>2.0659999999999998</v>
      </c>
      <c r="H8" s="160">
        <v>2789</v>
      </c>
      <c r="I8" s="161" t="s">
        <v>12</v>
      </c>
      <c r="J8" s="163">
        <v>9.8313999999999994E-5</v>
      </c>
      <c r="K8" s="163">
        <v>0.22600000000000001</v>
      </c>
      <c r="L8" s="159" t="s">
        <v>15</v>
      </c>
      <c r="N8" s="27" t="s">
        <v>28</v>
      </c>
      <c r="O8" s="22">
        <v>481</v>
      </c>
      <c r="P8" s="23">
        <v>447</v>
      </c>
      <c r="Q8" s="23">
        <v>283</v>
      </c>
      <c r="R8" s="24">
        <v>479</v>
      </c>
      <c r="S8" s="23">
        <v>492</v>
      </c>
      <c r="T8" s="23"/>
      <c r="U8" s="23">
        <f>130-20</f>
        <v>110</v>
      </c>
      <c r="V8" s="59"/>
      <c r="W8" s="60"/>
      <c r="Y8" s="77" t="s">
        <v>35</v>
      </c>
      <c r="Z8" s="89"/>
      <c r="AA8" s="76"/>
      <c r="AB8" s="76"/>
      <c r="AC8" s="76"/>
      <c r="AD8" s="76">
        <v>55</v>
      </c>
      <c r="AE8" s="76">
        <v>481</v>
      </c>
      <c r="AF8" s="112" t="s">
        <v>70</v>
      </c>
      <c r="AG8" s="111">
        <f>1030-960</f>
        <v>70</v>
      </c>
    </row>
    <row r="9" spans="2:33" x14ac:dyDescent="0.25">
      <c r="B9" s="351"/>
      <c r="C9" s="162" t="s">
        <v>487</v>
      </c>
      <c r="D9" s="156" t="s">
        <v>47</v>
      </c>
      <c r="E9" s="157">
        <v>0.05</v>
      </c>
      <c r="F9" s="158">
        <f>E9*$C$12</f>
        <v>1019802749.0175002</v>
      </c>
      <c r="G9" s="159">
        <v>0.5</v>
      </c>
      <c r="H9" s="160">
        <v>1200</v>
      </c>
      <c r="I9" s="161" t="s">
        <v>60</v>
      </c>
      <c r="J9" s="163">
        <v>0.35830000000000001</v>
      </c>
      <c r="K9" s="163">
        <v>1.8</v>
      </c>
      <c r="L9" s="159" t="s">
        <v>15</v>
      </c>
      <c r="N9" s="27" t="s">
        <v>29</v>
      </c>
      <c r="O9" s="22" t="s">
        <v>70</v>
      </c>
      <c r="P9" s="23" t="s">
        <v>71</v>
      </c>
      <c r="Q9" s="23" t="s">
        <v>68</v>
      </c>
      <c r="R9" s="24" t="s">
        <v>69</v>
      </c>
      <c r="S9" s="23" t="s">
        <v>67</v>
      </c>
      <c r="T9" s="23"/>
      <c r="U9" s="23">
        <v>159</v>
      </c>
      <c r="V9" s="59" t="s">
        <v>73</v>
      </c>
      <c r="W9" s="60"/>
      <c r="Y9" s="71" t="s">
        <v>34</v>
      </c>
      <c r="Z9" s="90">
        <f>330</f>
        <v>330</v>
      </c>
      <c r="AA9" s="69">
        <f>520-Z9</f>
        <v>190</v>
      </c>
      <c r="AB9" s="69">
        <f>790-SUM(Z9:AA9)</f>
        <v>270</v>
      </c>
      <c r="AC9" s="69" t="s">
        <v>388</v>
      </c>
      <c r="AD9" s="69"/>
      <c r="AE9" s="69"/>
      <c r="AF9" s="69"/>
      <c r="AG9" s="72"/>
    </row>
    <row r="10" spans="2:33" ht="15.75" thickBot="1" x14ac:dyDescent="0.3">
      <c r="B10" s="180" t="s">
        <v>21</v>
      </c>
      <c r="C10" s="162">
        <f>S3</f>
        <v>250</v>
      </c>
      <c r="D10" s="156" t="s">
        <v>48</v>
      </c>
      <c r="E10" s="157">
        <v>0.01</v>
      </c>
      <c r="F10" s="158">
        <f>E10*$C$12</f>
        <v>203960549.80350003</v>
      </c>
      <c r="G10" s="159">
        <v>0.7</v>
      </c>
      <c r="H10" s="160">
        <v>2650</v>
      </c>
      <c r="I10" s="161" t="s">
        <v>59</v>
      </c>
      <c r="J10" s="163">
        <v>3.6499999999999998E-2</v>
      </c>
      <c r="K10" s="163">
        <v>1220</v>
      </c>
      <c r="L10" s="159" t="s">
        <v>15</v>
      </c>
      <c r="N10" s="28" t="s">
        <v>30</v>
      </c>
      <c r="O10" s="29">
        <f>1030-960</f>
        <v>70</v>
      </c>
      <c r="P10" s="30"/>
      <c r="Q10" s="30"/>
      <c r="R10" s="31"/>
      <c r="S10" s="30"/>
      <c r="T10" s="30"/>
      <c r="U10" s="30"/>
      <c r="V10" s="62"/>
      <c r="W10" s="63"/>
      <c r="Y10" s="71" t="s">
        <v>32</v>
      </c>
      <c r="Z10" s="90"/>
      <c r="AA10" s="69"/>
      <c r="AB10" s="69"/>
      <c r="AC10" s="69"/>
      <c r="AD10" s="69"/>
      <c r="AE10" s="69">
        <f>130-20</f>
        <v>110</v>
      </c>
      <c r="AF10" s="69">
        <v>159</v>
      </c>
      <c r="AG10" s="72"/>
    </row>
    <row r="11" spans="2:33" ht="15.75" thickBot="1" x14ac:dyDescent="0.3">
      <c r="B11" s="180"/>
      <c r="C11" s="162"/>
      <c r="D11" s="156"/>
      <c r="E11" s="164"/>
      <c r="F11" s="158"/>
      <c r="G11" s="159"/>
      <c r="H11" s="160"/>
      <c r="I11" s="161" t="s">
        <v>62</v>
      </c>
      <c r="J11" s="163"/>
      <c r="K11" s="163">
        <v>23.6</v>
      </c>
      <c r="L11" s="159" t="s">
        <v>14</v>
      </c>
      <c r="N11" s="345" t="s">
        <v>74</v>
      </c>
      <c r="O11" s="345"/>
      <c r="P11" s="345"/>
      <c r="Q11" s="345"/>
      <c r="R11" s="345"/>
      <c r="S11" s="345"/>
      <c r="T11" s="345"/>
      <c r="U11" s="345"/>
      <c r="Y11" s="71" t="s">
        <v>22</v>
      </c>
      <c r="Z11" s="90"/>
      <c r="AA11" s="69"/>
      <c r="AB11" s="69"/>
      <c r="AC11" s="69"/>
      <c r="AD11" s="69">
        <v>50</v>
      </c>
      <c r="AE11" s="69">
        <v>447</v>
      </c>
      <c r="AF11" s="69" t="s">
        <v>71</v>
      </c>
      <c r="AG11" s="72"/>
    </row>
    <row r="12" spans="2:33" ht="15.75" thickBot="1" x14ac:dyDescent="0.3">
      <c r="B12" s="181"/>
      <c r="C12" s="185">
        <f>$C$4*C10</f>
        <v>20396054980.350002</v>
      </c>
      <c r="D12" s="194" t="s">
        <v>457</v>
      </c>
      <c r="E12" s="195">
        <f>E6*G6+E7*G7+E8*G8+E9*G9+E10*G10</f>
        <v>1.1807999999999998</v>
      </c>
      <c r="F12" s="196" t="s">
        <v>458</v>
      </c>
      <c r="G12" s="197">
        <f>(F6*G6+G7*F7+F8*G8+G9*F9+G10*F10)/1000000</f>
        <v>24083.661720797278</v>
      </c>
      <c r="H12" s="173"/>
      <c r="I12" s="175" t="s">
        <v>17</v>
      </c>
      <c r="J12" s="175"/>
      <c r="K12" s="183">
        <f>0.0001*H6*(9.52*K8+2.56*K7+3.48*K6)</f>
        <v>8.1973824000000004</v>
      </c>
      <c r="L12" s="176" t="s">
        <v>57</v>
      </c>
      <c r="Y12" s="84" t="s">
        <v>72</v>
      </c>
      <c r="Z12" s="92"/>
      <c r="AA12" s="86"/>
      <c r="AB12" s="78"/>
      <c r="AC12" s="86"/>
      <c r="AD12" s="86"/>
      <c r="AE12" s="86"/>
      <c r="AF12" s="86" t="s">
        <v>73</v>
      </c>
      <c r="AG12" s="93"/>
    </row>
    <row r="13" spans="2:33" ht="15.75" thickBot="1" x14ac:dyDescent="0.3">
      <c r="B13" s="351" t="s">
        <v>1</v>
      </c>
      <c r="C13" s="162"/>
      <c r="D13" s="156" t="s">
        <v>45</v>
      </c>
      <c r="E13" s="157">
        <v>0.9</v>
      </c>
      <c r="F13" s="158">
        <f>E13*$C$18</f>
        <v>15419417565.144602</v>
      </c>
      <c r="G13" s="159">
        <v>0.89600000000000002</v>
      </c>
      <c r="H13" s="160">
        <v>2400</v>
      </c>
      <c r="I13" s="161"/>
      <c r="J13" s="161"/>
      <c r="K13" s="161"/>
      <c r="L13" s="159"/>
      <c r="O13" t="s">
        <v>64</v>
      </c>
    </row>
    <row r="14" spans="2:33" x14ac:dyDescent="0.25">
      <c r="B14" s="351"/>
      <c r="C14" s="162"/>
      <c r="D14" s="156" t="s">
        <v>46</v>
      </c>
      <c r="E14" s="157">
        <v>0.1</v>
      </c>
      <c r="F14" s="158">
        <f>E14*$C$18</f>
        <v>1713268618.3494003</v>
      </c>
      <c r="G14" s="159">
        <v>1.3919999999999999</v>
      </c>
      <c r="H14" s="160">
        <v>2400</v>
      </c>
      <c r="I14" s="161"/>
      <c r="J14" s="161"/>
      <c r="K14" s="161"/>
      <c r="L14" s="159"/>
      <c r="N14" s="33" t="s">
        <v>76</v>
      </c>
      <c r="O14" s="34" t="s">
        <v>77</v>
      </c>
      <c r="P14" s="34" t="s">
        <v>78</v>
      </c>
      <c r="Q14" s="34" t="s">
        <v>79</v>
      </c>
      <c r="R14" s="34" t="s">
        <v>80</v>
      </c>
      <c r="S14" s="34" t="s">
        <v>81</v>
      </c>
      <c r="T14" s="34" t="s">
        <v>82</v>
      </c>
      <c r="U14" s="34" t="s">
        <v>83</v>
      </c>
      <c r="V14" s="34" t="s">
        <v>84</v>
      </c>
      <c r="W14" s="34" t="s">
        <v>85</v>
      </c>
      <c r="X14" s="34" t="s">
        <v>86</v>
      </c>
      <c r="Y14" s="34" t="s">
        <v>87</v>
      </c>
      <c r="Z14" s="34" t="s">
        <v>88</v>
      </c>
      <c r="AA14" s="35" t="s">
        <v>89</v>
      </c>
    </row>
    <row r="15" spans="2:33" x14ac:dyDescent="0.25">
      <c r="B15" s="351"/>
      <c r="C15" s="162"/>
      <c r="D15" s="156" t="s">
        <v>51</v>
      </c>
      <c r="E15" s="157">
        <v>0</v>
      </c>
      <c r="F15" s="167">
        <f>E15*$C$18</f>
        <v>0</v>
      </c>
      <c r="G15" s="159">
        <v>2.0659999999999998</v>
      </c>
      <c r="H15" s="160">
        <v>2789</v>
      </c>
      <c r="I15" s="161"/>
      <c r="J15" s="161"/>
      <c r="K15" s="161"/>
      <c r="L15" s="159"/>
      <c r="N15" s="36" t="s">
        <v>90</v>
      </c>
      <c r="O15" s="32">
        <v>110</v>
      </c>
      <c r="P15" s="32" t="s">
        <v>91</v>
      </c>
      <c r="Q15" s="32" t="s">
        <v>92</v>
      </c>
      <c r="R15" s="32">
        <v>36.5</v>
      </c>
      <c r="S15" s="32"/>
      <c r="T15" s="32" t="s">
        <v>93</v>
      </c>
      <c r="U15" s="32">
        <v>35.799999999999997</v>
      </c>
      <c r="V15" s="32">
        <v>11.6</v>
      </c>
      <c r="W15" s="32"/>
      <c r="X15" s="32"/>
      <c r="Y15" s="32">
        <v>4.5999999999999996</v>
      </c>
      <c r="Z15" s="32">
        <v>9.4</v>
      </c>
      <c r="AA15" s="37">
        <v>1.8</v>
      </c>
    </row>
    <row r="16" spans="2:33" x14ac:dyDescent="0.25">
      <c r="B16" s="351"/>
      <c r="C16" s="162" t="s">
        <v>487</v>
      </c>
      <c r="D16" s="156" t="s">
        <v>47</v>
      </c>
      <c r="E16" s="157">
        <v>0</v>
      </c>
      <c r="F16" s="167">
        <v>0</v>
      </c>
      <c r="G16" s="159">
        <v>0.5</v>
      </c>
      <c r="H16" s="160">
        <v>1200</v>
      </c>
      <c r="I16" s="161"/>
      <c r="J16" s="161"/>
      <c r="K16" s="161"/>
      <c r="L16" s="159"/>
      <c r="N16" s="36" t="s">
        <v>94</v>
      </c>
      <c r="O16" s="32">
        <v>2836.5</v>
      </c>
      <c r="P16" s="32" t="s">
        <v>95</v>
      </c>
      <c r="Q16" s="32" t="s">
        <v>96</v>
      </c>
      <c r="R16" s="32">
        <v>24.8</v>
      </c>
      <c r="S16" s="32"/>
      <c r="T16" s="32"/>
      <c r="U16" s="32">
        <v>46.6</v>
      </c>
      <c r="V16" s="32">
        <v>10.199999999999999</v>
      </c>
      <c r="W16" s="32">
        <v>2</v>
      </c>
      <c r="X16" s="32"/>
      <c r="Y16" s="32"/>
      <c r="Z16" s="32">
        <v>16.399999999999999</v>
      </c>
      <c r="AA16" s="37"/>
    </row>
    <row r="17" spans="2:27" ht="15.75" thickBot="1" x14ac:dyDescent="0.3">
      <c r="B17" s="180" t="s">
        <v>21</v>
      </c>
      <c r="C17" s="162">
        <f>S4</f>
        <v>210</v>
      </c>
      <c r="D17" s="156" t="s">
        <v>48</v>
      </c>
      <c r="E17" s="157">
        <v>0</v>
      </c>
      <c r="F17" s="167">
        <v>0</v>
      </c>
      <c r="G17" s="159">
        <v>0.7</v>
      </c>
      <c r="H17" s="160">
        <v>2650</v>
      </c>
      <c r="I17" s="161"/>
      <c r="J17" s="161"/>
      <c r="K17" s="161"/>
      <c r="L17" s="159"/>
      <c r="N17" s="36"/>
      <c r="O17" s="32">
        <v>3036.75</v>
      </c>
      <c r="P17" s="32" t="s">
        <v>97</v>
      </c>
      <c r="Q17" s="32"/>
      <c r="R17" s="32">
        <v>23.4</v>
      </c>
      <c r="S17" s="32"/>
      <c r="T17" s="32"/>
      <c r="U17" s="32">
        <v>39.5</v>
      </c>
      <c r="V17" s="32">
        <v>27.7</v>
      </c>
      <c r="W17" s="32">
        <v>1</v>
      </c>
      <c r="X17" s="32"/>
      <c r="Y17" s="32"/>
      <c r="Z17" s="32">
        <v>8.6999999999999993</v>
      </c>
      <c r="AA17" s="37"/>
    </row>
    <row r="18" spans="2:27" ht="15.75" thickBot="1" x14ac:dyDescent="0.3">
      <c r="B18" s="181"/>
      <c r="C18" s="185">
        <f>$C$4*C17</f>
        <v>17132686183.494001</v>
      </c>
      <c r="D18" s="198" t="s">
        <v>457</v>
      </c>
      <c r="E18" s="195">
        <f>E13*G13+E14*G14+E15*G15+E16*G16</f>
        <v>0.9456</v>
      </c>
      <c r="F18" s="196" t="s">
        <v>458</v>
      </c>
      <c r="G18" s="197">
        <f>(F13*G13+G14*F14+F15*G15+G16*F16+G17*F17)/1000000</f>
        <v>16200.66805511193</v>
      </c>
      <c r="H18" s="173"/>
      <c r="I18" s="175" t="s">
        <v>17</v>
      </c>
      <c r="J18" s="175"/>
      <c r="K18" s="175"/>
      <c r="L18" s="176"/>
      <c r="N18" s="36"/>
      <c r="O18" s="32">
        <v>3066</v>
      </c>
      <c r="P18" s="32" t="s">
        <v>98</v>
      </c>
      <c r="Q18" s="32"/>
      <c r="R18" s="32">
        <v>10.9</v>
      </c>
      <c r="S18" s="32"/>
      <c r="T18" s="32"/>
      <c r="U18" s="32">
        <v>42.5</v>
      </c>
      <c r="V18" s="32">
        <v>28.5</v>
      </c>
      <c r="W18" s="32">
        <v>3.6</v>
      </c>
      <c r="X18" s="32"/>
      <c r="Y18" s="32"/>
      <c r="Z18" s="32">
        <v>14.5</v>
      </c>
      <c r="AA18" s="37"/>
    </row>
    <row r="19" spans="2:27" x14ac:dyDescent="0.25">
      <c r="B19" s="351" t="s">
        <v>4</v>
      </c>
      <c r="C19" s="155" t="s">
        <v>37</v>
      </c>
      <c r="D19" s="156" t="s">
        <v>45</v>
      </c>
      <c r="E19" s="157">
        <v>0.35</v>
      </c>
      <c r="F19" s="158">
        <f>E19*$C$25</f>
        <v>12135652713.30825</v>
      </c>
      <c r="G19" s="159">
        <v>0.89600000000000002</v>
      </c>
      <c r="H19" s="160">
        <v>2400</v>
      </c>
      <c r="I19" s="161" t="s">
        <v>10</v>
      </c>
      <c r="J19" s="163">
        <v>3.3999999999999998E-9</v>
      </c>
      <c r="K19" s="163">
        <v>3.08</v>
      </c>
      <c r="L19" s="159" t="s">
        <v>14</v>
      </c>
      <c r="N19" s="36" t="s">
        <v>99</v>
      </c>
      <c r="O19" s="32">
        <v>3708</v>
      </c>
      <c r="P19" s="32" t="s">
        <v>100</v>
      </c>
      <c r="Q19" s="32" t="s">
        <v>92</v>
      </c>
      <c r="R19" s="32">
        <v>38.5</v>
      </c>
      <c r="S19" s="32"/>
      <c r="T19" s="32"/>
      <c r="U19" s="32">
        <v>44.2</v>
      </c>
      <c r="V19" s="32">
        <v>17.3</v>
      </c>
      <c r="W19" s="32"/>
      <c r="X19" s="32"/>
      <c r="Y19" s="32"/>
      <c r="Z19" s="32"/>
      <c r="AA19" s="37"/>
    </row>
    <row r="20" spans="2:27" x14ac:dyDescent="0.25">
      <c r="B20" s="351"/>
      <c r="C20" s="162">
        <f>S5</f>
        <v>165</v>
      </c>
      <c r="D20" s="156" t="s">
        <v>46</v>
      </c>
      <c r="E20" s="157">
        <v>0.4</v>
      </c>
      <c r="F20" s="158">
        <f>E20*$C$25</f>
        <v>13869317386.638</v>
      </c>
      <c r="G20" s="159">
        <v>1.3919999999999999</v>
      </c>
      <c r="H20" s="160">
        <v>2400</v>
      </c>
      <c r="I20" s="161" t="s">
        <v>11</v>
      </c>
      <c r="J20" s="163">
        <v>2.6367999999999999E-5</v>
      </c>
      <c r="K20" s="163">
        <v>2.2799999999999999E-3</v>
      </c>
      <c r="L20" s="159" t="s">
        <v>15</v>
      </c>
      <c r="N20" s="36"/>
      <c r="O20" s="32">
        <v>3760</v>
      </c>
      <c r="P20" s="32" t="s">
        <v>101</v>
      </c>
      <c r="Q20" s="32"/>
      <c r="R20" s="32">
        <v>52.8</v>
      </c>
      <c r="S20" s="32"/>
      <c r="T20" s="32"/>
      <c r="U20" s="32">
        <v>32.4</v>
      </c>
      <c r="V20" s="32">
        <v>14.8</v>
      </c>
      <c r="W20" s="32"/>
      <c r="X20" s="32"/>
      <c r="Y20" s="32"/>
      <c r="Z20" s="32"/>
      <c r="AA20" s="37"/>
    </row>
    <row r="21" spans="2:27" x14ac:dyDescent="0.25">
      <c r="B21" s="182" t="s">
        <v>2</v>
      </c>
      <c r="C21" s="155" t="s">
        <v>38</v>
      </c>
      <c r="D21" s="156" t="s">
        <v>51</v>
      </c>
      <c r="E21" s="157">
        <v>0.2</v>
      </c>
      <c r="F21" s="158">
        <f>E21*$C$25</f>
        <v>6934658693.3190002</v>
      </c>
      <c r="G21" s="159">
        <v>2.0659999999999998</v>
      </c>
      <c r="H21" s="160">
        <v>2789</v>
      </c>
      <c r="I21" s="161" t="s">
        <v>12</v>
      </c>
      <c r="J21" s="163">
        <v>9.8313999999999994E-5</v>
      </c>
      <c r="K21" s="163">
        <v>0.04</v>
      </c>
      <c r="L21" s="159" t="s">
        <v>15</v>
      </c>
      <c r="N21" s="36" t="s">
        <v>102</v>
      </c>
      <c r="O21" s="32">
        <v>1429</v>
      </c>
      <c r="P21" s="32" t="s">
        <v>103</v>
      </c>
      <c r="Q21" s="32" t="s">
        <v>104</v>
      </c>
      <c r="R21" s="32">
        <v>3702</v>
      </c>
      <c r="S21" s="32"/>
      <c r="T21" s="32" t="s">
        <v>93</v>
      </c>
      <c r="U21" s="32">
        <v>40.6</v>
      </c>
      <c r="V21" s="32">
        <v>17.3</v>
      </c>
      <c r="W21" s="32">
        <v>2.9</v>
      </c>
      <c r="X21" s="32"/>
      <c r="Y21" s="32"/>
      <c r="Z21" s="32">
        <v>1.8</v>
      </c>
      <c r="AA21" s="37"/>
    </row>
    <row r="22" spans="2:27" x14ac:dyDescent="0.25">
      <c r="B22" s="351" t="s">
        <v>3</v>
      </c>
      <c r="C22" s="162">
        <f>S6</f>
        <v>175</v>
      </c>
      <c r="D22" s="156" t="s">
        <v>47</v>
      </c>
      <c r="E22" s="157">
        <v>0.05</v>
      </c>
      <c r="F22" s="158">
        <f>E22*$C$25</f>
        <v>1733664673.3297501</v>
      </c>
      <c r="G22" s="159">
        <v>0.5</v>
      </c>
      <c r="H22" s="160">
        <v>1200</v>
      </c>
      <c r="I22" s="161" t="s">
        <v>60</v>
      </c>
      <c r="J22" s="163">
        <v>0.35830000000000001</v>
      </c>
      <c r="K22" s="163">
        <v>4</v>
      </c>
      <c r="L22" s="159" t="s">
        <v>15</v>
      </c>
      <c r="N22" s="36"/>
      <c r="O22" s="32">
        <v>1908</v>
      </c>
      <c r="P22" s="32" t="s">
        <v>105</v>
      </c>
      <c r="Q22" s="32"/>
      <c r="R22" s="32">
        <v>52.1</v>
      </c>
      <c r="S22" s="32"/>
      <c r="T22" s="32" t="s">
        <v>93</v>
      </c>
      <c r="U22" s="32">
        <v>34</v>
      </c>
      <c r="V22" s="32">
        <v>6.9</v>
      </c>
      <c r="W22" s="32"/>
      <c r="X22" s="32">
        <v>2.2000000000000002</v>
      </c>
      <c r="Y22" s="32"/>
      <c r="Z22" s="32">
        <v>2.6</v>
      </c>
      <c r="AA22" s="37"/>
    </row>
    <row r="23" spans="2:27" x14ac:dyDescent="0.25">
      <c r="B23" s="351"/>
      <c r="C23" s="162">
        <f>S7</f>
        <v>85</v>
      </c>
      <c r="D23" s="156" t="s">
        <v>48</v>
      </c>
      <c r="E23" s="157">
        <v>0</v>
      </c>
      <c r="F23" s="167">
        <v>0</v>
      </c>
      <c r="G23" s="159">
        <v>0.7</v>
      </c>
      <c r="H23" s="160">
        <v>2650</v>
      </c>
      <c r="I23" s="161" t="s">
        <v>59</v>
      </c>
      <c r="J23" s="163">
        <v>3.6499999999999998E-2</v>
      </c>
      <c r="K23" s="163">
        <v>322</v>
      </c>
      <c r="L23" s="159" t="s">
        <v>15</v>
      </c>
      <c r="N23" s="36" t="s">
        <v>106</v>
      </c>
      <c r="O23" s="32">
        <v>800</v>
      </c>
      <c r="P23" s="32" t="s">
        <v>107</v>
      </c>
      <c r="Q23" s="32" t="s">
        <v>108</v>
      </c>
      <c r="R23" s="32">
        <v>27.4</v>
      </c>
      <c r="S23" s="32">
        <v>2.2000000000000002</v>
      </c>
      <c r="T23" s="32"/>
      <c r="U23" s="32">
        <v>54.1</v>
      </c>
      <c r="V23" s="32">
        <v>8</v>
      </c>
      <c r="W23" s="32">
        <v>8.1</v>
      </c>
      <c r="X23" s="32" t="s">
        <v>93</v>
      </c>
      <c r="Y23" s="32"/>
      <c r="Z23" s="32"/>
      <c r="AA23" s="37"/>
    </row>
    <row r="24" spans="2:27" ht="15.75" thickBot="1" x14ac:dyDescent="0.3">
      <c r="B24" s="351"/>
      <c r="C24" s="188"/>
      <c r="D24" s="156"/>
      <c r="E24" s="164"/>
      <c r="F24" s="167"/>
      <c r="G24" s="159"/>
      <c r="H24" s="159"/>
      <c r="I24" s="161" t="s">
        <v>63</v>
      </c>
      <c r="J24" s="163"/>
      <c r="K24" s="163">
        <v>48.5</v>
      </c>
      <c r="L24" s="159" t="s">
        <v>14</v>
      </c>
      <c r="N24" s="36"/>
      <c r="O24" s="32">
        <v>1550</v>
      </c>
      <c r="P24" s="32" t="s">
        <v>109</v>
      </c>
      <c r="Q24" s="32"/>
      <c r="R24" s="32">
        <v>32.6</v>
      </c>
      <c r="S24" s="32"/>
      <c r="T24" s="32"/>
      <c r="U24" s="32">
        <v>55.6</v>
      </c>
      <c r="V24" s="32">
        <v>8.6999999999999993</v>
      </c>
      <c r="W24" s="32">
        <v>2.9</v>
      </c>
      <c r="X24" s="32"/>
      <c r="Y24" s="32"/>
      <c r="Z24" s="32"/>
      <c r="AA24" s="37"/>
    </row>
    <row r="25" spans="2:27" ht="15.75" thickBot="1" x14ac:dyDescent="0.3">
      <c r="B25" s="181"/>
      <c r="C25" s="185">
        <f>C4*(C20+C22+C23)</f>
        <v>34673293466.595001</v>
      </c>
      <c r="D25" s="198" t="s">
        <v>457</v>
      </c>
      <c r="E25" s="195">
        <f>E19*G19+E20*G20+E21*G21+E22*G22+E23*G23</f>
        <v>1.3085999999999998</v>
      </c>
      <c r="F25" s="196" t="s">
        <v>458</v>
      </c>
      <c r="G25" s="199">
        <f>(F19*G19+G20*F20+F21*G21+G22*F22+G23*F23)/1000000</f>
        <v>45373.471830386217</v>
      </c>
      <c r="H25" s="177"/>
      <c r="I25" s="175" t="s">
        <v>17</v>
      </c>
      <c r="J25" s="175"/>
      <c r="K25" s="183">
        <f>0.0001*H19*(9.52*K21+2.56*K20+3.48*K19)</f>
        <v>2.6652088320000002</v>
      </c>
      <c r="L25" s="176" t="s">
        <v>57</v>
      </c>
      <c r="N25" s="36"/>
      <c r="O25" s="32">
        <v>2480</v>
      </c>
      <c r="P25" s="32" t="s">
        <v>110</v>
      </c>
      <c r="Q25" s="32"/>
      <c r="R25" s="32">
        <v>22.7</v>
      </c>
      <c r="S25" s="32">
        <v>1.1000000000000001</v>
      </c>
      <c r="T25" s="32"/>
      <c r="U25" s="32">
        <v>63.7</v>
      </c>
      <c r="V25" s="32">
        <v>2</v>
      </c>
      <c r="W25" s="32"/>
      <c r="X25" s="32" t="s">
        <v>93</v>
      </c>
      <c r="Y25" s="32"/>
      <c r="Z25" s="32"/>
      <c r="AA25" s="37"/>
    </row>
    <row r="26" spans="2:27" x14ac:dyDescent="0.25">
      <c r="B26" s="351" t="s">
        <v>39</v>
      </c>
      <c r="C26" s="162"/>
      <c r="D26" s="156" t="s">
        <v>49</v>
      </c>
      <c r="E26" s="157" t="s">
        <v>13</v>
      </c>
      <c r="F26" s="157" t="s">
        <v>9</v>
      </c>
      <c r="G26" s="167">
        <v>2.827</v>
      </c>
      <c r="H26" s="168">
        <v>2650</v>
      </c>
      <c r="I26" s="161"/>
      <c r="J26" s="161"/>
      <c r="K26" s="161"/>
      <c r="L26" s="159"/>
      <c r="N26" s="36"/>
      <c r="O26" s="32">
        <v>3104.5</v>
      </c>
      <c r="P26" s="32" t="s">
        <v>111</v>
      </c>
      <c r="Q26" s="32"/>
      <c r="R26" s="32">
        <v>22</v>
      </c>
      <c r="S26" s="32">
        <v>1</v>
      </c>
      <c r="T26" s="32"/>
      <c r="U26" s="32">
        <v>66.599999999999994</v>
      </c>
      <c r="V26" s="32">
        <v>7</v>
      </c>
      <c r="W26" s="32">
        <v>2.8</v>
      </c>
      <c r="X26" s="32">
        <v>0.7</v>
      </c>
      <c r="Y26" s="32"/>
      <c r="Z26" s="32"/>
      <c r="AA26" s="37"/>
    </row>
    <row r="27" spans="2:27" ht="15.75" thickBot="1" x14ac:dyDescent="0.3">
      <c r="B27" s="351"/>
      <c r="C27" s="162"/>
      <c r="D27" s="156" t="s">
        <v>50</v>
      </c>
      <c r="E27" s="157" t="s">
        <v>13</v>
      </c>
      <c r="F27" s="157" t="s">
        <v>9</v>
      </c>
      <c r="G27" s="167">
        <v>0.35799999999999998</v>
      </c>
      <c r="H27" s="168">
        <v>2750</v>
      </c>
      <c r="I27" s="161" t="s">
        <v>58</v>
      </c>
      <c r="J27" s="161"/>
      <c r="K27" s="161"/>
      <c r="L27" s="159"/>
      <c r="N27" s="38"/>
      <c r="O27" s="39">
        <v>3839</v>
      </c>
      <c r="P27" s="39" t="s">
        <v>112</v>
      </c>
      <c r="Q27" s="39"/>
      <c r="R27" s="39">
        <v>27</v>
      </c>
      <c r="S27" s="39"/>
      <c r="T27" s="39"/>
      <c r="U27" s="39">
        <v>47.8</v>
      </c>
      <c r="V27" s="39">
        <v>204</v>
      </c>
      <c r="W27" s="39"/>
      <c r="X27" s="39">
        <v>4.0999999999999996</v>
      </c>
      <c r="Y27" s="39"/>
      <c r="Z27" s="39" t="s">
        <v>93</v>
      </c>
      <c r="AA27" s="40">
        <v>1.7</v>
      </c>
    </row>
    <row r="28" spans="2:27" x14ac:dyDescent="0.25">
      <c r="B28" s="351"/>
      <c r="C28" s="162"/>
      <c r="D28" s="156" t="s">
        <v>45</v>
      </c>
      <c r="E28" s="157">
        <v>0.3</v>
      </c>
      <c r="F28" s="157" t="s">
        <v>9</v>
      </c>
      <c r="G28" s="167">
        <v>0.89600000000000002</v>
      </c>
      <c r="H28" s="168">
        <v>2400</v>
      </c>
      <c r="I28" s="161" t="s">
        <v>12</v>
      </c>
      <c r="J28" s="163">
        <v>9.8313999999999994E-5</v>
      </c>
      <c r="K28" s="163">
        <v>0.78</v>
      </c>
      <c r="L28" s="159" t="s">
        <v>15</v>
      </c>
    </row>
    <row r="29" spans="2:27" x14ac:dyDescent="0.25">
      <c r="B29" s="351"/>
      <c r="C29" s="162">
        <f>3800*G2-(C10+C17+C20+C22+C23)+600</f>
        <v>873.24</v>
      </c>
      <c r="D29" s="156" t="s">
        <v>46</v>
      </c>
      <c r="E29" s="157">
        <v>0.5</v>
      </c>
      <c r="F29" s="157" t="s">
        <v>9</v>
      </c>
      <c r="G29" s="167">
        <v>1.3919999999999999</v>
      </c>
      <c r="H29" s="168">
        <v>2400</v>
      </c>
      <c r="I29" s="161" t="s">
        <v>10</v>
      </c>
      <c r="J29" s="163">
        <v>3.3999999999999998E-9</v>
      </c>
      <c r="K29" s="163">
        <v>19.899999999999999</v>
      </c>
      <c r="L29" s="159" t="s">
        <v>14</v>
      </c>
    </row>
    <row r="30" spans="2:27" x14ac:dyDescent="0.25">
      <c r="B30" s="351"/>
      <c r="C30" s="162"/>
      <c r="D30" s="156" t="s">
        <v>51</v>
      </c>
      <c r="E30" s="157">
        <v>0.2</v>
      </c>
      <c r="F30" s="157" t="s">
        <v>9</v>
      </c>
      <c r="G30" s="167">
        <v>2.0659999999999998</v>
      </c>
      <c r="H30" s="168">
        <v>2789</v>
      </c>
      <c r="I30" s="161" t="s">
        <v>59</v>
      </c>
      <c r="J30" s="163">
        <v>3.6499999999999998E-2</v>
      </c>
      <c r="K30" s="163">
        <v>3280</v>
      </c>
      <c r="L30" s="159" t="s">
        <v>15</v>
      </c>
    </row>
    <row r="31" spans="2:27" x14ac:dyDescent="0.25">
      <c r="B31" s="351"/>
      <c r="C31" s="162"/>
      <c r="D31" s="156" t="s">
        <v>47</v>
      </c>
      <c r="E31" s="157">
        <v>0</v>
      </c>
      <c r="F31" s="157">
        <v>0</v>
      </c>
      <c r="G31" s="167">
        <v>0.5</v>
      </c>
      <c r="H31" s="168">
        <v>1200</v>
      </c>
      <c r="I31" s="161" t="s">
        <v>60</v>
      </c>
      <c r="J31" s="163">
        <v>0.35830000000000001</v>
      </c>
      <c r="K31" s="163">
        <v>13</v>
      </c>
      <c r="L31" s="159" t="s">
        <v>15</v>
      </c>
    </row>
    <row r="32" spans="2:27" ht="15.75" thickBot="1" x14ac:dyDescent="0.3">
      <c r="B32" s="352"/>
      <c r="C32" s="189"/>
      <c r="D32" s="190" t="s">
        <v>48</v>
      </c>
      <c r="E32" s="191">
        <v>0</v>
      </c>
      <c r="F32" s="191">
        <v>0</v>
      </c>
      <c r="G32" s="192">
        <v>0.7</v>
      </c>
      <c r="H32" s="193">
        <v>2650</v>
      </c>
      <c r="I32" s="161" t="s">
        <v>62</v>
      </c>
      <c r="J32" s="163"/>
      <c r="K32" s="163">
        <v>456</v>
      </c>
      <c r="L32" s="159" t="s">
        <v>14</v>
      </c>
    </row>
    <row r="33" spans="2:12" ht="15.75" thickBot="1" x14ac:dyDescent="0.3">
      <c r="B33" s="178"/>
      <c r="C33" s="184">
        <f>C4*C29</f>
        <v>71242604204.163345</v>
      </c>
      <c r="D33" s="198" t="s">
        <v>457</v>
      </c>
      <c r="E33" s="200">
        <f>E28*G28+E29*G29+E30*G30+E31*G31</f>
        <v>1.3779999999999999</v>
      </c>
      <c r="F33" s="200" t="s">
        <v>458</v>
      </c>
      <c r="G33" s="200"/>
      <c r="H33" s="179"/>
      <c r="I33" s="174" t="s">
        <v>17</v>
      </c>
      <c r="J33" s="175"/>
      <c r="K33" s="183">
        <f>0.0001*H27*(9.52*K28+3.48*K9)</f>
        <v>3.7646400000000004</v>
      </c>
      <c r="L33" s="176" t="s">
        <v>57</v>
      </c>
    </row>
    <row r="34" spans="2:12" ht="15.75" thickBot="1" x14ac:dyDescent="0.3">
      <c r="B34" s="169" t="s">
        <v>44</v>
      </c>
      <c r="C34" s="170"/>
      <c r="D34" s="349" t="s">
        <v>56</v>
      </c>
      <c r="E34" s="350"/>
      <c r="F34" s="350"/>
      <c r="G34" s="171">
        <f>G12+G18+G25</f>
        <v>85657.801606295427</v>
      </c>
      <c r="H34" s="172" t="s">
        <v>40</v>
      </c>
      <c r="I34" s="165"/>
      <c r="J34" s="165"/>
      <c r="K34" s="165"/>
      <c r="L34" s="166"/>
    </row>
    <row r="35" spans="2:12" x14ac:dyDescent="0.25">
      <c r="B35" s="14" t="s">
        <v>61</v>
      </c>
      <c r="C35" s="15"/>
      <c r="D35" s="16"/>
      <c r="E35" s="17"/>
      <c r="F35" s="18"/>
      <c r="G35" s="16"/>
      <c r="H35" s="16"/>
      <c r="I35" s="16"/>
      <c r="J35" s="16"/>
      <c r="K35" s="16"/>
      <c r="L35" s="16"/>
    </row>
    <row r="37" spans="2:12" x14ac:dyDescent="0.25">
      <c r="J37" s="20"/>
    </row>
    <row r="38" spans="2:12" x14ac:dyDescent="0.25">
      <c r="J38" s="19"/>
    </row>
    <row r="76" spans="5:5" x14ac:dyDescent="0.25">
      <c r="E76"/>
    </row>
  </sheetData>
  <mergeCells count="10">
    <mergeCell ref="N11:U11"/>
    <mergeCell ref="Z2:AG2"/>
    <mergeCell ref="D34:F34"/>
    <mergeCell ref="B19:B20"/>
    <mergeCell ref="B22:B24"/>
    <mergeCell ref="B26:B32"/>
    <mergeCell ref="B6:B9"/>
    <mergeCell ref="B13:B16"/>
    <mergeCell ref="K5:L5"/>
    <mergeCell ref="I2:L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85"/>
  <sheetViews>
    <sheetView topLeftCell="A26" zoomScale="65" workbookViewId="0">
      <selection activeCell="O58" sqref="O58"/>
    </sheetView>
  </sheetViews>
  <sheetFormatPr defaultColWidth="20.28515625" defaultRowHeight="15" x14ac:dyDescent="0.25"/>
  <cols>
    <col min="1" max="1" width="8.5703125" customWidth="1"/>
    <col min="2" max="2" width="19.140625" bestFit="1" customWidth="1"/>
    <col min="5" max="5" width="7.140625" bestFit="1" customWidth="1"/>
    <col min="6" max="6" width="6.42578125" bestFit="1" customWidth="1"/>
    <col min="7" max="7" width="6" bestFit="1" customWidth="1"/>
    <col min="8" max="8" width="6.5703125" bestFit="1" customWidth="1"/>
    <col min="9" max="9" width="5.42578125" bestFit="1" customWidth="1"/>
    <col min="10" max="10" width="6.7109375" customWidth="1"/>
  </cols>
  <sheetData>
    <row r="1" spans="1:11" ht="30.75" thickBot="1" x14ac:dyDescent="0.3">
      <c r="A1" s="43"/>
      <c r="B1" s="44" t="s">
        <v>113</v>
      </c>
      <c r="C1" s="45" t="s">
        <v>114</v>
      </c>
      <c r="D1" s="45" t="s">
        <v>115</v>
      </c>
      <c r="E1" s="45" t="s">
        <v>116</v>
      </c>
      <c r="F1" s="45" t="s">
        <v>117</v>
      </c>
      <c r="G1" s="45" t="s">
        <v>118</v>
      </c>
      <c r="H1" s="45" t="s">
        <v>375</v>
      </c>
      <c r="I1" s="45" t="s">
        <v>119</v>
      </c>
      <c r="J1" s="41"/>
      <c r="K1" s="42" t="s">
        <v>120</v>
      </c>
    </row>
    <row r="2" spans="1:11" ht="15.75" thickBot="1" x14ac:dyDescent="0.3">
      <c r="A2" s="41"/>
      <c r="B2" s="46" t="s">
        <v>121</v>
      </c>
      <c r="C2" s="47" t="s">
        <v>122</v>
      </c>
      <c r="D2" s="47" t="s">
        <v>123</v>
      </c>
      <c r="E2" s="47" t="s">
        <v>124</v>
      </c>
      <c r="F2" s="47">
        <v>299</v>
      </c>
      <c r="G2" s="47" t="s">
        <v>125</v>
      </c>
      <c r="H2" s="47" t="s">
        <v>126</v>
      </c>
      <c r="I2" s="47" t="s">
        <v>127</v>
      </c>
      <c r="J2" s="41"/>
      <c r="K2" s="42" t="s">
        <v>128</v>
      </c>
    </row>
    <row r="3" spans="1:11" ht="15.75" thickBot="1" x14ac:dyDescent="0.3">
      <c r="A3" s="41"/>
      <c r="B3" s="48" t="s">
        <v>121</v>
      </c>
      <c r="C3" s="49" t="s">
        <v>122</v>
      </c>
      <c r="D3" s="49" t="s">
        <v>129</v>
      </c>
      <c r="E3" s="49" t="s">
        <v>124</v>
      </c>
      <c r="F3" s="49">
        <v>301</v>
      </c>
      <c r="G3" s="49" t="s">
        <v>130</v>
      </c>
      <c r="H3" s="49" t="s">
        <v>131</v>
      </c>
      <c r="I3" s="49" t="s">
        <v>127</v>
      </c>
      <c r="J3" s="41"/>
      <c r="K3" s="42" t="s">
        <v>132</v>
      </c>
    </row>
    <row r="4" spans="1:11" ht="15.75" thickBot="1" x14ac:dyDescent="0.3">
      <c r="A4" s="41"/>
      <c r="B4" s="46" t="s">
        <v>121</v>
      </c>
      <c r="C4" s="47" t="s">
        <v>122</v>
      </c>
      <c r="D4" s="47" t="s">
        <v>133</v>
      </c>
      <c r="E4" s="47" t="s">
        <v>124</v>
      </c>
      <c r="F4" s="47">
        <v>282</v>
      </c>
      <c r="G4" s="47" t="s">
        <v>134</v>
      </c>
      <c r="H4" s="47" t="s">
        <v>135</v>
      </c>
      <c r="I4" s="47" t="s">
        <v>127</v>
      </c>
      <c r="J4" s="41"/>
      <c r="K4" s="42" t="s">
        <v>136</v>
      </c>
    </row>
    <row r="5" spans="1:11" ht="15.75" thickBot="1" x14ac:dyDescent="0.3">
      <c r="A5" s="41"/>
      <c r="B5" s="48" t="s">
        <v>137</v>
      </c>
      <c r="C5" s="49" t="s">
        <v>122</v>
      </c>
      <c r="D5" s="49" t="s">
        <v>138</v>
      </c>
      <c r="E5" s="49" t="s">
        <v>139</v>
      </c>
      <c r="F5" s="49">
        <v>736</v>
      </c>
      <c r="G5" s="49" t="s">
        <v>140</v>
      </c>
      <c r="H5" s="49" t="s">
        <v>141</v>
      </c>
      <c r="I5" s="49" t="s">
        <v>142</v>
      </c>
      <c r="J5" s="41"/>
      <c r="K5" s="42" t="s">
        <v>143</v>
      </c>
    </row>
    <row r="6" spans="1:11" ht="15.75" thickBot="1" x14ac:dyDescent="0.3">
      <c r="A6" s="41"/>
      <c r="B6" s="46" t="s">
        <v>144</v>
      </c>
      <c r="C6" s="47" t="s">
        <v>145</v>
      </c>
      <c r="D6" s="47" t="s">
        <v>146</v>
      </c>
      <c r="E6" s="47" t="s">
        <v>124</v>
      </c>
      <c r="F6" s="47">
        <v>294</v>
      </c>
      <c r="G6" s="47" t="s">
        <v>147</v>
      </c>
      <c r="H6" s="47" t="s">
        <v>148</v>
      </c>
      <c r="I6" s="47" t="s">
        <v>142</v>
      </c>
      <c r="J6" s="41"/>
      <c r="K6" s="41" t="s">
        <v>352</v>
      </c>
    </row>
    <row r="7" spans="1:11" ht="15.75" thickBot="1" x14ac:dyDescent="0.3">
      <c r="A7" s="41"/>
      <c r="B7" s="48" t="s">
        <v>149</v>
      </c>
      <c r="C7" s="49" t="s">
        <v>145</v>
      </c>
      <c r="D7" s="49" t="s">
        <v>150</v>
      </c>
      <c r="E7" s="49" t="s">
        <v>124</v>
      </c>
      <c r="F7" s="49">
        <v>263</v>
      </c>
      <c r="G7" s="49" t="s">
        <v>147</v>
      </c>
      <c r="H7" s="49" t="s">
        <v>151</v>
      </c>
      <c r="I7" s="49" t="s">
        <v>142</v>
      </c>
      <c r="J7" s="41"/>
      <c r="K7" s="41"/>
    </row>
    <row r="8" spans="1:11" ht="15.75" thickBot="1" x14ac:dyDescent="0.3">
      <c r="A8" s="41"/>
      <c r="B8" s="46" t="s">
        <v>152</v>
      </c>
      <c r="C8" s="47" t="s">
        <v>145</v>
      </c>
      <c r="D8" s="47" t="s">
        <v>153</v>
      </c>
      <c r="E8" s="47" t="s">
        <v>124</v>
      </c>
      <c r="F8" s="47">
        <v>296</v>
      </c>
      <c r="G8" s="47" t="s">
        <v>147</v>
      </c>
      <c r="H8" s="47" t="s">
        <v>154</v>
      </c>
      <c r="I8" s="47" t="s">
        <v>142</v>
      </c>
      <c r="J8" s="41"/>
      <c r="K8" s="41"/>
    </row>
    <row r="9" spans="1:11" ht="15.75" thickBot="1" x14ac:dyDescent="0.3">
      <c r="A9" s="41"/>
      <c r="B9" s="48" t="s">
        <v>155</v>
      </c>
      <c r="C9" s="49" t="s">
        <v>156</v>
      </c>
      <c r="D9" s="49" t="s">
        <v>157</v>
      </c>
      <c r="E9" s="49" t="s">
        <v>124</v>
      </c>
      <c r="F9" s="49">
        <v>964</v>
      </c>
      <c r="G9" s="49" t="s">
        <v>158</v>
      </c>
      <c r="H9" s="49" t="s">
        <v>159</v>
      </c>
      <c r="I9" s="49" t="s">
        <v>127</v>
      </c>
      <c r="J9" s="41"/>
      <c r="K9" s="41"/>
    </row>
    <row r="10" spans="1:11" ht="15.75" thickBot="1" x14ac:dyDescent="0.3">
      <c r="A10" s="41"/>
      <c r="B10" s="46" t="s">
        <v>160</v>
      </c>
      <c r="C10" s="47" t="s">
        <v>156</v>
      </c>
      <c r="D10" s="47" t="s">
        <v>161</v>
      </c>
      <c r="E10" s="47" t="s">
        <v>124</v>
      </c>
      <c r="F10" s="47">
        <v>300</v>
      </c>
      <c r="G10" s="47" t="s">
        <v>162</v>
      </c>
      <c r="H10" s="47" t="s">
        <v>163</v>
      </c>
      <c r="I10" s="47" t="s">
        <v>127</v>
      </c>
      <c r="J10" s="41"/>
      <c r="K10" s="41"/>
    </row>
    <row r="11" spans="1:11" ht="15.75" thickBot="1" x14ac:dyDescent="0.3">
      <c r="A11" s="41"/>
      <c r="B11" s="48" t="s">
        <v>164</v>
      </c>
      <c r="C11" s="49" t="s">
        <v>156</v>
      </c>
      <c r="D11" s="49" t="s">
        <v>165</v>
      </c>
      <c r="E11" s="49" t="s">
        <v>166</v>
      </c>
      <c r="F11" s="49">
        <v>883</v>
      </c>
      <c r="G11" s="49" t="s">
        <v>167</v>
      </c>
      <c r="H11" s="49" t="s">
        <v>168</v>
      </c>
      <c r="I11" s="49" t="s">
        <v>142</v>
      </c>
      <c r="J11" s="41"/>
      <c r="K11" s="41"/>
    </row>
    <row r="12" spans="1:11" ht="15.75" thickBot="1" x14ac:dyDescent="0.3">
      <c r="A12" s="41"/>
      <c r="B12" s="46" t="s">
        <v>169</v>
      </c>
      <c r="C12" s="47" t="s">
        <v>156</v>
      </c>
      <c r="D12" s="47" t="s">
        <v>170</v>
      </c>
      <c r="E12" s="47" t="s">
        <v>124</v>
      </c>
      <c r="F12" s="47">
        <v>350</v>
      </c>
      <c r="G12" s="47" t="s">
        <v>171</v>
      </c>
      <c r="H12" s="47" t="s">
        <v>172</v>
      </c>
      <c r="I12" s="47" t="s">
        <v>127</v>
      </c>
      <c r="J12" s="41"/>
      <c r="K12" s="41"/>
    </row>
    <row r="13" spans="1:11" ht="15.75" thickBot="1" x14ac:dyDescent="0.3">
      <c r="A13" s="41"/>
      <c r="B13" s="48" t="s">
        <v>173</v>
      </c>
      <c r="C13" s="49" t="s">
        <v>156</v>
      </c>
      <c r="D13" s="49" t="s">
        <v>174</v>
      </c>
      <c r="E13" s="49" t="s">
        <v>175</v>
      </c>
      <c r="F13" s="49">
        <v>1134</v>
      </c>
      <c r="G13" s="49" t="s">
        <v>176</v>
      </c>
      <c r="H13" s="49" t="s">
        <v>177</v>
      </c>
      <c r="I13" s="49" t="s">
        <v>142</v>
      </c>
      <c r="J13" s="41"/>
      <c r="K13" s="41"/>
    </row>
    <row r="14" spans="1:11" ht="15.75" thickBot="1" x14ac:dyDescent="0.3">
      <c r="A14" s="41"/>
      <c r="B14" s="46" t="s">
        <v>178</v>
      </c>
      <c r="C14" s="47" t="s">
        <v>156</v>
      </c>
      <c r="D14" s="47" t="s">
        <v>179</v>
      </c>
      <c r="E14" s="47" t="s">
        <v>180</v>
      </c>
      <c r="F14" s="47">
        <v>160</v>
      </c>
      <c r="G14" s="47" t="s">
        <v>181</v>
      </c>
      <c r="H14" s="47" t="s">
        <v>176</v>
      </c>
      <c r="I14" s="47" t="s">
        <v>182</v>
      </c>
      <c r="J14" s="41"/>
      <c r="K14" s="41"/>
    </row>
    <row r="15" spans="1:11" ht="15.75" thickBot="1" x14ac:dyDescent="0.3">
      <c r="A15" s="41"/>
      <c r="B15" s="48" t="s">
        <v>183</v>
      </c>
      <c r="C15" s="49" t="s">
        <v>156</v>
      </c>
      <c r="D15" s="49" t="s">
        <v>184</v>
      </c>
      <c r="E15" s="49" t="s">
        <v>180</v>
      </c>
      <c r="F15" s="49">
        <v>105</v>
      </c>
      <c r="G15" s="49" t="s">
        <v>185</v>
      </c>
      <c r="H15" s="49" t="s">
        <v>186</v>
      </c>
      <c r="I15" s="49" t="s">
        <v>182</v>
      </c>
      <c r="J15" s="41"/>
      <c r="K15" s="41"/>
    </row>
    <row r="16" spans="1:11" ht="30.75" hidden="1" thickBot="1" x14ac:dyDescent="0.3">
      <c r="A16" s="41"/>
      <c r="B16" s="46" t="s">
        <v>187</v>
      </c>
      <c r="C16" s="47" t="s">
        <v>156</v>
      </c>
      <c r="D16" s="47" t="s">
        <v>188</v>
      </c>
      <c r="E16" s="47" t="s">
        <v>175</v>
      </c>
      <c r="F16" s="47">
        <v>239</v>
      </c>
      <c r="G16" s="47" t="s">
        <v>189</v>
      </c>
      <c r="H16" s="47" t="s">
        <v>190</v>
      </c>
      <c r="I16" s="47" t="s">
        <v>191</v>
      </c>
      <c r="J16" s="41"/>
      <c r="K16" s="41"/>
    </row>
    <row r="17" spans="2:12" ht="30.75" hidden="1" thickBot="1" x14ac:dyDescent="0.3">
      <c r="B17" s="48" t="s">
        <v>192</v>
      </c>
      <c r="C17" s="49" t="s">
        <v>156</v>
      </c>
      <c r="D17" s="49" t="s">
        <v>193</v>
      </c>
      <c r="E17" s="49" t="s">
        <v>175</v>
      </c>
      <c r="F17" s="49">
        <v>387</v>
      </c>
      <c r="G17" s="49" t="s">
        <v>194</v>
      </c>
      <c r="H17" s="49" t="s">
        <v>195</v>
      </c>
      <c r="I17" s="49" t="s">
        <v>191</v>
      </c>
    </row>
    <row r="18" spans="2:12" ht="30.75" hidden="1" thickBot="1" x14ac:dyDescent="0.3">
      <c r="B18" s="46" t="s">
        <v>196</v>
      </c>
      <c r="C18" s="47" t="s">
        <v>156</v>
      </c>
      <c r="D18" s="47" t="s">
        <v>197</v>
      </c>
      <c r="E18" s="47" t="s">
        <v>175</v>
      </c>
      <c r="F18" s="47">
        <v>334</v>
      </c>
      <c r="G18" s="47" t="s">
        <v>198</v>
      </c>
      <c r="H18" s="47" t="s">
        <v>199</v>
      </c>
      <c r="I18" s="47" t="s">
        <v>191</v>
      </c>
    </row>
    <row r="19" spans="2:12" ht="30.75" hidden="1" thickBot="1" x14ac:dyDescent="0.3">
      <c r="B19" s="48" t="s">
        <v>200</v>
      </c>
      <c r="C19" s="49" t="s">
        <v>156</v>
      </c>
      <c r="D19" s="49" t="s">
        <v>201</v>
      </c>
      <c r="E19" s="49" t="s">
        <v>175</v>
      </c>
      <c r="F19" s="49">
        <v>436</v>
      </c>
      <c r="G19" s="49" t="s">
        <v>202</v>
      </c>
      <c r="H19" s="49" t="s">
        <v>203</v>
      </c>
      <c r="I19" s="49" t="s">
        <v>191</v>
      </c>
    </row>
    <row r="20" spans="2:12" ht="30.75" hidden="1" thickBot="1" x14ac:dyDescent="0.3">
      <c r="B20" s="46" t="s">
        <v>204</v>
      </c>
      <c r="C20" s="47" t="s">
        <v>156</v>
      </c>
      <c r="D20" s="47" t="s">
        <v>205</v>
      </c>
      <c r="E20" s="47" t="s">
        <v>175</v>
      </c>
      <c r="F20" s="47">
        <v>411</v>
      </c>
      <c r="G20" s="47" t="s">
        <v>198</v>
      </c>
      <c r="H20" s="47" t="s">
        <v>206</v>
      </c>
      <c r="I20" s="47" t="s">
        <v>191</v>
      </c>
    </row>
    <row r="21" spans="2:12" ht="30.75" hidden="1" thickBot="1" x14ac:dyDescent="0.3">
      <c r="B21" s="48" t="s">
        <v>207</v>
      </c>
      <c r="C21" s="49" t="s">
        <v>156</v>
      </c>
      <c r="D21" s="49" t="s">
        <v>208</v>
      </c>
      <c r="E21" s="49" t="s">
        <v>175</v>
      </c>
      <c r="F21" s="49">
        <v>655</v>
      </c>
      <c r="G21" s="49" t="s">
        <v>198</v>
      </c>
      <c r="H21" s="49" t="s">
        <v>209</v>
      </c>
      <c r="I21" s="49" t="s">
        <v>191</v>
      </c>
    </row>
    <row r="22" spans="2:12" ht="30.75" hidden="1" thickBot="1" x14ac:dyDescent="0.3">
      <c r="B22" s="46" t="s">
        <v>210</v>
      </c>
      <c r="C22" s="47" t="s">
        <v>156</v>
      </c>
      <c r="D22" s="47" t="s">
        <v>211</v>
      </c>
      <c r="E22" s="47" t="s">
        <v>175</v>
      </c>
      <c r="F22" s="47">
        <v>549</v>
      </c>
      <c r="G22" s="47" t="s">
        <v>198</v>
      </c>
      <c r="H22" s="47" t="s">
        <v>212</v>
      </c>
      <c r="I22" s="47" t="s">
        <v>191</v>
      </c>
    </row>
    <row r="23" spans="2:12" ht="15.75" thickBot="1" x14ac:dyDescent="0.3">
      <c r="B23" s="48" t="s">
        <v>213</v>
      </c>
      <c r="C23" s="49" t="s">
        <v>156</v>
      </c>
      <c r="D23" s="49" t="s">
        <v>214</v>
      </c>
      <c r="E23" s="49" t="s">
        <v>175</v>
      </c>
      <c r="F23" s="49">
        <v>410</v>
      </c>
      <c r="G23" s="49" t="s">
        <v>147</v>
      </c>
      <c r="H23" s="49" t="s">
        <v>162</v>
      </c>
      <c r="I23" s="49" t="s">
        <v>142</v>
      </c>
    </row>
    <row r="24" spans="2:12" ht="15.75" thickBot="1" x14ac:dyDescent="0.3">
      <c r="B24" s="46" t="s">
        <v>215</v>
      </c>
      <c r="C24" s="47" t="s">
        <v>156</v>
      </c>
      <c r="D24" s="47" t="s">
        <v>216</v>
      </c>
      <c r="E24" s="47" t="s">
        <v>175</v>
      </c>
      <c r="F24" s="47">
        <v>510</v>
      </c>
      <c r="G24" s="47" t="s">
        <v>202</v>
      </c>
      <c r="H24" s="47" t="s">
        <v>217</v>
      </c>
      <c r="I24" s="47" t="s">
        <v>142</v>
      </c>
    </row>
    <row r="25" spans="2:12" ht="15.75" thickBot="1" x14ac:dyDescent="0.3">
      <c r="B25" s="48" t="s">
        <v>218</v>
      </c>
      <c r="C25" s="49" t="s">
        <v>156</v>
      </c>
      <c r="D25" s="49" t="s">
        <v>219</v>
      </c>
      <c r="E25" s="49" t="s">
        <v>175</v>
      </c>
      <c r="F25" s="49">
        <v>325</v>
      </c>
      <c r="G25" s="49" t="s">
        <v>163</v>
      </c>
      <c r="H25" s="49" t="s">
        <v>220</v>
      </c>
      <c r="I25" s="49" t="s">
        <v>142</v>
      </c>
    </row>
    <row r="26" spans="2:12" ht="15.75" thickBot="1" x14ac:dyDescent="0.3">
      <c r="B26" s="46" t="s">
        <v>221</v>
      </c>
      <c r="C26" s="47" t="s">
        <v>156</v>
      </c>
      <c r="D26" s="47" t="s">
        <v>222</v>
      </c>
      <c r="E26" s="47" t="s">
        <v>175</v>
      </c>
      <c r="F26" s="47">
        <v>404</v>
      </c>
      <c r="G26" s="47" t="s">
        <v>223</v>
      </c>
      <c r="H26" s="47" t="s">
        <v>224</v>
      </c>
      <c r="I26" s="47" t="s">
        <v>142</v>
      </c>
    </row>
    <row r="27" spans="2:12" ht="15.75" thickBot="1" x14ac:dyDescent="0.3">
      <c r="B27" s="48" t="s">
        <v>225</v>
      </c>
      <c r="C27" s="49" t="s">
        <v>156</v>
      </c>
      <c r="D27" s="49" t="s">
        <v>226</v>
      </c>
      <c r="E27" s="49" t="s">
        <v>175</v>
      </c>
      <c r="F27" s="49">
        <v>488</v>
      </c>
      <c r="G27" s="49" t="s">
        <v>163</v>
      </c>
      <c r="H27" s="49" t="s">
        <v>227</v>
      </c>
      <c r="I27" s="49" t="s">
        <v>142</v>
      </c>
    </row>
    <row r="28" spans="2:12" ht="15.75" thickBot="1" x14ac:dyDescent="0.3">
      <c r="B28" s="46" t="s">
        <v>228</v>
      </c>
      <c r="C28" s="47" t="s">
        <v>156</v>
      </c>
      <c r="D28" s="47" t="s">
        <v>229</v>
      </c>
      <c r="E28" s="47" t="s">
        <v>175</v>
      </c>
      <c r="F28" s="47">
        <v>497</v>
      </c>
      <c r="G28" s="47" t="s">
        <v>202</v>
      </c>
      <c r="H28" s="47" t="s">
        <v>230</v>
      </c>
      <c r="I28" s="47" t="s">
        <v>142</v>
      </c>
    </row>
    <row r="29" spans="2:12" ht="15.75" thickBot="1" x14ac:dyDescent="0.3">
      <c r="B29" s="48" t="s">
        <v>231</v>
      </c>
      <c r="C29" s="49" t="s">
        <v>156</v>
      </c>
      <c r="D29" s="49" t="s">
        <v>232</v>
      </c>
      <c r="E29" s="49" t="s">
        <v>175</v>
      </c>
      <c r="F29" s="49">
        <v>408</v>
      </c>
      <c r="G29" s="49" t="s">
        <v>233</v>
      </c>
      <c r="H29" s="49" t="s">
        <v>234</v>
      </c>
      <c r="I29" s="49" t="s">
        <v>142</v>
      </c>
    </row>
    <row r="30" spans="2:12" ht="15.75" thickBot="1" x14ac:dyDescent="0.3">
      <c r="B30" s="46" t="s">
        <v>235</v>
      </c>
      <c r="C30" s="47" t="s">
        <v>156</v>
      </c>
      <c r="D30" s="47" t="s">
        <v>236</v>
      </c>
      <c r="E30" s="47" t="s">
        <v>175</v>
      </c>
      <c r="F30" s="47">
        <v>628</v>
      </c>
      <c r="G30" s="47" t="s">
        <v>167</v>
      </c>
      <c r="H30" s="47" t="s">
        <v>237</v>
      </c>
      <c r="I30" s="47" t="s">
        <v>142</v>
      </c>
    </row>
    <row r="31" spans="2:12" ht="15.75" thickBot="1" x14ac:dyDescent="0.3">
      <c r="B31" s="48" t="s">
        <v>238</v>
      </c>
      <c r="C31" s="49" t="s">
        <v>156</v>
      </c>
      <c r="D31" s="49" t="s">
        <v>239</v>
      </c>
      <c r="E31" s="49" t="s">
        <v>175</v>
      </c>
      <c r="F31" s="49">
        <v>691</v>
      </c>
      <c r="G31" s="49" t="s">
        <v>240</v>
      </c>
      <c r="H31" s="49" t="s">
        <v>241</v>
      </c>
      <c r="I31" s="49" t="s">
        <v>142</v>
      </c>
    </row>
    <row r="32" spans="2:12" ht="15.75" thickBot="1" x14ac:dyDescent="0.3">
      <c r="B32" s="46" t="s">
        <v>242</v>
      </c>
      <c r="C32" s="47" t="s">
        <v>156</v>
      </c>
      <c r="D32" s="47" t="s">
        <v>243</v>
      </c>
      <c r="E32" s="47" t="s">
        <v>175</v>
      </c>
      <c r="F32" s="47">
        <v>1024</v>
      </c>
      <c r="G32" s="47" t="s">
        <v>244</v>
      </c>
      <c r="H32" s="47" t="s">
        <v>245</v>
      </c>
      <c r="I32" s="47" t="s">
        <v>142</v>
      </c>
      <c r="K32">
        <v>1485</v>
      </c>
      <c r="L32">
        <v>42.3</v>
      </c>
    </row>
    <row r="33" spans="2:12" ht="15.75" thickBot="1" x14ac:dyDescent="0.3">
      <c r="B33" s="48" t="s">
        <v>246</v>
      </c>
      <c r="C33" s="49" t="s">
        <v>156</v>
      </c>
      <c r="D33" s="49" t="s">
        <v>247</v>
      </c>
      <c r="E33" s="49" t="s">
        <v>175</v>
      </c>
      <c r="F33" s="49">
        <v>1261</v>
      </c>
      <c r="G33" s="49" t="s">
        <v>248</v>
      </c>
      <c r="H33" s="49" t="s">
        <v>249</v>
      </c>
      <c r="I33" s="49" t="s">
        <v>142</v>
      </c>
      <c r="K33">
        <v>1000</v>
      </c>
      <c r="L33">
        <f>K33*L32/K32</f>
        <v>28.484848484848484</v>
      </c>
    </row>
    <row r="34" spans="2:12" ht="15.75" thickBot="1" x14ac:dyDescent="0.3">
      <c r="B34" s="46" t="s">
        <v>250</v>
      </c>
      <c r="C34" s="47" t="s">
        <v>156</v>
      </c>
      <c r="D34" s="47" t="s">
        <v>251</v>
      </c>
      <c r="E34" s="47" t="s">
        <v>124</v>
      </c>
      <c r="F34" s="47">
        <v>277</v>
      </c>
      <c r="G34" s="47" t="s">
        <v>252</v>
      </c>
      <c r="H34" s="47" t="s">
        <v>253</v>
      </c>
      <c r="I34" s="47" t="s">
        <v>142</v>
      </c>
    </row>
    <row r="35" spans="2:12" ht="15.75" thickBot="1" x14ac:dyDescent="0.3">
      <c r="B35" s="48" t="s">
        <v>254</v>
      </c>
      <c r="C35" s="49" t="s">
        <v>156</v>
      </c>
      <c r="D35" s="49" t="s">
        <v>255</v>
      </c>
      <c r="E35" s="49" t="s">
        <v>256</v>
      </c>
      <c r="F35" s="49">
        <v>977</v>
      </c>
      <c r="G35" s="49" t="s">
        <v>257</v>
      </c>
      <c r="H35" s="49" t="s">
        <v>258</v>
      </c>
      <c r="I35" s="49" t="s">
        <v>142</v>
      </c>
    </row>
    <row r="36" spans="2:12" ht="15.75" thickBot="1" x14ac:dyDescent="0.3">
      <c r="B36" s="46" t="s">
        <v>259</v>
      </c>
      <c r="C36" s="47" t="s">
        <v>156</v>
      </c>
      <c r="D36" s="47" t="s">
        <v>260</v>
      </c>
      <c r="E36" s="47" t="s">
        <v>261</v>
      </c>
      <c r="F36" s="47">
        <v>303</v>
      </c>
      <c r="G36" s="47" t="s">
        <v>262</v>
      </c>
      <c r="H36" s="47" t="s">
        <v>263</v>
      </c>
      <c r="I36" s="47" t="s">
        <v>182</v>
      </c>
    </row>
    <row r="37" spans="2:12" ht="15.75" thickBot="1" x14ac:dyDescent="0.3">
      <c r="B37" s="48" t="s">
        <v>264</v>
      </c>
      <c r="C37" s="49" t="s">
        <v>156</v>
      </c>
      <c r="D37" s="49" t="s">
        <v>265</v>
      </c>
      <c r="E37" s="49" t="s">
        <v>175</v>
      </c>
      <c r="F37" s="49">
        <v>850</v>
      </c>
      <c r="G37" s="49" t="s">
        <v>167</v>
      </c>
      <c r="H37" s="49" t="s">
        <v>168</v>
      </c>
      <c r="I37" s="49" t="s">
        <v>266</v>
      </c>
    </row>
    <row r="38" spans="2:12" ht="15.75" thickBot="1" x14ac:dyDescent="0.3">
      <c r="B38" s="46" t="s">
        <v>267</v>
      </c>
      <c r="C38" s="47" t="s">
        <v>268</v>
      </c>
      <c r="D38" s="47" t="s">
        <v>269</v>
      </c>
      <c r="E38" s="47" t="s">
        <v>124</v>
      </c>
      <c r="F38" s="47">
        <v>279</v>
      </c>
      <c r="G38" s="47" t="s">
        <v>270</v>
      </c>
      <c r="H38" s="47">
        <v>28.1</v>
      </c>
      <c r="I38" s="47" t="s">
        <v>182</v>
      </c>
    </row>
    <row r="39" spans="2:12" ht="15.75" thickBot="1" x14ac:dyDescent="0.3">
      <c r="B39" s="48" t="s">
        <v>271</v>
      </c>
      <c r="C39" s="49" t="s">
        <v>268</v>
      </c>
      <c r="D39" s="49" t="s">
        <v>272</v>
      </c>
      <c r="E39" s="49" t="s">
        <v>180</v>
      </c>
      <c r="F39" s="49">
        <v>1205</v>
      </c>
      <c r="G39" s="49"/>
      <c r="H39" s="49">
        <v>19.8</v>
      </c>
      <c r="I39" s="49" t="s">
        <v>182</v>
      </c>
    </row>
    <row r="40" spans="2:12" ht="15.75" thickBot="1" x14ac:dyDescent="0.3">
      <c r="B40" s="46" t="s">
        <v>273</v>
      </c>
      <c r="C40" s="47" t="s">
        <v>268</v>
      </c>
      <c r="D40" s="47" t="s">
        <v>274</v>
      </c>
      <c r="E40" s="47" t="s">
        <v>175</v>
      </c>
      <c r="F40" s="47">
        <v>1298</v>
      </c>
      <c r="G40" s="47" t="s">
        <v>167</v>
      </c>
      <c r="H40" s="47">
        <v>16.100000000000001</v>
      </c>
      <c r="I40" s="47" t="s">
        <v>142</v>
      </c>
      <c r="K40" s="56"/>
      <c r="L40" s="56"/>
    </row>
    <row r="41" spans="2:12" ht="15.75" thickBot="1" x14ac:dyDescent="0.3">
      <c r="B41" s="114" t="s">
        <v>275</v>
      </c>
      <c r="C41" s="115" t="s">
        <v>268</v>
      </c>
      <c r="D41" s="115" t="s">
        <v>276</v>
      </c>
      <c r="E41" s="115" t="s">
        <v>124</v>
      </c>
      <c r="F41" s="115">
        <v>877</v>
      </c>
      <c r="G41" s="115" t="s">
        <v>277</v>
      </c>
      <c r="H41" s="115">
        <v>20.9</v>
      </c>
      <c r="I41" s="115" t="s">
        <v>142</v>
      </c>
      <c r="K41" s="56"/>
      <c r="L41" s="56"/>
    </row>
    <row r="42" spans="2:12" ht="15.75" thickBot="1" x14ac:dyDescent="0.3">
      <c r="B42" s="114" t="s">
        <v>278</v>
      </c>
      <c r="C42" s="115" t="s">
        <v>268</v>
      </c>
      <c r="D42" s="115" t="s">
        <v>279</v>
      </c>
      <c r="E42" s="115" t="s">
        <v>280</v>
      </c>
      <c r="F42" s="115">
        <v>747</v>
      </c>
      <c r="G42" s="115" t="s">
        <v>281</v>
      </c>
      <c r="H42" s="115">
        <v>39.1</v>
      </c>
      <c r="I42" s="115" t="s">
        <v>127</v>
      </c>
      <c r="K42" s="56"/>
      <c r="L42" s="56"/>
    </row>
    <row r="43" spans="2:12" ht="15.75" thickBot="1" x14ac:dyDescent="0.3">
      <c r="B43" s="48" t="s">
        <v>282</v>
      </c>
      <c r="C43" s="49" t="s">
        <v>268</v>
      </c>
      <c r="D43" s="49" t="s">
        <v>283</v>
      </c>
      <c r="E43" s="49" t="s">
        <v>124</v>
      </c>
      <c r="F43" s="49">
        <v>372</v>
      </c>
      <c r="G43" s="49" t="s">
        <v>284</v>
      </c>
      <c r="H43" s="49">
        <v>39.200000000000003</v>
      </c>
      <c r="I43" s="49" t="s">
        <v>127</v>
      </c>
      <c r="K43" s="56"/>
      <c r="L43" s="56"/>
    </row>
    <row r="44" spans="2:12" ht="15.75" thickBot="1" x14ac:dyDescent="0.3">
      <c r="B44" s="46" t="s">
        <v>285</v>
      </c>
      <c r="C44" s="47" t="s">
        <v>268</v>
      </c>
      <c r="D44" s="47" t="s">
        <v>286</v>
      </c>
      <c r="E44" s="47" t="s">
        <v>287</v>
      </c>
      <c r="F44" s="47">
        <v>227</v>
      </c>
      <c r="G44" s="47" t="s">
        <v>288</v>
      </c>
      <c r="H44" s="47">
        <v>10.6</v>
      </c>
      <c r="I44" s="47" t="s">
        <v>182</v>
      </c>
      <c r="K44" s="56"/>
      <c r="L44" s="56"/>
    </row>
    <row r="45" spans="2:12" ht="15.75" thickBot="1" x14ac:dyDescent="0.3">
      <c r="B45" s="114" t="s">
        <v>289</v>
      </c>
      <c r="C45" s="115" t="s">
        <v>268</v>
      </c>
      <c r="D45" s="115" t="s">
        <v>290</v>
      </c>
      <c r="E45" s="115" t="s">
        <v>291</v>
      </c>
      <c r="F45" s="115">
        <v>585</v>
      </c>
      <c r="G45" s="115" t="s">
        <v>292</v>
      </c>
      <c r="H45" s="115">
        <v>15</v>
      </c>
      <c r="I45" s="115" t="s">
        <v>142</v>
      </c>
      <c r="K45" s="56"/>
      <c r="L45" s="56"/>
    </row>
    <row r="46" spans="2:12" ht="15.75" thickBot="1" x14ac:dyDescent="0.3">
      <c r="B46" s="114" t="s">
        <v>293</v>
      </c>
      <c r="C46" s="115" t="s">
        <v>268</v>
      </c>
      <c r="D46" s="115" t="s">
        <v>294</v>
      </c>
      <c r="E46" s="115" t="s">
        <v>291</v>
      </c>
      <c r="F46" s="115">
        <v>582</v>
      </c>
      <c r="G46" s="115" t="s">
        <v>284</v>
      </c>
      <c r="H46" s="115">
        <v>25.6</v>
      </c>
      <c r="I46" s="115" t="s">
        <v>142</v>
      </c>
      <c r="K46" s="56"/>
      <c r="L46" s="56"/>
    </row>
    <row r="47" spans="2:12" ht="15.75" thickBot="1" x14ac:dyDescent="0.3">
      <c r="B47" s="48" t="s">
        <v>295</v>
      </c>
      <c r="C47" s="49" t="s">
        <v>268</v>
      </c>
      <c r="D47" s="49" t="s">
        <v>296</v>
      </c>
      <c r="E47" s="49" t="s">
        <v>291</v>
      </c>
      <c r="F47" s="49">
        <v>1175</v>
      </c>
      <c r="G47" s="49" t="s">
        <v>297</v>
      </c>
      <c r="H47" s="49">
        <v>23.3</v>
      </c>
      <c r="I47" s="49" t="s">
        <v>142</v>
      </c>
      <c r="K47" s="56"/>
      <c r="L47" s="56"/>
    </row>
    <row r="48" spans="2:12" ht="15.75" thickBot="1" x14ac:dyDescent="0.3">
      <c r="B48" s="46" t="s">
        <v>298</v>
      </c>
      <c r="C48" s="47" t="s">
        <v>268</v>
      </c>
      <c r="D48" s="47" t="s">
        <v>299</v>
      </c>
      <c r="E48" s="47" t="s">
        <v>175</v>
      </c>
      <c r="F48" s="47">
        <v>1167</v>
      </c>
      <c r="G48" s="47" t="s">
        <v>300</v>
      </c>
      <c r="H48" s="47">
        <v>17.7</v>
      </c>
      <c r="I48" s="47" t="s">
        <v>142</v>
      </c>
      <c r="K48" s="282"/>
      <c r="L48" s="56"/>
    </row>
    <row r="49" spans="2:12" ht="15.75" thickBot="1" x14ac:dyDescent="0.3">
      <c r="B49" s="48" t="s">
        <v>301</v>
      </c>
      <c r="C49" s="49" t="s">
        <v>268</v>
      </c>
      <c r="D49" s="49" t="s">
        <v>302</v>
      </c>
      <c r="E49" s="49" t="s">
        <v>303</v>
      </c>
      <c r="F49" s="49">
        <v>1007</v>
      </c>
      <c r="G49" s="49" t="s">
        <v>245</v>
      </c>
      <c r="H49" s="49">
        <v>20.100000000000001</v>
      </c>
      <c r="I49" s="49" t="s">
        <v>182</v>
      </c>
      <c r="K49" s="56"/>
      <c r="L49" s="56"/>
    </row>
    <row r="50" spans="2:12" ht="15.75" thickBot="1" x14ac:dyDescent="0.3">
      <c r="B50" s="46" t="s">
        <v>304</v>
      </c>
      <c r="C50" s="47" t="s">
        <v>268</v>
      </c>
      <c r="D50" s="47" t="s">
        <v>305</v>
      </c>
      <c r="E50" s="47" t="s">
        <v>175</v>
      </c>
      <c r="F50" s="47">
        <v>960</v>
      </c>
      <c r="G50" s="47" t="s">
        <v>306</v>
      </c>
      <c r="H50" s="47">
        <v>24.6</v>
      </c>
      <c r="I50" s="47" t="s">
        <v>142</v>
      </c>
      <c r="K50" s="56"/>
      <c r="L50" s="56"/>
    </row>
    <row r="51" spans="2:12" ht="15.75" thickBot="1" x14ac:dyDescent="0.3">
      <c r="B51" s="48" t="s">
        <v>307</v>
      </c>
      <c r="C51" s="49" t="s">
        <v>268</v>
      </c>
      <c r="D51" s="49" t="s">
        <v>308</v>
      </c>
      <c r="E51" s="49" t="s">
        <v>175</v>
      </c>
      <c r="F51" s="49">
        <v>665</v>
      </c>
      <c r="G51" s="49" t="s">
        <v>309</v>
      </c>
      <c r="H51" s="49">
        <v>27.5</v>
      </c>
      <c r="I51" s="49" t="s">
        <v>142</v>
      </c>
      <c r="K51" s="56"/>
      <c r="L51" s="56"/>
    </row>
    <row r="52" spans="2:12" ht="15.75" thickBot="1" x14ac:dyDescent="0.3">
      <c r="B52" s="46" t="s">
        <v>310</v>
      </c>
      <c r="C52" s="47" t="s">
        <v>268</v>
      </c>
      <c r="D52" s="47" t="s">
        <v>311</v>
      </c>
      <c r="E52" s="47" t="s">
        <v>175</v>
      </c>
      <c r="F52" s="47">
        <v>1055</v>
      </c>
      <c r="G52" s="47" t="s">
        <v>312</v>
      </c>
      <c r="H52" s="47">
        <v>26.8</v>
      </c>
      <c r="I52" s="47" t="s">
        <v>142</v>
      </c>
      <c r="K52" s="106" t="s">
        <v>392</v>
      </c>
      <c r="L52" s="56"/>
    </row>
    <row r="53" spans="2:12" ht="15.75" thickBot="1" x14ac:dyDescent="0.3">
      <c r="B53" s="114" t="s">
        <v>313</v>
      </c>
      <c r="C53" s="115" t="s">
        <v>268</v>
      </c>
      <c r="D53" s="115" t="s">
        <v>314</v>
      </c>
      <c r="E53" s="115" t="s">
        <v>175</v>
      </c>
      <c r="F53" s="115">
        <v>1028</v>
      </c>
      <c r="G53" s="115" t="s">
        <v>315</v>
      </c>
      <c r="H53" s="115">
        <v>15.6</v>
      </c>
      <c r="I53" s="115" t="s">
        <v>142</v>
      </c>
      <c r="K53" s="105" t="s">
        <v>393</v>
      </c>
    </row>
    <row r="54" spans="2:12" ht="30.75" hidden="1" thickBot="1" x14ac:dyDescent="0.3">
      <c r="B54" s="46" t="s">
        <v>316</v>
      </c>
      <c r="C54" s="47" t="s">
        <v>268</v>
      </c>
      <c r="D54" s="47" t="s">
        <v>317</v>
      </c>
      <c r="E54" s="47" t="s">
        <v>175</v>
      </c>
      <c r="F54" s="47">
        <v>670</v>
      </c>
      <c r="G54" s="47" t="s">
        <v>227</v>
      </c>
      <c r="H54" s="47" t="s">
        <v>318</v>
      </c>
      <c r="I54" s="47" t="s">
        <v>191</v>
      </c>
    </row>
    <row r="55" spans="2:12" ht="30.75" hidden="1" thickBot="1" x14ac:dyDescent="0.3">
      <c r="B55" s="48" t="s">
        <v>319</v>
      </c>
      <c r="C55" s="49" t="s">
        <v>268</v>
      </c>
      <c r="D55" s="49" t="s">
        <v>320</v>
      </c>
      <c r="E55" s="49" t="s">
        <v>175</v>
      </c>
      <c r="F55" s="49">
        <v>768</v>
      </c>
      <c r="G55" s="49" t="s">
        <v>202</v>
      </c>
      <c r="H55" s="49" t="s">
        <v>321</v>
      </c>
      <c r="I55" s="49" t="s">
        <v>191</v>
      </c>
    </row>
    <row r="56" spans="2:12" ht="15.75" thickBot="1" x14ac:dyDescent="0.3">
      <c r="B56" s="46" t="s">
        <v>322</v>
      </c>
      <c r="C56" s="47" t="s">
        <v>268</v>
      </c>
      <c r="D56" s="47" t="s">
        <v>323</v>
      </c>
      <c r="E56" s="47" t="s">
        <v>175</v>
      </c>
      <c r="F56" s="47">
        <v>459</v>
      </c>
      <c r="G56" s="47" t="s">
        <v>202</v>
      </c>
      <c r="H56" s="47">
        <v>19.600000000000001</v>
      </c>
      <c r="I56" s="47" t="s">
        <v>142</v>
      </c>
      <c r="K56" t="s">
        <v>394</v>
      </c>
    </row>
    <row r="57" spans="2:12" ht="15.75" thickBot="1" x14ac:dyDescent="0.3">
      <c r="B57" s="48" t="s">
        <v>324</v>
      </c>
      <c r="C57" s="49" t="s">
        <v>268</v>
      </c>
      <c r="D57" s="49" t="s">
        <v>325</v>
      </c>
      <c r="E57" s="49" t="s">
        <v>175</v>
      </c>
      <c r="F57" s="49">
        <v>1485</v>
      </c>
      <c r="G57" s="49" t="s">
        <v>326</v>
      </c>
      <c r="H57" s="49">
        <v>22</v>
      </c>
      <c r="I57" s="49" t="s">
        <v>127</v>
      </c>
      <c r="K57">
        <f>AVERAGE(H41,H42,H45,H46,H53,H59,H61)</f>
        <v>24.185714285714283</v>
      </c>
    </row>
    <row r="58" spans="2:12" ht="15.75" thickBot="1" x14ac:dyDescent="0.3">
      <c r="B58" s="46" t="s">
        <v>327</v>
      </c>
      <c r="C58" s="47" t="s">
        <v>268</v>
      </c>
      <c r="D58" s="47" t="s">
        <v>328</v>
      </c>
      <c r="E58" s="47" t="s">
        <v>329</v>
      </c>
      <c r="F58" s="47">
        <v>640</v>
      </c>
      <c r="G58" s="47" t="s">
        <v>330</v>
      </c>
      <c r="H58" s="47">
        <v>28.1</v>
      </c>
      <c r="I58" s="47" t="s">
        <v>182</v>
      </c>
      <c r="K58">
        <f>AVERAGE(H41,H42,H53,H59,H61)</f>
        <v>25.74</v>
      </c>
    </row>
    <row r="59" spans="2:12" ht="15.75" thickBot="1" x14ac:dyDescent="0.3">
      <c r="B59" s="114" t="s">
        <v>331</v>
      </c>
      <c r="C59" s="115" t="s">
        <v>268</v>
      </c>
      <c r="D59" s="115" t="s">
        <v>332</v>
      </c>
      <c r="E59" s="115" t="s">
        <v>333</v>
      </c>
      <c r="F59" s="115">
        <v>942</v>
      </c>
      <c r="G59" s="115" t="s">
        <v>334</v>
      </c>
      <c r="H59" s="115">
        <v>34.9</v>
      </c>
      <c r="I59" s="115" t="s">
        <v>142</v>
      </c>
      <c r="K59">
        <f>AVERAGE(H38:H62)</f>
        <v>23.560869565217395</v>
      </c>
    </row>
    <row r="60" spans="2:12" ht="15.75" thickBot="1" x14ac:dyDescent="0.3">
      <c r="B60" s="46" t="s">
        <v>335</v>
      </c>
      <c r="C60" s="47" t="s">
        <v>268</v>
      </c>
      <c r="D60" s="47" t="s">
        <v>336</v>
      </c>
      <c r="E60" s="47" t="s">
        <v>175</v>
      </c>
      <c r="F60" s="47">
        <v>841</v>
      </c>
      <c r="G60" s="47" t="s">
        <v>337</v>
      </c>
      <c r="H60" s="47">
        <v>23.8</v>
      </c>
      <c r="I60" s="47" t="s">
        <v>266</v>
      </c>
    </row>
    <row r="61" spans="2:12" ht="15.75" thickBot="1" x14ac:dyDescent="0.3">
      <c r="B61" s="114" t="s">
        <v>339</v>
      </c>
      <c r="C61" s="115" t="s">
        <v>268</v>
      </c>
      <c r="D61" s="115" t="s">
        <v>340</v>
      </c>
      <c r="E61" s="115" t="s">
        <v>175</v>
      </c>
      <c r="F61" s="115">
        <v>866</v>
      </c>
      <c r="G61" s="115" t="s">
        <v>234</v>
      </c>
      <c r="H61" s="115">
        <v>18.2</v>
      </c>
      <c r="I61" s="115" t="s">
        <v>266</v>
      </c>
    </row>
    <row r="62" spans="2:12" ht="15.75" thickBot="1" x14ac:dyDescent="0.3">
      <c r="B62" s="46" t="s">
        <v>341</v>
      </c>
      <c r="C62" s="47" t="s">
        <v>268</v>
      </c>
      <c r="D62" s="47" t="s">
        <v>342</v>
      </c>
      <c r="E62" s="47" t="s">
        <v>175</v>
      </c>
      <c r="F62" s="47">
        <v>789</v>
      </c>
      <c r="G62" s="47" t="s">
        <v>337</v>
      </c>
      <c r="H62" s="47">
        <v>25.3</v>
      </c>
      <c r="I62" s="47" t="s">
        <v>266</v>
      </c>
    </row>
    <row r="63" spans="2:12" ht="15.75" thickBot="1" x14ac:dyDescent="0.3">
      <c r="B63" s="48" t="s">
        <v>343</v>
      </c>
      <c r="C63" s="49" t="s">
        <v>344</v>
      </c>
      <c r="D63" s="49" t="s">
        <v>345</v>
      </c>
      <c r="E63" s="49" t="s">
        <v>346</v>
      </c>
      <c r="F63" s="49">
        <v>231</v>
      </c>
      <c r="G63" s="49" t="s">
        <v>347</v>
      </c>
      <c r="H63" s="49" t="s">
        <v>338</v>
      </c>
      <c r="I63" s="49" t="s">
        <v>182</v>
      </c>
    </row>
    <row r="64" spans="2:12" ht="15.75" thickBot="1" x14ac:dyDescent="0.3">
      <c r="B64" s="46" t="s">
        <v>348</v>
      </c>
      <c r="C64" s="47" t="s">
        <v>344</v>
      </c>
      <c r="D64" s="47" t="s">
        <v>349</v>
      </c>
      <c r="E64" s="47" t="s">
        <v>124</v>
      </c>
      <c r="F64" s="47">
        <v>1365</v>
      </c>
      <c r="G64" s="47" t="s">
        <v>350</v>
      </c>
      <c r="H64" s="47" t="s">
        <v>334</v>
      </c>
      <c r="I64" s="47" t="s">
        <v>127</v>
      </c>
    </row>
    <row r="66" spans="1:10" x14ac:dyDescent="0.25">
      <c r="A66" s="364" t="s">
        <v>351</v>
      </c>
      <c r="B66" s="364"/>
      <c r="C66" s="364"/>
      <c r="D66" s="364"/>
      <c r="E66" s="364"/>
      <c r="F66" s="364"/>
      <c r="G66" s="364"/>
      <c r="H66" s="364"/>
      <c r="I66" s="364"/>
      <c r="J66" s="364"/>
    </row>
    <row r="67" spans="1:10" x14ac:dyDescent="0.25">
      <c r="A67" s="364"/>
      <c r="B67" s="364"/>
      <c r="C67" s="364"/>
      <c r="D67" s="364"/>
      <c r="E67" s="364"/>
      <c r="F67" s="364"/>
      <c r="G67" s="364"/>
      <c r="H67" s="364"/>
      <c r="I67" s="364"/>
      <c r="J67" s="364"/>
    </row>
    <row r="68" spans="1:10" x14ac:dyDescent="0.25">
      <c r="A68" s="364"/>
      <c r="B68" s="364"/>
      <c r="C68" s="364"/>
      <c r="D68" s="364"/>
      <c r="E68" s="364"/>
      <c r="F68" s="364"/>
      <c r="G68" s="364"/>
      <c r="H68" s="364"/>
      <c r="I68" s="364"/>
      <c r="J68" s="364"/>
    </row>
    <row r="69" spans="1:10" x14ac:dyDescent="0.25">
      <c r="A69" s="364"/>
      <c r="B69" s="364"/>
      <c r="C69" s="364"/>
      <c r="D69" s="364"/>
      <c r="E69" s="364"/>
      <c r="F69" s="364"/>
      <c r="G69" s="364"/>
      <c r="H69" s="364"/>
      <c r="I69" s="364"/>
      <c r="J69" s="364"/>
    </row>
    <row r="70" spans="1:10" x14ac:dyDescent="0.25">
      <c r="A70" s="364"/>
      <c r="B70" s="364"/>
      <c r="C70" s="364"/>
      <c r="D70" s="364"/>
      <c r="E70" s="364"/>
      <c r="F70" s="364"/>
      <c r="G70" s="364"/>
      <c r="H70" s="364"/>
      <c r="I70" s="364"/>
      <c r="J70" s="364"/>
    </row>
    <row r="71" spans="1:10" x14ac:dyDescent="0.25">
      <c r="A71" s="364"/>
      <c r="B71" s="364"/>
      <c r="C71" s="364"/>
      <c r="D71" s="364"/>
      <c r="E71" s="364"/>
      <c r="F71" s="364"/>
      <c r="G71" s="364"/>
      <c r="H71" s="364"/>
      <c r="I71" s="364"/>
      <c r="J71" s="364"/>
    </row>
    <row r="72" spans="1:10" x14ac:dyDescent="0.25">
      <c r="A72" s="364"/>
      <c r="B72" s="364"/>
      <c r="C72" s="364"/>
      <c r="D72" s="364"/>
      <c r="E72" s="364"/>
      <c r="F72" s="364"/>
      <c r="G72" s="364"/>
      <c r="H72" s="364"/>
      <c r="I72" s="364"/>
      <c r="J72" s="364"/>
    </row>
    <row r="73" spans="1:10" x14ac:dyDescent="0.25">
      <c r="A73" s="364"/>
      <c r="B73" s="364"/>
      <c r="C73" s="364"/>
      <c r="D73" s="364"/>
      <c r="E73" s="364"/>
      <c r="F73" s="364"/>
      <c r="G73" s="364"/>
      <c r="H73" s="364"/>
      <c r="I73" s="364"/>
      <c r="J73" s="364"/>
    </row>
    <row r="74" spans="1:10" x14ac:dyDescent="0.25">
      <c r="A74" s="364"/>
      <c r="B74" s="364"/>
      <c r="C74" s="364"/>
      <c r="D74" s="364"/>
      <c r="E74" s="364"/>
      <c r="F74" s="364"/>
      <c r="G74" s="364"/>
      <c r="H74" s="364"/>
      <c r="I74" s="364"/>
      <c r="J74" s="364"/>
    </row>
    <row r="75" spans="1:10" x14ac:dyDescent="0.25">
      <c r="A75" s="364"/>
      <c r="B75" s="364"/>
      <c r="C75" s="364"/>
      <c r="D75" s="364"/>
      <c r="E75" s="364"/>
      <c r="F75" s="364"/>
      <c r="G75" s="364"/>
      <c r="H75" s="364"/>
      <c r="I75" s="364"/>
      <c r="J75" s="364"/>
    </row>
    <row r="76" spans="1:10" x14ac:dyDescent="0.25">
      <c r="A76" s="364"/>
      <c r="B76" s="364"/>
      <c r="C76" s="364"/>
      <c r="D76" s="364"/>
      <c r="E76" s="364"/>
      <c r="F76" s="364"/>
      <c r="G76" s="364"/>
      <c r="H76" s="364"/>
      <c r="I76" s="364"/>
      <c r="J76" s="364"/>
    </row>
    <row r="77" spans="1:10" x14ac:dyDescent="0.25">
      <c r="A77" s="364"/>
      <c r="B77" s="364"/>
      <c r="C77" s="364"/>
      <c r="D77" s="364"/>
      <c r="E77" s="364"/>
      <c r="F77" s="364"/>
      <c r="G77" s="364"/>
      <c r="H77" s="364"/>
      <c r="I77" s="364"/>
      <c r="J77" s="364"/>
    </row>
    <row r="78" spans="1:10" x14ac:dyDescent="0.25">
      <c r="A78" s="364"/>
      <c r="B78" s="364"/>
      <c r="C78" s="364"/>
      <c r="D78" s="364"/>
      <c r="E78" s="364"/>
      <c r="F78" s="364"/>
      <c r="G78" s="364"/>
      <c r="H78" s="364"/>
      <c r="I78" s="364"/>
      <c r="J78" s="364"/>
    </row>
    <row r="79" spans="1:10" x14ac:dyDescent="0.25">
      <c r="A79" s="364"/>
      <c r="B79" s="364"/>
      <c r="C79" s="364"/>
      <c r="D79" s="364"/>
      <c r="E79" s="364"/>
      <c r="F79" s="364"/>
      <c r="G79" s="364"/>
      <c r="H79" s="364"/>
      <c r="I79" s="364"/>
      <c r="J79" s="364"/>
    </row>
    <row r="80" spans="1:10" x14ac:dyDescent="0.25">
      <c r="A80" s="364"/>
      <c r="B80" s="364"/>
      <c r="C80" s="364"/>
      <c r="D80" s="364"/>
      <c r="E80" s="364"/>
      <c r="F80" s="364"/>
      <c r="G80" s="364"/>
      <c r="H80" s="364"/>
      <c r="I80" s="364"/>
      <c r="J80" s="364"/>
    </row>
    <row r="81" spans="1:10" x14ac:dyDescent="0.25">
      <c r="A81" s="364"/>
      <c r="B81" s="364"/>
      <c r="C81" s="364"/>
      <c r="D81" s="364"/>
      <c r="E81" s="364"/>
      <c r="F81" s="364"/>
      <c r="G81" s="364"/>
      <c r="H81" s="364"/>
      <c r="I81" s="364"/>
      <c r="J81" s="364"/>
    </row>
    <row r="82" spans="1:10" x14ac:dyDescent="0.25">
      <c r="A82" s="364"/>
      <c r="B82" s="364"/>
      <c r="C82" s="364"/>
      <c r="D82" s="364"/>
      <c r="E82" s="364"/>
      <c r="F82" s="364"/>
      <c r="G82" s="364"/>
      <c r="H82" s="364"/>
      <c r="I82" s="364"/>
      <c r="J82" s="364"/>
    </row>
    <row r="83" spans="1:10" x14ac:dyDescent="0.25">
      <c r="A83" s="364"/>
      <c r="B83" s="364"/>
      <c r="C83" s="364"/>
      <c r="D83" s="364"/>
      <c r="E83" s="364"/>
      <c r="F83" s="364"/>
      <c r="G83" s="364"/>
      <c r="H83" s="364"/>
      <c r="I83" s="364"/>
      <c r="J83" s="364"/>
    </row>
    <row r="84" spans="1:10" x14ac:dyDescent="0.25">
      <c r="A84" s="364"/>
      <c r="B84" s="364"/>
      <c r="C84" s="364"/>
      <c r="D84" s="364"/>
      <c r="E84" s="364"/>
      <c r="F84" s="364"/>
      <c r="G84" s="364"/>
      <c r="H84" s="364"/>
      <c r="I84" s="364"/>
      <c r="J84" s="364"/>
    </row>
    <row r="85" spans="1:10" x14ac:dyDescent="0.25">
      <c r="A85" s="364"/>
      <c r="B85" s="364"/>
      <c r="C85" s="364"/>
      <c r="D85" s="364"/>
      <c r="E85" s="364"/>
      <c r="F85" s="364"/>
      <c r="G85" s="364"/>
      <c r="H85" s="364"/>
      <c r="I85" s="364"/>
      <c r="J85" s="364"/>
    </row>
  </sheetData>
  <autoFilter ref="B1:I64">
    <filterColumn colId="7">
      <filters>
        <filter val="BHT"/>
        <filter val="EQM"/>
        <filter val="LOG"/>
        <filter val="VST"/>
      </filters>
    </filterColumn>
  </autoFilter>
  <mergeCells count="1">
    <mergeCell ref="A66:J8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selection activeCell="E33" sqref="E33"/>
    </sheetView>
  </sheetViews>
  <sheetFormatPr defaultColWidth="11.42578125" defaultRowHeight="15" x14ac:dyDescent="0.25"/>
  <cols>
    <col min="1" max="1" width="17.7109375" bestFit="1" customWidth="1"/>
  </cols>
  <sheetData>
    <row r="1" spans="1:21" x14ac:dyDescent="0.25">
      <c r="A1" t="s">
        <v>374</v>
      </c>
    </row>
    <row r="2" spans="1:21" x14ac:dyDescent="0.25">
      <c r="A2" s="51" t="s">
        <v>353</v>
      </c>
      <c r="B2" s="51" t="s">
        <v>462</v>
      </c>
      <c r="C2" s="51" t="s">
        <v>354</v>
      </c>
      <c r="D2" s="51" t="s">
        <v>355</v>
      </c>
      <c r="E2" s="51" t="s">
        <v>400</v>
      </c>
      <c r="F2" s="51" t="s">
        <v>401</v>
      </c>
      <c r="G2" s="51" t="s">
        <v>402</v>
      </c>
      <c r="H2" s="51" t="s">
        <v>403</v>
      </c>
      <c r="I2" s="51" t="s">
        <v>474</v>
      </c>
      <c r="J2" s="51" t="s">
        <v>356</v>
      </c>
      <c r="K2" s="51"/>
      <c r="M2" s="51"/>
      <c r="N2" s="51"/>
      <c r="O2" s="51"/>
      <c r="P2" s="51"/>
      <c r="Q2" s="51"/>
      <c r="R2" s="51"/>
      <c r="S2" s="51"/>
      <c r="T2" s="51"/>
      <c r="U2" s="51"/>
    </row>
    <row r="3" spans="1:21" x14ac:dyDescent="0.25">
      <c r="A3" s="51" t="s">
        <v>463</v>
      </c>
      <c r="B3" s="51" t="s">
        <v>464</v>
      </c>
      <c r="C3" s="51">
        <v>52.713700000000003</v>
      </c>
      <c r="D3" s="51">
        <v>-1.3287</v>
      </c>
      <c r="E3" s="51">
        <v>152</v>
      </c>
      <c r="F3" s="51">
        <v>5</v>
      </c>
      <c r="G3" s="51">
        <v>151</v>
      </c>
      <c r="H3" s="51">
        <v>25</v>
      </c>
      <c r="I3" s="51">
        <v>53</v>
      </c>
      <c r="J3" s="51">
        <v>1</v>
      </c>
      <c r="M3" s="50"/>
      <c r="N3" s="50"/>
      <c r="O3" s="50"/>
      <c r="P3" s="50"/>
      <c r="Q3" s="50"/>
      <c r="R3" s="50"/>
      <c r="S3" s="50"/>
      <c r="T3" s="50"/>
      <c r="U3" s="50"/>
    </row>
    <row r="4" spans="1:21" x14ac:dyDescent="0.25">
      <c r="A4" s="51" t="s">
        <v>463</v>
      </c>
      <c r="B4" s="51" t="s">
        <v>465</v>
      </c>
      <c r="C4" s="51">
        <v>51.688299999999998</v>
      </c>
      <c r="D4" s="51">
        <v>-3.6505000000000001</v>
      </c>
      <c r="E4" s="51">
        <v>365</v>
      </c>
      <c r="F4" s="51">
        <v>99</v>
      </c>
      <c r="G4" s="51">
        <v>352</v>
      </c>
      <c r="H4" s="51">
        <v>69</v>
      </c>
      <c r="I4" s="51">
        <v>35</v>
      </c>
      <c r="J4" s="51">
        <v>1</v>
      </c>
      <c r="M4" s="50"/>
      <c r="N4" s="50"/>
      <c r="O4" s="50"/>
      <c r="P4" s="50"/>
      <c r="Q4" s="50"/>
      <c r="R4" s="50"/>
      <c r="S4" s="50"/>
      <c r="T4" s="50"/>
      <c r="U4" s="50"/>
    </row>
    <row r="5" spans="1:21" x14ac:dyDescent="0.25">
      <c r="A5" s="51" t="s">
        <v>463</v>
      </c>
      <c r="B5" s="51" t="s">
        <v>466</v>
      </c>
      <c r="C5" s="51">
        <v>52.552799999999998</v>
      </c>
      <c r="D5" s="51">
        <v>-2.8546999999999998</v>
      </c>
      <c r="E5" s="51">
        <v>481</v>
      </c>
      <c r="F5" s="51">
        <v>30</v>
      </c>
      <c r="G5" s="51">
        <v>98</v>
      </c>
      <c r="H5" s="51">
        <v>32</v>
      </c>
      <c r="I5" s="51">
        <v>45</v>
      </c>
      <c r="J5" s="51">
        <v>1</v>
      </c>
      <c r="M5" s="50"/>
      <c r="N5" s="50"/>
      <c r="O5" s="50"/>
      <c r="P5" s="50"/>
      <c r="Q5" s="50"/>
      <c r="R5" s="50"/>
      <c r="S5" s="50"/>
      <c r="T5" s="50"/>
      <c r="U5" s="50"/>
    </row>
    <row r="6" spans="1:21" x14ac:dyDescent="0.25">
      <c r="A6" s="51" t="s">
        <v>463</v>
      </c>
      <c r="B6" s="51" t="s">
        <v>467</v>
      </c>
      <c r="C6" s="51">
        <v>53.541200000000003</v>
      </c>
      <c r="D6" s="51">
        <v>-3.4200000000000001E-2</v>
      </c>
      <c r="E6" s="51">
        <v>5</v>
      </c>
      <c r="F6" s="51">
        <v>8</v>
      </c>
      <c r="G6" s="51">
        <v>1850</v>
      </c>
      <c r="H6" s="51">
        <v>89</v>
      </c>
      <c r="I6" s="51">
        <v>73</v>
      </c>
      <c r="J6" s="51">
        <v>1</v>
      </c>
      <c r="N6" s="50"/>
      <c r="O6" s="50"/>
      <c r="P6" s="50"/>
      <c r="Q6" s="50"/>
      <c r="R6" s="50"/>
      <c r="S6" s="50"/>
      <c r="T6" s="50"/>
      <c r="U6" s="50"/>
    </row>
    <row r="7" spans="1:21" x14ac:dyDescent="0.25">
      <c r="A7" s="51" t="s">
        <v>463</v>
      </c>
      <c r="B7" s="51" t="s">
        <v>468</v>
      </c>
      <c r="C7" s="51">
        <v>53.863799999999998</v>
      </c>
      <c r="D7" s="51">
        <v>-2.3719999999999999</v>
      </c>
      <c r="E7" s="51">
        <v>114</v>
      </c>
      <c r="F7" s="51">
        <v>81</v>
      </c>
      <c r="G7" s="51">
        <v>294</v>
      </c>
      <c r="H7" s="51">
        <v>69</v>
      </c>
      <c r="I7" s="51">
        <v>40</v>
      </c>
      <c r="J7" s="51">
        <v>1</v>
      </c>
      <c r="N7" s="50"/>
      <c r="O7" s="50"/>
      <c r="P7" s="50"/>
      <c r="Q7" s="50"/>
      <c r="R7" s="50"/>
      <c r="S7" s="50"/>
      <c r="T7" s="50"/>
      <c r="U7" s="50"/>
    </row>
    <row r="8" spans="1:21" x14ac:dyDescent="0.25">
      <c r="A8" s="51" t="s">
        <v>463</v>
      </c>
      <c r="B8" s="51" t="s">
        <v>357</v>
      </c>
      <c r="C8" s="51">
        <v>54.619500000000002</v>
      </c>
      <c r="D8" s="51">
        <v>-2.4874999999999998</v>
      </c>
      <c r="E8" s="51">
        <v>179</v>
      </c>
      <c r="F8" s="51">
        <v>100</v>
      </c>
      <c r="G8" s="51">
        <v>224</v>
      </c>
      <c r="H8" s="51">
        <v>85</v>
      </c>
      <c r="I8" s="51">
        <v>1</v>
      </c>
      <c r="J8" s="50"/>
      <c r="K8" s="50"/>
      <c r="M8" s="50"/>
      <c r="N8" s="50"/>
      <c r="O8" s="50"/>
      <c r="P8" s="50"/>
      <c r="Q8" s="50"/>
      <c r="R8" s="50"/>
      <c r="S8" s="50"/>
      <c r="T8" s="50"/>
      <c r="U8" s="50"/>
    </row>
    <row r="9" spans="1:21" x14ac:dyDescent="0.25">
      <c r="A9" s="55" t="s">
        <v>463</v>
      </c>
      <c r="B9" s="55" t="s">
        <v>358</v>
      </c>
      <c r="C9" s="55">
        <v>55.971200000000003</v>
      </c>
      <c r="D9" s="55">
        <v>-3.1488</v>
      </c>
      <c r="E9" s="55">
        <v>215</v>
      </c>
      <c r="F9" s="55">
        <v>102</v>
      </c>
      <c r="G9" s="55">
        <v>215</v>
      </c>
      <c r="H9" s="55">
        <v>37</v>
      </c>
      <c r="I9" s="55">
        <v>53</v>
      </c>
      <c r="J9" s="55">
        <v>1</v>
      </c>
      <c r="K9" s="113"/>
      <c r="M9" s="50"/>
      <c r="N9" s="50"/>
      <c r="O9" s="50"/>
      <c r="P9" s="50"/>
      <c r="Q9" s="50"/>
      <c r="R9" s="50"/>
      <c r="S9" s="50"/>
      <c r="T9" s="50"/>
      <c r="U9" s="50"/>
    </row>
    <row r="10" spans="1:21" x14ac:dyDescent="0.25">
      <c r="A10" s="51" t="s">
        <v>463</v>
      </c>
      <c r="B10" s="51" t="s">
        <v>469</v>
      </c>
      <c r="C10" s="51">
        <v>51.714700000000001</v>
      </c>
      <c r="D10" s="51">
        <v>-4.1913</v>
      </c>
      <c r="E10" s="51">
        <v>149</v>
      </c>
      <c r="F10" s="51">
        <v>105</v>
      </c>
      <c r="G10" s="51">
        <v>228</v>
      </c>
      <c r="H10" s="51">
        <v>25</v>
      </c>
      <c r="I10" s="51">
        <v>50</v>
      </c>
      <c r="J10" s="51">
        <v>1</v>
      </c>
      <c r="M10" s="50"/>
      <c r="N10" s="50"/>
      <c r="O10" s="50"/>
      <c r="P10" s="50"/>
      <c r="Q10" s="50"/>
      <c r="R10" s="50"/>
      <c r="S10" s="50"/>
      <c r="T10" s="50"/>
      <c r="U10" s="50"/>
    </row>
    <row r="11" spans="1:21" x14ac:dyDescent="0.25">
      <c r="A11" s="51" t="s">
        <v>463</v>
      </c>
      <c r="B11" s="51" t="s">
        <v>267</v>
      </c>
      <c r="C11" s="51">
        <v>56.215000000000003</v>
      </c>
      <c r="D11" s="51">
        <v>-3.1995</v>
      </c>
      <c r="E11" s="51">
        <v>195</v>
      </c>
      <c r="F11" s="51">
        <v>135</v>
      </c>
      <c r="G11" s="51">
        <v>279</v>
      </c>
      <c r="H11" s="51">
        <v>32</v>
      </c>
      <c r="I11" s="51">
        <v>56</v>
      </c>
      <c r="J11" s="51">
        <v>1</v>
      </c>
      <c r="K11" s="50"/>
      <c r="M11" s="50"/>
      <c r="N11" s="50"/>
      <c r="O11" s="50"/>
      <c r="P11" s="50"/>
      <c r="Q11" s="50"/>
      <c r="R11" s="50"/>
      <c r="S11" s="50"/>
      <c r="T11" s="50"/>
      <c r="U11" s="50"/>
    </row>
    <row r="12" spans="1:21" x14ac:dyDescent="0.25">
      <c r="A12" s="51" t="s">
        <v>463</v>
      </c>
      <c r="B12" s="51" t="s">
        <v>359</v>
      </c>
      <c r="C12" s="51">
        <v>53.891300000000001</v>
      </c>
      <c r="D12" s="51">
        <v>-1.5105</v>
      </c>
      <c r="E12" s="51">
        <v>92</v>
      </c>
      <c r="F12" s="51">
        <v>110</v>
      </c>
      <c r="G12" s="51">
        <v>271</v>
      </c>
      <c r="H12" s="51">
        <v>44</v>
      </c>
      <c r="I12" s="51">
        <v>65</v>
      </c>
      <c r="J12" s="51">
        <v>1</v>
      </c>
      <c r="K12" s="50"/>
      <c r="M12" s="50"/>
      <c r="N12" s="50"/>
      <c r="O12" s="50"/>
      <c r="P12" s="50"/>
      <c r="Q12" s="50"/>
      <c r="R12" s="50"/>
      <c r="S12" s="50"/>
      <c r="T12" s="50"/>
      <c r="U12" s="50"/>
    </row>
    <row r="13" spans="1:21" x14ac:dyDescent="0.25">
      <c r="A13" s="51" t="s">
        <v>463</v>
      </c>
      <c r="B13" s="51" t="s">
        <v>470</v>
      </c>
      <c r="C13" s="51">
        <v>52.1295</v>
      </c>
      <c r="D13" s="51">
        <v>-3.6425000000000001</v>
      </c>
      <c r="E13" s="51">
        <v>294</v>
      </c>
      <c r="F13" s="51">
        <v>6</v>
      </c>
      <c r="G13" s="51">
        <v>205</v>
      </c>
      <c r="H13" s="51">
        <v>62</v>
      </c>
      <c r="I13" s="51">
        <v>58</v>
      </c>
      <c r="J13" s="51">
        <v>1</v>
      </c>
    </row>
    <row r="14" spans="1:21" x14ac:dyDescent="0.25">
      <c r="A14" s="51" t="s">
        <v>463</v>
      </c>
      <c r="B14" s="51" t="s">
        <v>360</v>
      </c>
      <c r="C14" s="51">
        <v>55.227499999999999</v>
      </c>
      <c r="D14" s="51">
        <v>-1.7727999999999999</v>
      </c>
      <c r="E14" s="51">
        <v>145</v>
      </c>
      <c r="F14" s="51">
        <v>100</v>
      </c>
      <c r="G14" s="51">
        <v>1828</v>
      </c>
      <c r="H14" s="51">
        <v>111</v>
      </c>
      <c r="I14" s="51">
        <v>92</v>
      </c>
      <c r="J14" s="51">
        <v>1</v>
      </c>
    </row>
    <row r="15" spans="1:21" x14ac:dyDescent="0.25">
      <c r="A15" s="51" t="s">
        <v>463</v>
      </c>
      <c r="B15" s="51" t="s">
        <v>471</v>
      </c>
      <c r="C15" s="51">
        <v>53.802799999999998</v>
      </c>
      <c r="D15" s="51">
        <v>-0.69469999999999998</v>
      </c>
      <c r="E15" s="51">
        <v>3</v>
      </c>
      <c r="F15" s="51">
        <v>208</v>
      </c>
      <c r="G15" s="51">
        <v>299</v>
      </c>
      <c r="H15" s="51">
        <v>30</v>
      </c>
      <c r="I15" s="51">
        <v>57</v>
      </c>
      <c r="J15" s="51">
        <v>1</v>
      </c>
    </row>
    <row r="16" spans="1:21" x14ac:dyDescent="0.25">
      <c r="A16" s="51" t="s">
        <v>463</v>
      </c>
      <c r="B16" s="51" t="s">
        <v>472</v>
      </c>
      <c r="C16" s="51">
        <v>52.7562</v>
      </c>
      <c r="D16" s="51">
        <v>-0.29380000000000001</v>
      </c>
      <c r="E16" s="51">
        <v>129</v>
      </c>
      <c r="F16" s="51">
        <v>10</v>
      </c>
      <c r="G16" s="51">
        <v>823</v>
      </c>
      <c r="H16" s="51">
        <v>91</v>
      </c>
      <c r="I16" s="51">
        <v>54</v>
      </c>
      <c r="J16" s="51">
        <v>1</v>
      </c>
    </row>
    <row r="17" spans="1:11" x14ac:dyDescent="0.25">
      <c r="A17" s="51" t="s">
        <v>463</v>
      </c>
      <c r="B17" s="51" t="s">
        <v>361</v>
      </c>
      <c r="C17" s="51">
        <v>54.652999999999999</v>
      </c>
      <c r="D17" s="51">
        <v>-2.5453000000000001</v>
      </c>
      <c r="E17" s="51">
        <v>160</v>
      </c>
      <c r="F17" s="51">
        <v>100</v>
      </c>
      <c r="G17" s="51">
        <v>246</v>
      </c>
      <c r="H17" s="51">
        <v>85</v>
      </c>
      <c r="I17" s="51">
        <v>1</v>
      </c>
      <c r="J17" s="50"/>
      <c r="K17" s="50"/>
    </row>
    <row r="18" spans="1:11" x14ac:dyDescent="0.25">
      <c r="A18" s="51" t="s">
        <v>463</v>
      </c>
      <c r="B18" s="51" t="s">
        <v>362</v>
      </c>
      <c r="C18" s="51">
        <v>51.553800000000003</v>
      </c>
      <c r="D18" s="51">
        <v>-3.3422000000000001</v>
      </c>
      <c r="E18" s="51">
        <v>100</v>
      </c>
      <c r="F18" s="51">
        <v>37</v>
      </c>
      <c r="G18" s="51">
        <v>107</v>
      </c>
      <c r="H18" s="51">
        <v>15</v>
      </c>
      <c r="I18" s="51">
        <v>48</v>
      </c>
      <c r="J18" s="51">
        <v>1</v>
      </c>
      <c r="K18" s="50"/>
    </row>
    <row r="19" spans="1:11" x14ac:dyDescent="0.25">
      <c r="A19" s="51" t="s">
        <v>463</v>
      </c>
      <c r="B19" s="51" t="s">
        <v>363</v>
      </c>
      <c r="C19" s="51">
        <v>52.833300000000001</v>
      </c>
      <c r="D19" s="51">
        <v>-4.6295000000000002</v>
      </c>
      <c r="E19" s="51">
        <v>294</v>
      </c>
      <c r="F19" s="51">
        <v>12</v>
      </c>
      <c r="G19" s="51">
        <v>57</v>
      </c>
      <c r="H19" s="51">
        <v>16</v>
      </c>
      <c r="I19" s="51">
        <v>39</v>
      </c>
      <c r="J19" s="51">
        <v>1</v>
      </c>
      <c r="K19" s="50"/>
    </row>
    <row r="20" spans="1:11" x14ac:dyDescent="0.25">
      <c r="A20" s="51" t="s">
        <v>463</v>
      </c>
      <c r="B20" s="51" t="s">
        <v>473</v>
      </c>
      <c r="C20" s="51">
        <v>54.9178</v>
      </c>
      <c r="D20" s="51">
        <v>-1.7403</v>
      </c>
      <c r="E20" s="51">
        <v>43</v>
      </c>
      <c r="F20" s="51">
        <v>132</v>
      </c>
      <c r="G20" s="51">
        <v>237</v>
      </c>
      <c r="H20" s="51">
        <v>30</v>
      </c>
      <c r="I20" s="51">
        <v>103</v>
      </c>
      <c r="J20" s="51">
        <v>1</v>
      </c>
    </row>
    <row r="21" spans="1:11" x14ac:dyDescent="0.25">
      <c r="A21" s="51" t="s">
        <v>463</v>
      </c>
      <c r="B21" s="51" t="s">
        <v>364</v>
      </c>
      <c r="C21" s="51">
        <v>55.541699999999999</v>
      </c>
      <c r="D21" s="51">
        <v>-2.8250000000000002</v>
      </c>
      <c r="E21" s="51">
        <v>240</v>
      </c>
      <c r="F21" s="51">
        <v>6</v>
      </c>
      <c r="G21" s="51">
        <v>186</v>
      </c>
      <c r="H21" s="51">
        <v>61</v>
      </c>
      <c r="I21" s="51">
        <v>56</v>
      </c>
      <c r="J21" s="51">
        <v>1</v>
      </c>
      <c r="K21" s="50"/>
    </row>
    <row r="22" spans="1:11" x14ac:dyDescent="0.25">
      <c r="A22" s="51" t="s">
        <v>463</v>
      </c>
      <c r="B22" s="51" t="s">
        <v>365</v>
      </c>
      <c r="C22" s="51">
        <v>54.020299999999999</v>
      </c>
      <c r="D22" s="51">
        <v>-1.1688000000000001</v>
      </c>
      <c r="E22" s="51">
        <v>15</v>
      </c>
      <c r="F22" s="51">
        <v>360</v>
      </c>
      <c r="G22" s="51">
        <v>490</v>
      </c>
      <c r="H22" s="51">
        <v>8</v>
      </c>
      <c r="I22" s="51">
        <v>57</v>
      </c>
      <c r="J22" s="51">
        <v>1</v>
      </c>
      <c r="K22" s="50"/>
    </row>
    <row r="23" spans="1:11" x14ac:dyDescent="0.25">
      <c r="A23" s="51" t="s">
        <v>463</v>
      </c>
      <c r="B23" s="51" t="s">
        <v>366</v>
      </c>
      <c r="C23" s="51">
        <v>54.085500000000003</v>
      </c>
      <c r="D23" s="51">
        <v>-2.5632999999999999</v>
      </c>
      <c r="E23" s="51">
        <v>303</v>
      </c>
      <c r="F23" s="51">
        <v>100</v>
      </c>
      <c r="G23" s="51">
        <v>303</v>
      </c>
      <c r="H23" s="51">
        <v>68</v>
      </c>
      <c r="I23" s="51">
        <v>40</v>
      </c>
      <c r="J23" s="51">
        <v>1</v>
      </c>
      <c r="K23" s="50"/>
    </row>
    <row r="24" spans="1:11" x14ac:dyDescent="0.25">
      <c r="A24" s="51" t="s">
        <v>463</v>
      </c>
      <c r="B24" s="51" t="s">
        <v>367</v>
      </c>
      <c r="C24" s="51">
        <v>52.094200000000001</v>
      </c>
      <c r="D24" s="51">
        <v>-2.3357999999999999</v>
      </c>
      <c r="E24" s="51">
        <v>234</v>
      </c>
      <c r="F24" s="51">
        <v>40</v>
      </c>
      <c r="G24" s="51">
        <v>80</v>
      </c>
      <c r="H24" s="51">
        <v>21</v>
      </c>
      <c r="I24" s="51">
        <v>39</v>
      </c>
      <c r="J24" s="51">
        <v>1</v>
      </c>
      <c r="K24" s="50"/>
    </row>
    <row r="26" spans="1:11" x14ac:dyDescent="0.25">
      <c r="A26" s="52" t="s">
        <v>368</v>
      </c>
    </row>
    <row r="28" spans="1:11" x14ac:dyDescent="0.25">
      <c r="F28" s="21"/>
    </row>
    <row r="29" spans="1:11" x14ac:dyDescent="0.25">
      <c r="A29" s="53" t="s">
        <v>268</v>
      </c>
      <c r="B29" s="53" t="s">
        <v>369</v>
      </c>
      <c r="C29" s="53">
        <v>46</v>
      </c>
      <c r="F29" s="21"/>
    </row>
    <row r="30" spans="1:11" x14ac:dyDescent="0.25">
      <c r="A30" s="53" t="s">
        <v>268</v>
      </c>
      <c r="B30" s="53" t="s">
        <v>271</v>
      </c>
      <c r="C30" s="53">
        <v>37</v>
      </c>
      <c r="F30" s="21"/>
    </row>
    <row r="31" spans="1:11" x14ac:dyDescent="0.25">
      <c r="A31" s="53" t="s">
        <v>268</v>
      </c>
      <c r="B31" s="53" t="s">
        <v>301</v>
      </c>
      <c r="C31" s="53">
        <v>40</v>
      </c>
      <c r="F31" s="21"/>
    </row>
    <row r="32" spans="1:11" x14ac:dyDescent="0.25">
      <c r="A32" s="53" t="s">
        <v>268</v>
      </c>
      <c r="B32" s="53" t="s">
        <v>267</v>
      </c>
      <c r="C32" s="53">
        <v>56</v>
      </c>
    </row>
    <row r="33" spans="1:11" x14ac:dyDescent="0.25">
      <c r="A33" s="53" t="s">
        <v>268</v>
      </c>
      <c r="B33" s="53" t="s">
        <v>370</v>
      </c>
      <c r="C33" s="53">
        <v>51</v>
      </c>
    </row>
    <row r="34" spans="1:11" x14ac:dyDescent="0.25">
      <c r="A34" s="53" t="s">
        <v>268</v>
      </c>
      <c r="B34" s="53" t="s">
        <v>327</v>
      </c>
      <c r="C34" s="53">
        <v>62</v>
      </c>
      <c r="F34" s="57"/>
      <c r="G34" s="57"/>
      <c r="H34" s="57"/>
      <c r="I34" s="57"/>
      <c r="J34" s="57"/>
      <c r="K34" s="57"/>
    </row>
    <row r="35" spans="1:11" x14ac:dyDescent="0.25">
      <c r="A35" s="53" t="s">
        <v>156</v>
      </c>
      <c r="B35" s="53" t="s">
        <v>160</v>
      </c>
      <c r="C35" s="53">
        <v>55</v>
      </c>
      <c r="F35" s="57"/>
      <c r="G35" s="57"/>
      <c r="H35" s="57"/>
      <c r="I35" s="57"/>
      <c r="J35" s="57"/>
      <c r="K35" s="57"/>
    </row>
    <row r="36" spans="1:11" x14ac:dyDescent="0.25">
      <c r="A36" s="53" t="s">
        <v>156</v>
      </c>
      <c r="B36" s="53" t="s">
        <v>178</v>
      </c>
      <c r="C36" s="53">
        <v>72</v>
      </c>
      <c r="F36" s="57"/>
      <c r="G36" s="57"/>
      <c r="H36" s="57"/>
      <c r="I36" s="57"/>
      <c r="J36" s="57"/>
      <c r="K36" s="57"/>
    </row>
    <row r="37" spans="1:11" x14ac:dyDescent="0.25">
      <c r="A37" s="53" t="s">
        <v>156</v>
      </c>
      <c r="B37" s="53" t="s">
        <v>183</v>
      </c>
      <c r="C37" s="53">
        <v>59</v>
      </c>
      <c r="F37" s="57"/>
      <c r="G37" s="57"/>
      <c r="H37" s="57"/>
      <c r="I37" s="57"/>
      <c r="J37" s="57"/>
      <c r="K37" s="57"/>
    </row>
    <row r="38" spans="1:11" x14ac:dyDescent="0.25">
      <c r="A38" s="53" t="s">
        <v>156</v>
      </c>
      <c r="B38" s="53" t="s">
        <v>371</v>
      </c>
      <c r="C38" s="53">
        <v>54</v>
      </c>
      <c r="F38" s="57"/>
      <c r="G38" s="57"/>
      <c r="H38" s="57"/>
      <c r="I38" s="57"/>
      <c r="J38" s="57"/>
      <c r="K38" s="57"/>
    </row>
    <row r="39" spans="1:11" x14ac:dyDescent="0.25">
      <c r="A39" s="53" t="s">
        <v>156</v>
      </c>
      <c r="B39" s="53" t="s">
        <v>372</v>
      </c>
      <c r="C39" s="53">
        <v>60</v>
      </c>
      <c r="F39" s="57"/>
      <c r="G39" s="57"/>
      <c r="H39" s="57"/>
      <c r="I39" s="57"/>
      <c r="J39" s="57"/>
      <c r="K39" s="57"/>
    </row>
    <row r="40" spans="1:11" x14ac:dyDescent="0.25">
      <c r="A40" s="53" t="s">
        <v>156</v>
      </c>
      <c r="B40" s="53" t="s">
        <v>373</v>
      </c>
      <c r="C40" s="53">
        <v>60</v>
      </c>
      <c r="F40" s="57"/>
      <c r="G40" s="57"/>
      <c r="H40" s="57"/>
      <c r="I40" s="57"/>
      <c r="J40" s="57"/>
      <c r="K40" s="57"/>
    </row>
    <row r="41" spans="1:11" x14ac:dyDescent="0.25">
      <c r="A41" s="53" t="s">
        <v>156</v>
      </c>
      <c r="B41" s="53" t="s">
        <v>259</v>
      </c>
      <c r="C41" s="53">
        <v>63</v>
      </c>
      <c r="F41" s="57"/>
      <c r="G41" s="57"/>
      <c r="H41" s="57"/>
      <c r="I41" s="57"/>
      <c r="J41" s="57"/>
      <c r="K41" s="57"/>
    </row>
    <row r="42" spans="1:11" x14ac:dyDescent="0.25">
      <c r="F42" s="57"/>
      <c r="G42" s="57"/>
      <c r="H42" s="57"/>
      <c r="I42" s="57"/>
      <c r="J42" s="57"/>
      <c r="K42" s="57"/>
    </row>
    <row r="46" spans="1:11" x14ac:dyDescent="0.25">
      <c r="A46" t="s">
        <v>396</v>
      </c>
    </row>
    <row r="47" spans="1:11" x14ac:dyDescent="0.25">
      <c r="A47" t="s">
        <v>395</v>
      </c>
    </row>
    <row r="48" spans="1:11" x14ac:dyDescent="0.25">
      <c r="F48" s="57"/>
      <c r="G48" s="57"/>
      <c r="H48" s="57"/>
      <c r="I48" s="57"/>
      <c r="J48" s="57"/>
    </row>
    <row r="49" spans="1:10" x14ac:dyDescent="0.25">
      <c r="A49" t="s">
        <v>376</v>
      </c>
      <c r="F49" s="57"/>
      <c r="G49" s="57"/>
      <c r="H49" s="57"/>
      <c r="I49" s="57"/>
      <c r="J49" s="57"/>
    </row>
    <row r="50" spans="1:10" x14ac:dyDescent="0.25">
      <c r="A50" t="s">
        <v>377</v>
      </c>
      <c r="F50" s="57"/>
      <c r="G50" s="57"/>
      <c r="H50" s="57"/>
      <c r="I50" s="57"/>
      <c r="J50" s="57"/>
    </row>
    <row r="51" spans="1:10" x14ac:dyDescent="0.25">
      <c r="A51" t="s">
        <v>378</v>
      </c>
      <c r="F51" s="57"/>
      <c r="G51" s="57"/>
      <c r="H51" s="57"/>
      <c r="I51" s="57"/>
      <c r="J51" s="57"/>
    </row>
    <row r="52" spans="1:10" x14ac:dyDescent="0.25">
      <c r="A52" t="s">
        <v>379</v>
      </c>
    </row>
    <row r="53" spans="1:10" x14ac:dyDescent="0.25">
      <c r="A53" t="s">
        <v>380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opLeftCell="A37" zoomScale="80" zoomScaleNormal="80" workbookViewId="0">
      <selection activeCell="H71" sqref="H71"/>
    </sheetView>
  </sheetViews>
  <sheetFormatPr defaultColWidth="11.5703125" defaultRowHeight="12.75" x14ac:dyDescent="0.2"/>
  <cols>
    <col min="1" max="1" width="1.85546875" style="70" customWidth="1"/>
    <col min="2" max="2" width="27.28515625" style="70" bestFit="1" customWidth="1"/>
    <col min="3" max="3" width="11.5703125" style="70" customWidth="1"/>
    <col min="4" max="4" width="12.28515625" style="70" bestFit="1" customWidth="1"/>
    <col min="5" max="5" width="17.42578125" style="70" bestFit="1" customWidth="1"/>
    <col min="6" max="6" width="12.28515625" style="70" bestFit="1" customWidth="1"/>
    <col min="7" max="7" width="12.140625" style="70" bestFit="1" customWidth="1"/>
    <col min="8" max="8" width="12.28515625" style="70" bestFit="1" customWidth="1"/>
    <col min="9" max="9" width="8.42578125" style="70" bestFit="1" customWidth="1"/>
    <col min="10" max="10" width="8.140625" style="70" bestFit="1" customWidth="1"/>
    <col min="11" max="11" width="15.5703125" style="70" customWidth="1"/>
    <col min="12" max="12" width="13" style="70" customWidth="1"/>
    <col min="13" max="13" width="18.7109375" style="70" customWidth="1"/>
    <col min="14" max="14" width="9.5703125" style="70" customWidth="1"/>
    <col min="15" max="15" width="9.42578125" style="70" customWidth="1"/>
    <col min="16" max="16" width="6.7109375" style="70" bestFit="1" customWidth="1"/>
    <col min="17" max="17" width="20.42578125" style="70" customWidth="1"/>
    <col min="18" max="18" width="100.140625" style="70" customWidth="1"/>
    <col min="19" max="19" width="19.28515625" style="70" customWidth="1"/>
    <col min="20" max="16384" width="11.5703125" style="70"/>
  </cols>
  <sheetData>
    <row r="1" spans="1:24" ht="15.75" thickBot="1" x14ac:dyDescent="0.3">
      <c r="B1" s="125"/>
      <c r="C1" s="124"/>
      <c r="D1" s="124"/>
      <c r="E1" s="124"/>
      <c r="F1" s="377" t="s">
        <v>449</v>
      </c>
      <c r="G1" s="378"/>
      <c r="H1" s="378"/>
      <c r="I1" s="378"/>
      <c r="J1" s="378"/>
      <c r="K1" s="378"/>
      <c r="L1" s="379"/>
      <c r="Q1" s="139" t="s">
        <v>442</v>
      </c>
      <c r="R1" s="133" t="s">
        <v>441</v>
      </c>
      <c r="S1"/>
      <c r="T1"/>
      <c r="U1"/>
      <c r="V1"/>
      <c r="W1"/>
      <c r="X1"/>
    </row>
    <row r="2" spans="1:24" ht="15.75" thickBot="1" x14ac:dyDescent="0.3">
      <c r="B2" s="118" t="s">
        <v>113</v>
      </c>
      <c r="C2" s="119" t="s">
        <v>382</v>
      </c>
      <c r="D2" s="119" t="s">
        <v>383</v>
      </c>
      <c r="E2" s="126" t="s">
        <v>384</v>
      </c>
      <c r="F2" s="120" t="s">
        <v>381</v>
      </c>
      <c r="G2" s="121" t="s">
        <v>384</v>
      </c>
      <c r="H2" s="121" t="s">
        <v>385</v>
      </c>
      <c r="I2" s="121" t="s">
        <v>375</v>
      </c>
      <c r="J2" s="121" t="s">
        <v>374</v>
      </c>
      <c r="K2" s="121" t="s">
        <v>450</v>
      </c>
      <c r="L2" s="132" t="s">
        <v>406</v>
      </c>
      <c r="M2" s="148" t="s">
        <v>475</v>
      </c>
      <c r="Q2" s="140" t="s">
        <v>0</v>
      </c>
      <c r="R2" s="134" t="s">
        <v>440</v>
      </c>
      <c r="S2"/>
      <c r="T2"/>
      <c r="U2"/>
      <c r="V2"/>
      <c r="W2"/>
      <c r="X2"/>
    </row>
    <row r="3" spans="1:24" ht="15" x14ac:dyDescent="0.25">
      <c r="B3" s="94" t="s">
        <v>31</v>
      </c>
      <c r="C3" s="95">
        <v>331220</v>
      </c>
      <c r="D3" s="95">
        <v>661030</v>
      </c>
      <c r="E3" s="127" t="s">
        <v>451</v>
      </c>
      <c r="F3" s="130"/>
      <c r="G3" s="98"/>
      <c r="H3" s="98"/>
      <c r="I3" s="98"/>
      <c r="J3" s="98"/>
      <c r="K3" s="98"/>
      <c r="L3" s="99"/>
      <c r="Q3" s="372" t="s">
        <v>439</v>
      </c>
      <c r="R3" s="134" t="s">
        <v>438</v>
      </c>
      <c r="S3"/>
      <c r="T3"/>
      <c r="U3"/>
      <c r="V3"/>
      <c r="W3"/>
      <c r="X3"/>
    </row>
    <row r="4" spans="1:24" ht="15" x14ac:dyDescent="0.25">
      <c r="B4" s="71" t="s">
        <v>23</v>
      </c>
      <c r="C4" s="81">
        <v>337809</v>
      </c>
      <c r="D4" s="81">
        <v>667982</v>
      </c>
      <c r="E4" s="128">
        <v>170</v>
      </c>
      <c r="F4" s="82" t="s">
        <v>142</v>
      </c>
      <c r="G4" s="80">
        <v>585</v>
      </c>
      <c r="H4" s="80">
        <v>17.8</v>
      </c>
      <c r="I4" s="80">
        <v>15</v>
      </c>
      <c r="J4" s="80"/>
      <c r="K4" s="80" t="s">
        <v>290</v>
      </c>
      <c r="L4" s="83" t="s">
        <v>291</v>
      </c>
      <c r="M4" s="70">
        <f>H4-G4*I4*0.001</f>
        <v>9.0250000000000004</v>
      </c>
      <c r="Q4" s="372"/>
      <c r="R4" s="134" t="s">
        <v>437</v>
      </c>
      <c r="S4"/>
      <c r="T4"/>
      <c r="U4"/>
      <c r="V4"/>
      <c r="W4"/>
      <c r="X4"/>
    </row>
    <row r="5" spans="1:24" ht="15" x14ac:dyDescent="0.25">
      <c r="B5" s="73" t="s">
        <v>75</v>
      </c>
      <c r="C5" s="81">
        <v>338352</v>
      </c>
      <c r="D5" s="81">
        <v>668017</v>
      </c>
      <c r="E5" s="128">
        <v>169.65</v>
      </c>
      <c r="F5" s="82" t="s">
        <v>142</v>
      </c>
      <c r="G5" s="80">
        <v>582</v>
      </c>
      <c r="H5" s="80">
        <v>23.9</v>
      </c>
      <c r="I5" s="80">
        <v>25.6</v>
      </c>
      <c r="J5" s="80"/>
      <c r="K5" s="80" t="s">
        <v>294</v>
      </c>
      <c r="L5" s="83" t="s">
        <v>291</v>
      </c>
      <c r="M5" s="70">
        <f t="shared" ref="M5:M10" si="0">H5-G5*I5*0.001</f>
        <v>9.0007999999999981</v>
      </c>
      <c r="Q5" s="372"/>
      <c r="R5" s="134" t="s">
        <v>65</v>
      </c>
      <c r="S5"/>
      <c r="T5"/>
      <c r="U5"/>
      <c r="V5"/>
      <c r="W5"/>
      <c r="X5"/>
    </row>
    <row r="6" spans="1:24" ht="15" x14ac:dyDescent="0.25">
      <c r="B6" s="68" t="s">
        <v>386</v>
      </c>
      <c r="C6" s="81">
        <v>334530</v>
      </c>
      <c r="D6" s="81">
        <v>673320</v>
      </c>
      <c r="E6" s="128">
        <v>4</v>
      </c>
      <c r="F6" s="82"/>
      <c r="G6" s="80"/>
      <c r="H6" s="80"/>
      <c r="I6" s="80"/>
      <c r="J6" s="80"/>
      <c r="K6" s="80"/>
      <c r="L6" s="83"/>
      <c r="Q6" s="372"/>
      <c r="R6" s="134" t="s">
        <v>66</v>
      </c>
      <c r="S6"/>
      <c r="T6"/>
      <c r="U6"/>
      <c r="V6"/>
      <c r="W6"/>
      <c r="X6"/>
    </row>
    <row r="7" spans="1:24" ht="15" x14ac:dyDescent="0.25">
      <c r="B7" s="77" t="s">
        <v>35</v>
      </c>
      <c r="C7" s="81">
        <v>336250</v>
      </c>
      <c r="D7" s="81">
        <v>664730</v>
      </c>
      <c r="E7" s="128">
        <v>235</v>
      </c>
      <c r="F7" s="82" t="s">
        <v>127</v>
      </c>
      <c r="G7" s="80">
        <v>747</v>
      </c>
      <c r="H7" s="80">
        <v>37.799999999999997</v>
      </c>
      <c r="I7" s="80">
        <v>39.1</v>
      </c>
      <c r="J7" s="80"/>
      <c r="K7" s="80" t="s">
        <v>279</v>
      </c>
      <c r="L7" s="83" t="s">
        <v>280</v>
      </c>
      <c r="M7" s="70">
        <f t="shared" si="0"/>
        <v>8.5922999999999945</v>
      </c>
      <c r="Q7" s="372"/>
      <c r="R7" s="135" t="s">
        <v>436</v>
      </c>
      <c r="S7" s="123"/>
      <c r="T7"/>
      <c r="U7"/>
      <c r="V7"/>
      <c r="W7"/>
      <c r="X7"/>
    </row>
    <row r="8" spans="1:24" ht="15" x14ac:dyDescent="0.25">
      <c r="B8" s="71" t="s">
        <v>34</v>
      </c>
      <c r="C8" s="81">
        <v>333250</v>
      </c>
      <c r="D8" s="81">
        <v>670440</v>
      </c>
      <c r="E8" s="128">
        <v>34</v>
      </c>
      <c r="F8" s="82"/>
      <c r="G8" s="80"/>
      <c r="H8" s="80"/>
      <c r="I8" s="80"/>
      <c r="J8" s="80"/>
      <c r="K8" s="80"/>
      <c r="L8" s="83"/>
      <c r="Q8" s="373" t="s">
        <v>435</v>
      </c>
      <c r="R8" s="136" t="s">
        <v>434</v>
      </c>
      <c r="S8"/>
      <c r="T8"/>
      <c r="U8"/>
      <c r="V8"/>
      <c r="W8"/>
      <c r="X8"/>
    </row>
    <row r="9" spans="1:24" ht="30" x14ac:dyDescent="0.25">
      <c r="B9" s="71" t="s">
        <v>32</v>
      </c>
      <c r="C9" s="81">
        <v>345694</v>
      </c>
      <c r="D9" s="81">
        <v>669019</v>
      </c>
      <c r="E9" s="128">
        <v>72.45</v>
      </c>
      <c r="F9" s="82" t="s">
        <v>142</v>
      </c>
      <c r="G9" s="80">
        <v>877</v>
      </c>
      <c r="H9" s="80">
        <v>27.8</v>
      </c>
      <c r="I9" s="80">
        <v>20.9</v>
      </c>
      <c r="J9" s="80"/>
      <c r="K9" s="80" t="s">
        <v>276</v>
      </c>
      <c r="L9" s="83" t="s">
        <v>124</v>
      </c>
      <c r="M9" s="70">
        <f t="shared" si="0"/>
        <v>9.4707000000000008</v>
      </c>
      <c r="Q9" s="373"/>
      <c r="R9" s="136" t="s">
        <v>446</v>
      </c>
      <c r="S9"/>
      <c r="T9"/>
      <c r="U9"/>
      <c r="V9"/>
      <c r="W9"/>
      <c r="X9"/>
    </row>
    <row r="10" spans="1:24" ht="15" x14ac:dyDescent="0.25">
      <c r="B10" s="154" t="s">
        <v>22</v>
      </c>
      <c r="C10" s="149">
        <v>336330</v>
      </c>
      <c r="D10" s="149">
        <v>664760</v>
      </c>
      <c r="E10" s="150">
        <v>235.6</v>
      </c>
      <c r="F10" s="151" t="s">
        <v>142</v>
      </c>
      <c r="G10" s="152">
        <v>942</v>
      </c>
      <c r="H10" s="152">
        <v>37.9</v>
      </c>
      <c r="I10" s="152">
        <v>34.9</v>
      </c>
      <c r="J10" s="152"/>
      <c r="K10" s="152" t="s">
        <v>332</v>
      </c>
      <c r="L10" s="153" t="s">
        <v>333</v>
      </c>
      <c r="M10" s="70">
        <f t="shared" si="0"/>
        <v>5.0242000000000004</v>
      </c>
      <c r="Q10" s="373"/>
      <c r="R10" s="137" t="s">
        <v>433</v>
      </c>
      <c r="S10"/>
      <c r="T10"/>
      <c r="U10"/>
      <c r="V10"/>
      <c r="W10"/>
      <c r="X10"/>
    </row>
    <row r="11" spans="1:24" ht="15.75" thickBot="1" x14ac:dyDescent="0.3">
      <c r="B11" s="84" t="s">
        <v>72</v>
      </c>
      <c r="C11" s="85">
        <v>326592</v>
      </c>
      <c r="D11" s="85">
        <v>666385</v>
      </c>
      <c r="E11" s="129">
        <v>151.4</v>
      </c>
      <c r="F11" s="131"/>
      <c r="G11" s="87"/>
      <c r="H11" s="87"/>
      <c r="I11" s="87"/>
      <c r="J11" s="87"/>
      <c r="K11" s="87"/>
      <c r="L11" s="88"/>
      <c r="Q11" s="373"/>
      <c r="R11" s="135" t="s">
        <v>445</v>
      </c>
      <c r="S11"/>
      <c r="T11"/>
      <c r="U11"/>
      <c r="V11"/>
      <c r="W11"/>
      <c r="X11"/>
    </row>
    <row r="12" spans="1:24" ht="15" x14ac:dyDescent="0.25">
      <c r="B12" t="s">
        <v>411</v>
      </c>
      <c r="C12" s="79"/>
      <c r="D12" s="79"/>
      <c r="E12" s="79"/>
      <c r="F12" s="79"/>
      <c r="G12" s="79"/>
      <c r="H12" s="79"/>
      <c r="I12" s="79"/>
      <c r="J12" s="79"/>
      <c r="K12" s="79"/>
      <c r="L12" s="79"/>
      <c r="M12" s="79"/>
      <c r="N12" s="79"/>
      <c r="O12" s="79"/>
      <c r="P12" s="79"/>
      <c r="Q12" s="373"/>
      <c r="R12" s="135" t="s">
        <v>432</v>
      </c>
      <c r="S12"/>
      <c r="T12"/>
      <c r="U12"/>
      <c r="V12"/>
      <c r="W12"/>
      <c r="X12"/>
    </row>
    <row r="13" spans="1:24" ht="15" x14ac:dyDescent="0.25">
      <c r="B13" t="s">
        <v>404</v>
      </c>
      <c r="Q13" s="373" t="s">
        <v>431</v>
      </c>
      <c r="R13" s="135" t="s">
        <v>430</v>
      </c>
      <c r="S13"/>
      <c r="T13"/>
      <c r="U13"/>
      <c r="V13"/>
      <c r="W13"/>
      <c r="X13"/>
    </row>
    <row r="14" spans="1:24" ht="15" x14ac:dyDescent="0.25">
      <c r="B14" s="79"/>
      <c r="C14" s="79"/>
      <c r="D14" s="79"/>
      <c r="E14" s="79"/>
      <c r="F14" s="79"/>
      <c r="G14" s="79"/>
      <c r="H14" s="79"/>
      <c r="I14" s="79"/>
      <c r="J14" s="79"/>
      <c r="K14" s="79"/>
      <c r="L14" s="79"/>
      <c r="Q14" s="373"/>
      <c r="R14" s="134" t="s">
        <v>429</v>
      </c>
      <c r="S14"/>
      <c r="T14"/>
      <c r="U14"/>
      <c r="V14"/>
      <c r="W14"/>
      <c r="X14"/>
    </row>
    <row r="15" spans="1:24" ht="15" customHeight="1" thickBot="1" x14ac:dyDescent="0.3">
      <c r="A15" s="229"/>
      <c r="B15" s="258"/>
      <c r="C15" s="258"/>
      <c r="D15" s="258"/>
      <c r="E15" s="258"/>
      <c r="F15" s="258"/>
      <c r="G15" s="258"/>
      <c r="H15" s="258"/>
      <c r="I15" s="258"/>
      <c r="J15" s="258"/>
      <c r="K15" s="258"/>
      <c r="L15" s="258"/>
      <c r="M15" s="230"/>
      <c r="N15" s="229"/>
      <c r="O15" s="229"/>
      <c r="P15" s="228"/>
      <c r="Q15" s="373"/>
      <c r="R15" s="134" t="s">
        <v>428</v>
      </c>
      <c r="S15"/>
      <c r="T15"/>
      <c r="U15"/>
      <c r="V15"/>
      <c r="W15"/>
      <c r="X15"/>
    </row>
    <row r="16" spans="1:24" ht="15" customHeight="1" thickBot="1" x14ac:dyDescent="0.3">
      <c r="A16" s="229"/>
      <c r="B16" s="229"/>
      <c r="C16" s="229"/>
      <c r="D16" s="207" t="s">
        <v>443</v>
      </c>
      <c r="E16" s="208" t="s">
        <v>444</v>
      </c>
      <c r="F16" s="209" t="s">
        <v>489</v>
      </c>
      <c r="G16" s="209" t="s">
        <v>490</v>
      </c>
      <c r="H16" s="208" t="s">
        <v>460</v>
      </c>
      <c r="I16" s="209" t="s">
        <v>399</v>
      </c>
      <c r="J16" s="210" t="s">
        <v>491</v>
      </c>
      <c r="K16" s="370" t="s">
        <v>397</v>
      </c>
      <c r="L16" s="371"/>
      <c r="M16" s="226" t="s">
        <v>494</v>
      </c>
      <c r="N16" s="375" t="s">
        <v>452</v>
      </c>
      <c r="O16" s="375" t="s">
        <v>461</v>
      </c>
      <c r="P16" s="228"/>
      <c r="Q16" s="373" t="s">
        <v>427</v>
      </c>
      <c r="R16" s="135" t="s">
        <v>426</v>
      </c>
      <c r="S16"/>
      <c r="T16"/>
      <c r="U16"/>
      <c r="V16"/>
      <c r="W16"/>
      <c r="X16"/>
    </row>
    <row r="17" spans="1:24" ht="15.75" thickBot="1" x14ac:dyDescent="0.3">
      <c r="A17" s="229"/>
      <c r="B17" s="229"/>
      <c r="C17" s="214" t="s">
        <v>391</v>
      </c>
      <c r="D17" s="233">
        <v>3.58</v>
      </c>
      <c r="E17" s="234">
        <v>2.91</v>
      </c>
      <c r="F17" s="235">
        <v>2.23</v>
      </c>
      <c r="G17" s="235">
        <v>1.85</v>
      </c>
      <c r="H17" s="235">
        <v>3.14</v>
      </c>
      <c r="I17" s="235">
        <v>2.35</v>
      </c>
      <c r="J17" s="236">
        <v>0.31</v>
      </c>
      <c r="K17" s="368" t="s">
        <v>492</v>
      </c>
      <c r="L17" s="380" t="s">
        <v>410</v>
      </c>
      <c r="M17" s="384" t="s">
        <v>493</v>
      </c>
      <c r="N17" s="376"/>
      <c r="O17" s="376"/>
      <c r="P17" s="228"/>
      <c r="Q17" s="373"/>
      <c r="R17" s="135" t="s">
        <v>425</v>
      </c>
      <c r="S17"/>
      <c r="T17"/>
      <c r="U17"/>
      <c r="V17"/>
      <c r="W17"/>
      <c r="X17"/>
    </row>
    <row r="18" spans="1:24" ht="13.9" customHeight="1" thickBot="1" x14ac:dyDescent="0.3">
      <c r="A18" s="229"/>
      <c r="B18" s="229"/>
      <c r="C18" s="215" t="s">
        <v>459</v>
      </c>
      <c r="D18" s="237">
        <v>0.89600000000000002</v>
      </c>
      <c r="E18" s="238">
        <v>0.89600000000000002</v>
      </c>
      <c r="F18" s="238">
        <v>1.3919999999999999</v>
      </c>
      <c r="G18" s="238">
        <v>1.3919999999999999</v>
      </c>
      <c r="H18" s="238">
        <v>2.0659999999999998</v>
      </c>
      <c r="I18" s="238">
        <v>0.7</v>
      </c>
      <c r="J18" s="239">
        <v>0.5</v>
      </c>
      <c r="K18" s="369"/>
      <c r="L18" s="381"/>
      <c r="M18" s="369"/>
      <c r="N18" s="225">
        <v>53</v>
      </c>
      <c r="O18" s="146">
        <v>30</v>
      </c>
      <c r="P18" s="228"/>
      <c r="Q18" s="373"/>
      <c r="R18" s="135" t="s">
        <v>424</v>
      </c>
      <c r="S18"/>
      <c r="T18"/>
      <c r="U18"/>
      <c r="V18"/>
      <c r="W18"/>
      <c r="X18"/>
    </row>
    <row r="19" spans="1:24" ht="15.75" thickBot="1" x14ac:dyDescent="0.3">
      <c r="A19" s="229"/>
      <c r="B19" s="254" t="s">
        <v>31</v>
      </c>
      <c r="C19" s="216" t="s">
        <v>390</v>
      </c>
      <c r="D19" s="382" t="s">
        <v>448</v>
      </c>
      <c r="E19" s="383"/>
      <c r="F19" s="383"/>
      <c r="G19" s="383"/>
      <c r="H19" s="383"/>
      <c r="I19" s="383"/>
      <c r="J19" s="383"/>
      <c r="K19" s="231"/>
      <c r="L19" s="231"/>
      <c r="M19" s="228"/>
      <c r="N19" s="228"/>
      <c r="O19" s="232"/>
      <c r="P19" s="228"/>
      <c r="Q19" s="373"/>
      <c r="R19" s="135" t="s">
        <v>423</v>
      </c>
      <c r="S19"/>
      <c r="T19"/>
      <c r="U19"/>
      <c r="V19"/>
      <c r="W19"/>
      <c r="X19"/>
    </row>
    <row r="20" spans="1:24" ht="15" x14ac:dyDescent="0.25">
      <c r="A20" s="229"/>
      <c r="B20" s="255" t="s">
        <v>33</v>
      </c>
      <c r="C20" s="250">
        <v>250</v>
      </c>
      <c r="D20" s="240">
        <v>35</v>
      </c>
      <c r="E20" s="241"/>
      <c r="F20" s="242">
        <v>30</v>
      </c>
      <c r="G20" s="242">
        <v>30</v>
      </c>
      <c r="H20" s="241"/>
      <c r="I20" s="242">
        <v>1</v>
      </c>
      <c r="J20" s="217">
        <v>5</v>
      </c>
      <c r="K20" s="217">
        <f>SUMPRODUCT($D$17:$J$17,D20:J20)/100</f>
        <v>2.516</v>
      </c>
      <c r="L20" s="219">
        <v>2.02</v>
      </c>
      <c r="M20" s="222">
        <f>SUMPRODUCT($D$18:$J$18,D20:J20)/100*0.0017</f>
        <v>2.0073600000000001E-3</v>
      </c>
      <c r="N20" s="218" t="s">
        <v>9</v>
      </c>
      <c r="O20" s="218" t="s">
        <v>9</v>
      </c>
      <c r="P20" s="228"/>
      <c r="Q20" s="373"/>
      <c r="R20" s="135" t="s">
        <v>422</v>
      </c>
      <c r="S20"/>
      <c r="T20"/>
      <c r="U20"/>
      <c r="V20"/>
      <c r="W20"/>
      <c r="X20"/>
    </row>
    <row r="21" spans="1:24" ht="15" x14ac:dyDescent="0.25">
      <c r="A21" s="229"/>
      <c r="B21" s="256" t="s">
        <v>24</v>
      </c>
      <c r="C21" s="251">
        <f>460-C20</f>
        <v>210</v>
      </c>
      <c r="D21" s="243"/>
      <c r="E21" s="244">
        <v>90</v>
      </c>
      <c r="F21" s="244">
        <v>5</v>
      </c>
      <c r="G21" s="244">
        <v>5</v>
      </c>
      <c r="H21" s="245"/>
      <c r="I21" s="245"/>
      <c r="J21" s="143"/>
      <c r="K21" s="141">
        <f>SUMPRODUCT($D$17:$J$17,D21:J21)/100</f>
        <v>2.823</v>
      </c>
      <c r="L21" s="220">
        <v>2.91</v>
      </c>
      <c r="M21" s="223">
        <f t="shared" ref="M21:M25" si="1">SUMPRODUCT($D$18:$J$18,D21:J21)/100*0.001</f>
        <v>9.4559999999999989E-4</v>
      </c>
      <c r="N21" s="147" t="s">
        <v>9</v>
      </c>
      <c r="O21" s="147" t="s">
        <v>9</v>
      </c>
      <c r="P21" s="228"/>
      <c r="Q21" s="373"/>
      <c r="R21" s="135" t="s">
        <v>421</v>
      </c>
      <c r="S21"/>
      <c r="T21"/>
      <c r="U21"/>
      <c r="V21"/>
      <c r="W21"/>
      <c r="X21"/>
    </row>
    <row r="22" spans="1:24" ht="15" x14ac:dyDescent="0.25">
      <c r="A22" s="229"/>
      <c r="B22" s="256" t="s">
        <v>25</v>
      </c>
      <c r="C22" s="251">
        <f>625-(C21+C20)</f>
        <v>165</v>
      </c>
      <c r="D22" s="246">
        <v>39</v>
      </c>
      <c r="E22" s="245"/>
      <c r="F22" s="244">
        <v>20</v>
      </c>
      <c r="G22" s="244">
        <v>20</v>
      </c>
      <c r="H22" s="244">
        <v>20</v>
      </c>
      <c r="I22" s="245"/>
      <c r="J22" s="142">
        <v>1</v>
      </c>
      <c r="K22" s="141">
        <f t="shared" ref="K22:K25" si="2">SUMPRODUCT($D$17:$J$17,D22:J22)/100</f>
        <v>2.8432999999999997</v>
      </c>
      <c r="L22" s="220">
        <v>2.25</v>
      </c>
      <c r="M22" s="223">
        <f t="shared" si="1"/>
        <v>1.3244399999999999E-3</v>
      </c>
      <c r="N22" s="147" t="s">
        <v>9</v>
      </c>
      <c r="O22" s="147" t="s">
        <v>9</v>
      </c>
      <c r="P22" s="228"/>
      <c r="Q22" s="373"/>
      <c r="R22" s="135" t="s">
        <v>420</v>
      </c>
      <c r="S22"/>
      <c r="T22"/>
      <c r="U22"/>
      <c r="V22"/>
      <c r="W22"/>
      <c r="X22"/>
    </row>
    <row r="23" spans="1:24" ht="15" x14ac:dyDescent="0.25">
      <c r="A23" s="229"/>
      <c r="B23" s="256" t="s">
        <v>26</v>
      </c>
      <c r="C23" s="251">
        <f>800-(C22+C21+C20)</f>
        <v>175</v>
      </c>
      <c r="D23" s="246">
        <v>35</v>
      </c>
      <c r="E23" s="245"/>
      <c r="F23" s="244">
        <v>20</v>
      </c>
      <c r="G23" s="244">
        <v>20</v>
      </c>
      <c r="H23" s="244">
        <v>20</v>
      </c>
      <c r="I23" s="245"/>
      <c r="J23" s="142">
        <v>5</v>
      </c>
      <c r="K23" s="141">
        <f t="shared" si="2"/>
        <v>2.7124999999999999</v>
      </c>
      <c r="L23" s="220">
        <v>2.2400000000000002</v>
      </c>
      <c r="M23" s="223">
        <f t="shared" si="1"/>
        <v>1.3085999999999998E-3</v>
      </c>
      <c r="N23" s="147" t="s">
        <v>9</v>
      </c>
      <c r="O23" s="147" t="s">
        <v>9</v>
      </c>
      <c r="P23" s="228"/>
      <c r="Q23" s="373"/>
      <c r="R23" s="135" t="s">
        <v>419</v>
      </c>
      <c r="S23"/>
      <c r="T23"/>
      <c r="U23"/>
      <c r="V23"/>
      <c r="W23"/>
      <c r="X23"/>
    </row>
    <row r="24" spans="1:24" ht="15" x14ac:dyDescent="0.25">
      <c r="A24" s="229"/>
      <c r="B24" s="256" t="s">
        <v>27</v>
      </c>
      <c r="C24" s="251">
        <f>885-(C23+C22+C21+C20)</f>
        <v>85</v>
      </c>
      <c r="D24" s="246">
        <v>39</v>
      </c>
      <c r="E24" s="245"/>
      <c r="F24" s="244">
        <v>20</v>
      </c>
      <c r="G24" s="244">
        <v>20</v>
      </c>
      <c r="H24" s="244">
        <v>20</v>
      </c>
      <c r="I24" s="245"/>
      <c r="J24" s="142">
        <v>1</v>
      </c>
      <c r="K24" s="141">
        <f t="shared" si="2"/>
        <v>2.8432999999999997</v>
      </c>
      <c r="L24" s="220">
        <v>1.88</v>
      </c>
      <c r="M24" s="223">
        <f t="shared" si="1"/>
        <v>1.3244399999999999E-3</v>
      </c>
      <c r="N24" s="147" t="s">
        <v>9</v>
      </c>
      <c r="O24" s="147" t="s">
        <v>9</v>
      </c>
      <c r="P24" s="228"/>
      <c r="Q24" s="373"/>
      <c r="R24" s="135" t="s">
        <v>418</v>
      </c>
      <c r="S24"/>
      <c r="T24"/>
      <c r="U24"/>
      <c r="V24"/>
      <c r="W24"/>
      <c r="X24"/>
    </row>
    <row r="25" spans="1:24" ht="15" x14ac:dyDescent="0.25">
      <c r="A25" s="229"/>
      <c r="B25" s="256" t="s">
        <v>28</v>
      </c>
      <c r="C25" s="251">
        <v>492</v>
      </c>
      <c r="D25" s="246">
        <v>30</v>
      </c>
      <c r="E25" s="245"/>
      <c r="F25" s="244">
        <v>25</v>
      </c>
      <c r="G25" s="244">
        <v>25</v>
      </c>
      <c r="H25" s="244">
        <v>20</v>
      </c>
      <c r="I25" s="245"/>
      <c r="J25" s="143"/>
      <c r="K25" s="141">
        <f t="shared" si="2"/>
        <v>2.722</v>
      </c>
      <c r="L25" s="220" t="s">
        <v>453</v>
      </c>
      <c r="M25" s="223">
        <f t="shared" si="1"/>
        <v>1.3779999999999999E-3</v>
      </c>
      <c r="N25" s="147" t="s">
        <v>9</v>
      </c>
      <c r="O25" s="147" t="s">
        <v>9</v>
      </c>
      <c r="P25" s="228"/>
      <c r="Q25" s="373"/>
      <c r="R25" s="135" t="s">
        <v>417</v>
      </c>
      <c r="S25"/>
      <c r="T25"/>
      <c r="U25"/>
      <c r="V25"/>
      <c r="W25"/>
      <c r="X25"/>
    </row>
    <row r="26" spans="1:24" ht="15" x14ac:dyDescent="0.25">
      <c r="A26" s="229"/>
      <c r="B26" s="256" t="s">
        <v>29</v>
      </c>
      <c r="C26" s="252" t="s">
        <v>70</v>
      </c>
      <c r="D26" s="247"/>
      <c r="E26" s="245"/>
      <c r="F26" s="245"/>
      <c r="G26" s="245"/>
      <c r="H26" s="245"/>
      <c r="I26" s="245"/>
      <c r="J26" s="143"/>
      <c r="K26" s="143"/>
      <c r="L26" s="220" t="s">
        <v>455</v>
      </c>
      <c r="M26" s="224">
        <v>1.4E-3</v>
      </c>
      <c r="N26" s="147" t="s">
        <v>9</v>
      </c>
      <c r="O26" s="147" t="s">
        <v>9</v>
      </c>
      <c r="P26" s="228"/>
      <c r="Q26" s="373"/>
      <c r="R26" s="135" t="s">
        <v>416</v>
      </c>
      <c r="S26"/>
      <c r="T26"/>
      <c r="U26"/>
      <c r="V26"/>
      <c r="W26"/>
      <c r="X26"/>
    </row>
    <row r="27" spans="1:24" ht="15.75" thickBot="1" x14ac:dyDescent="0.3">
      <c r="A27" s="229"/>
      <c r="B27" s="257" t="s">
        <v>30</v>
      </c>
      <c r="C27" s="253">
        <f>1030-960</f>
        <v>70</v>
      </c>
      <c r="D27" s="248"/>
      <c r="E27" s="249"/>
      <c r="F27" s="249"/>
      <c r="G27" s="249"/>
      <c r="H27" s="249"/>
      <c r="I27" s="249"/>
      <c r="J27" s="144"/>
      <c r="K27" s="144"/>
      <c r="L27" s="221">
        <v>2.2000000000000002</v>
      </c>
      <c r="M27" s="145" t="s">
        <v>9</v>
      </c>
      <c r="N27" s="145" t="s">
        <v>9</v>
      </c>
      <c r="O27" s="145" t="s">
        <v>9</v>
      </c>
      <c r="P27" s="228"/>
      <c r="Q27" s="373"/>
      <c r="R27" s="135" t="s">
        <v>415</v>
      </c>
      <c r="S27"/>
      <c r="T27"/>
      <c r="U27"/>
      <c r="V27"/>
      <c r="W27"/>
      <c r="X27"/>
    </row>
    <row r="28" spans="1:24" ht="15" x14ac:dyDescent="0.25">
      <c r="A28" s="229"/>
      <c r="B28" s="227"/>
      <c r="C28" s="228" t="s">
        <v>412</v>
      </c>
      <c r="D28" s="229"/>
      <c r="E28" s="229"/>
      <c r="F28" s="229"/>
      <c r="G28" s="229"/>
      <c r="H28" s="229"/>
      <c r="I28" s="229"/>
      <c r="J28" s="229"/>
      <c r="K28" s="229"/>
      <c r="L28" s="229" t="s">
        <v>454</v>
      </c>
      <c r="M28" s="229"/>
      <c r="N28" s="229"/>
      <c r="O28" s="229"/>
      <c r="P28" s="228"/>
      <c r="Q28" s="373"/>
      <c r="R28" s="135" t="s">
        <v>414</v>
      </c>
      <c r="S28"/>
      <c r="T28"/>
      <c r="U28"/>
      <c r="V28"/>
      <c r="W28"/>
      <c r="X28"/>
    </row>
    <row r="29" spans="1:24" ht="15.75" thickBot="1" x14ac:dyDescent="0.3">
      <c r="A29" s="229"/>
      <c r="B29" s="227"/>
      <c r="C29" s="229"/>
      <c r="D29" s="229"/>
      <c r="E29" s="229"/>
      <c r="F29" s="229"/>
      <c r="G29" s="229"/>
      <c r="H29" s="229"/>
      <c r="I29" s="229"/>
      <c r="J29" s="229"/>
      <c r="K29" s="229"/>
      <c r="L29" s="229" t="s">
        <v>456</v>
      </c>
      <c r="M29" s="229"/>
      <c r="N29" s="229"/>
      <c r="O29" s="229"/>
      <c r="P29" s="228"/>
      <c r="Q29" s="374"/>
      <c r="R29" s="138" t="s">
        <v>413</v>
      </c>
      <c r="S29"/>
      <c r="T29"/>
      <c r="U29"/>
      <c r="V29"/>
      <c r="W29"/>
      <c r="X29"/>
    </row>
    <row r="30" spans="1:24" ht="15" x14ac:dyDescent="0.25">
      <c r="A30" s="229"/>
      <c r="B30" s="107"/>
      <c r="P30" s="79"/>
      <c r="Q30" t="s">
        <v>447</v>
      </c>
      <c r="R30" s="122"/>
      <c r="S30"/>
      <c r="T30"/>
      <c r="U30"/>
      <c r="V30"/>
      <c r="W30"/>
      <c r="X30"/>
    </row>
    <row r="31" spans="1:24" ht="15" x14ac:dyDescent="0.25">
      <c r="B31" s="107"/>
      <c r="M31" s="79"/>
      <c r="N31" s="79"/>
      <c r="O31" s="79"/>
      <c r="P31" s="79"/>
      <c r="Q31"/>
      <c r="R31" s="122"/>
      <c r="S31"/>
      <c r="T31"/>
      <c r="U31"/>
      <c r="V31"/>
      <c r="W31"/>
      <c r="X31"/>
    </row>
    <row r="32" spans="1:24" ht="15" x14ac:dyDescent="0.25">
      <c r="B32" s="107"/>
      <c r="L32" s="70" t="s">
        <v>479</v>
      </c>
      <c r="M32" s="70" t="s">
        <v>480</v>
      </c>
      <c r="N32" s="211"/>
      <c r="O32" s="211"/>
      <c r="P32" s="79"/>
      <c r="Q32"/>
      <c r="R32" s="122"/>
      <c r="S32"/>
      <c r="T32"/>
      <c r="U32"/>
      <c r="V32"/>
      <c r="W32"/>
      <c r="X32"/>
    </row>
    <row r="33" spans="1:24" ht="15" x14ac:dyDescent="0.25">
      <c r="C33" t="s">
        <v>407</v>
      </c>
      <c r="L33" s="70" t="s">
        <v>19</v>
      </c>
      <c r="M33" s="70" t="s">
        <v>481</v>
      </c>
      <c r="N33" s="211"/>
      <c r="O33" s="211"/>
      <c r="Q33"/>
      <c r="R33" s="122"/>
      <c r="S33"/>
      <c r="T33"/>
      <c r="U33"/>
      <c r="V33"/>
      <c r="W33"/>
      <c r="X33"/>
    </row>
    <row r="34" spans="1:24" ht="15" x14ac:dyDescent="0.25">
      <c r="C34" s="70" t="s">
        <v>398</v>
      </c>
      <c r="L34" s="70" t="s">
        <v>482</v>
      </c>
      <c r="M34" s="70" t="s">
        <v>483</v>
      </c>
      <c r="N34" s="211"/>
      <c r="O34" s="211"/>
      <c r="Q34"/>
      <c r="R34" s="122"/>
      <c r="S34"/>
      <c r="T34"/>
      <c r="U34"/>
      <c r="V34"/>
      <c r="W34"/>
      <c r="X34"/>
    </row>
    <row r="35" spans="1:24" ht="15" x14ac:dyDescent="0.25">
      <c r="C35" s="70" t="s">
        <v>408</v>
      </c>
      <c r="L35" s="70" t="s">
        <v>484</v>
      </c>
      <c r="M35" s="70" t="s">
        <v>485</v>
      </c>
      <c r="N35" s="212"/>
      <c r="O35" s="212"/>
      <c r="Q35"/>
      <c r="R35" s="122"/>
      <c r="S35"/>
      <c r="T35"/>
      <c r="U35"/>
      <c r="V35"/>
      <c r="W35"/>
      <c r="X35"/>
    </row>
    <row r="36" spans="1:24" ht="15" x14ac:dyDescent="0.25">
      <c r="C36" s="79" t="s">
        <v>405</v>
      </c>
      <c r="D36" s="79"/>
      <c r="E36" s="79"/>
      <c r="N36" s="79"/>
      <c r="O36" s="213"/>
      <c r="Q36"/>
      <c r="R36"/>
      <c r="S36" s="367"/>
      <c r="T36"/>
      <c r="U36"/>
      <c r="V36"/>
      <c r="X36"/>
    </row>
    <row r="37" spans="1:24" ht="15" x14ac:dyDescent="0.25">
      <c r="C37" s="79" t="s">
        <v>409</v>
      </c>
      <c r="D37" s="117"/>
      <c r="E37" s="79"/>
      <c r="N37" s="79"/>
      <c r="O37" s="213"/>
      <c r="Q37"/>
      <c r="R37"/>
      <c r="S37" s="367"/>
      <c r="T37"/>
      <c r="U37"/>
      <c r="V37"/>
      <c r="W37"/>
      <c r="X37"/>
    </row>
    <row r="38" spans="1:24" ht="15" x14ac:dyDescent="0.25">
      <c r="C38" s="116"/>
      <c r="D38" s="117"/>
      <c r="E38" s="79"/>
      <c r="M38" s="211"/>
      <c r="N38" s="79"/>
      <c r="O38" s="213"/>
      <c r="Q38"/>
      <c r="R38"/>
      <c r="S38" s="367"/>
      <c r="T38"/>
      <c r="U38"/>
      <c r="V38"/>
      <c r="W38"/>
      <c r="X38"/>
    </row>
    <row r="39" spans="1:24" ht="15.75" thickBot="1" x14ac:dyDescent="0.3">
      <c r="A39" s="229"/>
      <c r="B39" s="281" t="s">
        <v>498</v>
      </c>
      <c r="C39" s="10"/>
      <c r="D39" s="259"/>
      <c r="E39" s="228"/>
      <c r="F39" s="229"/>
      <c r="G39" s="229"/>
      <c r="H39" s="229"/>
      <c r="Q39"/>
      <c r="R39"/>
      <c r="S39"/>
      <c r="T39"/>
      <c r="U39"/>
      <c r="V39"/>
      <c r="W39"/>
      <c r="X39"/>
    </row>
    <row r="40" spans="1:24" ht="15.75" thickBot="1" x14ac:dyDescent="0.3">
      <c r="A40" s="229"/>
      <c r="B40" s="260"/>
      <c r="C40" s="261" t="s">
        <v>390</v>
      </c>
      <c r="D40" s="262" t="s">
        <v>478</v>
      </c>
      <c r="E40" s="262" t="s">
        <v>476</v>
      </c>
      <c r="F40" s="262" t="s">
        <v>477</v>
      </c>
      <c r="G40" s="263" t="s">
        <v>391</v>
      </c>
      <c r="H40" s="229"/>
      <c r="I40" s="70" t="s">
        <v>513</v>
      </c>
      <c r="J40" s="70" t="s">
        <v>514</v>
      </c>
      <c r="K40" s="70" t="s">
        <v>515</v>
      </c>
      <c r="L40" s="70" t="s">
        <v>491</v>
      </c>
      <c r="M40" s="211" t="s">
        <v>516</v>
      </c>
      <c r="N40" s="79" t="s">
        <v>517</v>
      </c>
      <c r="O40" s="213" t="s">
        <v>518</v>
      </c>
      <c r="P40" s="70" t="s">
        <v>519</v>
      </c>
      <c r="Q40"/>
      <c r="R40"/>
      <c r="S40"/>
      <c r="T40"/>
      <c r="U40"/>
      <c r="V40"/>
      <c r="W40"/>
      <c r="X40"/>
    </row>
    <row r="41" spans="1:24" ht="15" x14ac:dyDescent="0.25">
      <c r="A41" s="229"/>
      <c r="B41" s="264" t="s">
        <v>520</v>
      </c>
      <c r="C41" s="288"/>
      <c r="D41" s="284"/>
      <c r="E41" s="284"/>
      <c r="F41" s="284"/>
      <c r="G41" s="285"/>
      <c r="H41" s="229"/>
      <c r="I41" s="283"/>
      <c r="J41" s="283"/>
      <c r="K41" s="283"/>
      <c r="L41" s="283"/>
      <c r="M41" s="291"/>
      <c r="N41" s="287"/>
      <c r="O41" s="292"/>
      <c r="P41" s="293"/>
      <c r="Q41"/>
      <c r="R41"/>
      <c r="S41"/>
      <c r="T41"/>
      <c r="U41"/>
      <c r="V41"/>
      <c r="W41"/>
      <c r="X41"/>
    </row>
    <row r="42" spans="1:24" ht="15" x14ac:dyDescent="0.25">
      <c r="A42" s="229"/>
      <c r="B42" s="265" t="s">
        <v>522</v>
      </c>
      <c r="C42" s="288"/>
      <c r="D42" s="284"/>
      <c r="E42" s="284"/>
      <c r="F42" s="284"/>
      <c r="G42" s="285"/>
      <c r="H42" s="229"/>
      <c r="I42" s="283"/>
      <c r="J42" s="283"/>
      <c r="K42" s="283"/>
      <c r="L42" s="283"/>
      <c r="M42" s="286"/>
      <c r="N42" s="287"/>
      <c r="O42" s="292"/>
      <c r="P42" s="293"/>
      <c r="Q42"/>
      <c r="R42"/>
      <c r="S42"/>
      <c r="T42"/>
      <c r="U42"/>
      <c r="V42"/>
      <c r="W42"/>
      <c r="X42"/>
    </row>
    <row r="43" spans="1:24" ht="15" x14ac:dyDescent="0.25">
      <c r="A43" s="229"/>
      <c r="B43" s="265" t="s">
        <v>521</v>
      </c>
      <c r="C43" s="289">
        <v>125</v>
      </c>
      <c r="D43" s="268">
        <f t="shared" ref="D43:D49" si="3">C43/SUM($C$43:$C$49)</f>
        <v>0.125</v>
      </c>
      <c r="E43" s="269">
        <v>1.1999999999999999E-6</v>
      </c>
      <c r="F43" s="269">
        <f>C43*E43</f>
        <v>1.4999999999999999E-4</v>
      </c>
      <c r="G43" s="270">
        <v>1.91</v>
      </c>
      <c r="H43" s="229"/>
      <c r="I43" s="283"/>
      <c r="J43" s="283"/>
      <c r="K43" s="283"/>
      <c r="L43" s="283"/>
      <c r="M43" s="293"/>
      <c r="N43" s="283"/>
      <c r="O43" s="293"/>
      <c r="P43" s="293"/>
      <c r="Q43"/>
      <c r="R43"/>
      <c r="S43"/>
      <c r="T43"/>
      <c r="U43"/>
      <c r="V43"/>
      <c r="W43"/>
      <c r="X43"/>
    </row>
    <row r="44" spans="1:24" ht="15" x14ac:dyDescent="0.25">
      <c r="A44" s="229"/>
      <c r="B44" s="265" t="s">
        <v>24</v>
      </c>
      <c r="C44" s="289">
        <f>230-125</f>
        <v>105</v>
      </c>
      <c r="D44" s="268">
        <f t="shared" si="3"/>
        <v>0.105</v>
      </c>
      <c r="E44" s="269">
        <v>8.9999999999999996E-7</v>
      </c>
      <c r="F44" s="269">
        <f t="shared" ref="F44:F49" si="4">C44*E44</f>
        <v>9.4499999999999993E-5</v>
      </c>
      <c r="G44" s="270">
        <v>2.91</v>
      </c>
      <c r="H44" s="229"/>
      <c r="I44" s="283"/>
      <c r="J44" s="293"/>
      <c r="K44" s="293"/>
      <c r="L44" s="293"/>
      <c r="M44" s="293"/>
      <c r="N44" s="293"/>
      <c r="O44" s="293"/>
      <c r="P44" s="283"/>
      <c r="Q44"/>
      <c r="R44"/>
      <c r="S44"/>
      <c r="T44"/>
      <c r="U44"/>
      <c r="V44"/>
      <c r="W44"/>
      <c r="X44"/>
    </row>
    <row r="45" spans="1:24" ht="14.45" customHeight="1" x14ac:dyDescent="0.25">
      <c r="A45" s="229"/>
      <c r="B45" s="265" t="s">
        <v>25</v>
      </c>
      <c r="C45" s="289">
        <f>315-230</f>
        <v>85</v>
      </c>
      <c r="D45" s="268">
        <f t="shared" si="3"/>
        <v>8.5000000000000006E-2</v>
      </c>
      <c r="E45" s="269">
        <v>1.3E-6</v>
      </c>
      <c r="F45" s="269">
        <f t="shared" si="4"/>
        <v>1.105E-4</v>
      </c>
      <c r="G45" s="270">
        <v>2.25</v>
      </c>
      <c r="H45" s="229"/>
      <c r="I45" s="283"/>
      <c r="J45" s="283"/>
      <c r="K45" s="283"/>
      <c r="L45" s="283"/>
      <c r="M45" s="283"/>
      <c r="N45" s="283"/>
      <c r="O45" s="283"/>
      <c r="P45" s="293"/>
      <c r="Q45" s="54"/>
      <c r="R45" s="54"/>
      <c r="S45"/>
      <c r="T45"/>
      <c r="U45"/>
      <c r="V45"/>
      <c r="W45"/>
      <c r="X45"/>
    </row>
    <row r="46" spans="1:24" ht="15" x14ac:dyDescent="0.25">
      <c r="A46" s="229"/>
      <c r="B46" s="265" t="s">
        <v>26</v>
      </c>
      <c r="C46" s="289">
        <f>400-315</f>
        <v>85</v>
      </c>
      <c r="D46" s="268">
        <f t="shared" si="3"/>
        <v>8.5000000000000006E-2</v>
      </c>
      <c r="E46" s="269">
        <v>1.3E-6</v>
      </c>
      <c r="F46" s="269">
        <f t="shared" si="4"/>
        <v>1.105E-4</v>
      </c>
      <c r="G46" s="270">
        <v>2.2400000000000002</v>
      </c>
      <c r="H46" s="229"/>
      <c r="I46" s="283"/>
      <c r="J46" s="283"/>
      <c r="K46" s="283"/>
      <c r="L46" s="283"/>
      <c r="M46" s="283"/>
      <c r="N46" s="283"/>
      <c r="O46" s="293"/>
      <c r="P46" s="293"/>
      <c r="Q46" s="54"/>
      <c r="R46" s="54"/>
      <c r="S46"/>
      <c r="T46"/>
      <c r="U46"/>
      <c r="V46"/>
      <c r="W46"/>
      <c r="X46"/>
    </row>
    <row r="47" spans="1:24" ht="15" x14ac:dyDescent="0.25">
      <c r="A47" s="229"/>
      <c r="B47" s="265" t="s">
        <v>27</v>
      </c>
      <c r="C47" s="289">
        <f>445-400</f>
        <v>45</v>
      </c>
      <c r="D47" s="268">
        <f t="shared" si="3"/>
        <v>4.4999999999999998E-2</v>
      </c>
      <c r="E47" s="269">
        <v>1.3E-6</v>
      </c>
      <c r="F47" s="269">
        <f t="shared" si="4"/>
        <v>5.8499999999999999E-5</v>
      </c>
      <c r="G47" s="270">
        <v>1.88</v>
      </c>
      <c r="H47" s="229"/>
      <c r="I47" s="283"/>
      <c r="J47" s="283"/>
      <c r="K47" s="283"/>
      <c r="L47" s="283"/>
      <c r="M47" s="283"/>
      <c r="N47" s="293"/>
      <c r="O47" s="293"/>
      <c r="P47" s="293"/>
      <c r="Q47" s="54"/>
      <c r="R47" s="54"/>
      <c r="S47"/>
      <c r="T47"/>
      <c r="U47"/>
      <c r="V47"/>
      <c r="W47"/>
      <c r="X47"/>
    </row>
    <row r="48" spans="1:24" ht="15" x14ac:dyDescent="0.25">
      <c r="A48" s="229"/>
      <c r="B48" s="265" t="s">
        <v>28</v>
      </c>
      <c r="C48" s="289">
        <f>700-445</f>
        <v>255</v>
      </c>
      <c r="D48" s="268">
        <f t="shared" si="3"/>
        <v>0.255</v>
      </c>
      <c r="E48" s="271">
        <v>1.3999999999999999E-6</v>
      </c>
      <c r="F48" s="269">
        <f t="shared" si="4"/>
        <v>3.57E-4</v>
      </c>
      <c r="G48" s="270">
        <v>2.1</v>
      </c>
      <c r="H48" s="229"/>
      <c r="Q48" s="54"/>
      <c r="R48" s="54"/>
      <c r="S48"/>
      <c r="T48"/>
      <c r="U48"/>
      <c r="V48"/>
      <c r="W48"/>
      <c r="X48"/>
    </row>
    <row r="49" spans="1:24" ht="15.75" thickBot="1" x14ac:dyDescent="0.3">
      <c r="A49" s="229"/>
      <c r="B49" s="266" t="s">
        <v>29</v>
      </c>
      <c r="C49" s="290">
        <f>1000-700</f>
        <v>300</v>
      </c>
      <c r="D49" s="273">
        <f t="shared" si="3"/>
        <v>0.3</v>
      </c>
      <c r="E49" s="271">
        <v>1.3999999999999999E-6</v>
      </c>
      <c r="F49" s="280">
        <f t="shared" si="4"/>
        <v>4.1999999999999996E-4</v>
      </c>
      <c r="G49" s="274">
        <v>4.1900000000000004</v>
      </c>
      <c r="H49" s="229"/>
      <c r="Q49" s="54"/>
      <c r="R49" s="54"/>
      <c r="S49"/>
      <c r="T49"/>
      <c r="U49"/>
      <c r="V49"/>
      <c r="W49"/>
      <c r="X49"/>
    </row>
    <row r="50" spans="1:24" ht="15" x14ac:dyDescent="0.25">
      <c r="A50" s="229"/>
      <c r="B50" s="229"/>
      <c r="C50" s="275">
        <f>SUM(C43:C49)</f>
        <v>1000</v>
      </c>
      <c r="D50" s="276"/>
      <c r="E50" s="277" t="s">
        <v>495</v>
      </c>
      <c r="F50" s="278">
        <f>SUMPRODUCT(G43:G49,D43:D49)</f>
        <v>2.8030500000000003</v>
      </c>
      <c r="G50" s="276"/>
      <c r="H50" s="229"/>
      <c r="Q50" s="54"/>
      <c r="R50" s="54"/>
      <c r="S50"/>
      <c r="T50"/>
      <c r="U50"/>
      <c r="V50"/>
      <c r="W50"/>
      <c r="X50"/>
    </row>
    <row r="51" spans="1:24" ht="15" x14ac:dyDescent="0.25">
      <c r="A51" s="229"/>
      <c r="B51" s="229"/>
      <c r="C51" s="275"/>
      <c r="D51" s="276"/>
      <c r="E51" s="277" t="s">
        <v>496</v>
      </c>
      <c r="F51" s="278">
        <f>0.031</f>
        <v>3.1E-2</v>
      </c>
      <c r="G51" s="276"/>
      <c r="H51" s="229"/>
      <c r="Q51" s="54"/>
      <c r="R51" s="54"/>
      <c r="S51"/>
      <c r="T51"/>
      <c r="U51"/>
      <c r="V51"/>
      <c r="W51"/>
      <c r="X51"/>
    </row>
    <row r="52" spans="1:24" ht="15" x14ac:dyDescent="0.25">
      <c r="A52" s="229"/>
      <c r="B52" s="229"/>
      <c r="C52" s="275"/>
      <c r="D52" s="276"/>
      <c r="E52" s="277" t="s">
        <v>497</v>
      </c>
      <c r="F52" s="279">
        <f>F50*F51</f>
        <v>8.6894550000000001E-2</v>
      </c>
      <c r="G52" s="276"/>
      <c r="H52" s="229"/>
      <c r="Q52"/>
      <c r="R52"/>
      <c r="S52"/>
      <c r="T52"/>
      <c r="U52"/>
      <c r="V52"/>
      <c r="W52"/>
      <c r="X52"/>
    </row>
    <row r="53" spans="1:24" ht="15.75" thickBot="1" x14ac:dyDescent="0.3">
      <c r="A53" s="229"/>
      <c r="B53" s="229"/>
      <c r="C53" s="275"/>
      <c r="D53" s="276"/>
      <c r="E53" s="276"/>
      <c r="F53" s="276"/>
      <c r="G53" s="276"/>
      <c r="H53" s="229"/>
      <c r="I53" s="70" t="s">
        <v>500</v>
      </c>
      <c r="J53" s="70" t="s">
        <v>10</v>
      </c>
      <c r="K53" s="70" t="s">
        <v>510</v>
      </c>
      <c r="L53" s="70" t="s">
        <v>482</v>
      </c>
      <c r="M53" s="70" t="s">
        <v>511</v>
      </c>
      <c r="N53" s="70" t="s">
        <v>512</v>
      </c>
    </row>
    <row r="54" spans="1:24" ht="15.75" thickBot="1" x14ac:dyDescent="0.3">
      <c r="A54" s="229"/>
      <c r="B54" s="229"/>
      <c r="C54" s="275"/>
      <c r="D54" s="276"/>
      <c r="E54" s="276"/>
      <c r="F54" s="365" t="s">
        <v>477</v>
      </c>
      <c r="G54" s="366"/>
      <c r="H54" s="229"/>
      <c r="I54" s="70" t="s">
        <v>501</v>
      </c>
      <c r="J54" s="70">
        <v>0.4</v>
      </c>
      <c r="K54" s="70">
        <v>1300</v>
      </c>
      <c r="L54" s="70">
        <v>1350</v>
      </c>
      <c r="M54" s="70">
        <v>0.22800000000000001</v>
      </c>
      <c r="N54" s="70">
        <v>0.44</v>
      </c>
      <c r="O54" s="70">
        <v>0.28999999999999998</v>
      </c>
    </row>
    <row r="55" spans="1:24" ht="15" x14ac:dyDescent="0.25">
      <c r="A55" s="229"/>
      <c r="B55" s="344" t="s">
        <v>499</v>
      </c>
      <c r="C55" s="261" t="s">
        <v>390</v>
      </c>
      <c r="D55" s="262" t="s">
        <v>478</v>
      </c>
      <c r="E55" s="332" t="s">
        <v>476</v>
      </c>
      <c r="F55" s="342" t="s">
        <v>533</v>
      </c>
      <c r="G55" s="343" t="s">
        <v>532</v>
      </c>
      <c r="H55" s="335" t="s">
        <v>391</v>
      </c>
      <c r="I55" s="70" t="s">
        <v>502</v>
      </c>
      <c r="J55" s="70">
        <v>2.85</v>
      </c>
      <c r="K55" s="70">
        <v>880</v>
      </c>
      <c r="L55" s="70">
        <v>2760</v>
      </c>
      <c r="M55" s="70">
        <v>1.173</v>
      </c>
      <c r="N55" s="70">
        <v>0.49</v>
      </c>
      <c r="O55" s="70">
        <v>0.09</v>
      </c>
    </row>
    <row r="56" spans="1:24" ht="15" x14ac:dyDescent="0.25">
      <c r="A56" s="229"/>
      <c r="B56" s="295" t="s">
        <v>523</v>
      </c>
      <c r="C56" s="267">
        <v>50</v>
      </c>
      <c r="D56" s="268">
        <f>C56/SUM($C$56:$C$60)</f>
        <v>0.05</v>
      </c>
      <c r="E56" s="333">
        <f>Sheet1!C14*0.000001</f>
        <v>9.4559999999999989E-7</v>
      </c>
      <c r="F56" s="338">
        <f>C56*E56*70</f>
        <v>3.3095999999999998E-3</v>
      </c>
      <c r="G56" s="339">
        <f>F56/70*2200</f>
        <v>0.10401599999999998</v>
      </c>
      <c r="H56" s="336">
        <v>1.2</v>
      </c>
      <c r="I56" s="70" t="s">
        <v>503</v>
      </c>
      <c r="J56" s="70">
        <v>2.85</v>
      </c>
      <c r="K56" s="70">
        <v>880</v>
      </c>
      <c r="L56" s="70">
        <v>2760</v>
      </c>
      <c r="M56" s="70">
        <v>1.173</v>
      </c>
      <c r="N56" s="70">
        <v>0.63</v>
      </c>
      <c r="O56" s="70">
        <v>0.95</v>
      </c>
    </row>
    <row r="57" spans="1:24" ht="15" x14ac:dyDescent="0.25">
      <c r="A57" s="229"/>
      <c r="B57" s="295" t="s">
        <v>524</v>
      </c>
      <c r="C57" s="267">
        <v>200</v>
      </c>
      <c r="D57" s="268">
        <f>C57/SUM($C$56:$C$60)</f>
        <v>0.2</v>
      </c>
      <c r="E57" s="333">
        <f>Sheet1!C13*0.000001</f>
        <v>1.1808E-6</v>
      </c>
      <c r="F57" s="338">
        <f>C57*E57*70</f>
        <v>1.6531199999999999E-2</v>
      </c>
      <c r="G57" s="339">
        <f>F57/70*2200</f>
        <v>0.51955200000000001</v>
      </c>
      <c r="H57" s="336">
        <v>1.8</v>
      </c>
      <c r="I57" s="70" t="s">
        <v>504</v>
      </c>
      <c r="J57" s="70">
        <v>1.41</v>
      </c>
      <c r="K57" s="70">
        <v>770</v>
      </c>
      <c r="L57" s="70">
        <v>2600</v>
      </c>
      <c r="M57" s="70">
        <v>0.70399999999999996</v>
      </c>
      <c r="N57" s="70">
        <v>38.840000000000003</v>
      </c>
      <c r="O57" s="70">
        <v>37.950000000000003</v>
      </c>
    </row>
    <row r="58" spans="1:24" ht="15" x14ac:dyDescent="0.25">
      <c r="A58" s="229"/>
      <c r="B58" s="295" t="s">
        <v>525</v>
      </c>
      <c r="C58" s="267">
        <v>200</v>
      </c>
      <c r="D58" s="268">
        <f>C58/SUM($C$56:$C$60)</f>
        <v>0.2</v>
      </c>
      <c r="E58" s="333">
        <f>Sheet1!C13*0.000001</f>
        <v>1.1808E-6</v>
      </c>
      <c r="F58" s="338">
        <f t="shared" ref="F58:F59" si="5">C58*E58*70</f>
        <v>1.6531199999999999E-2</v>
      </c>
      <c r="G58" s="339">
        <f>F58/70*2200</f>
        <v>0.51955200000000001</v>
      </c>
      <c r="H58" s="336">
        <v>2.2999999999999998</v>
      </c>
      <c r="I58" s="70" t="s">
        <v>505</v>
      </c>
      <c r="J58" s="70">
        <v>1.84</v>
      </c>
      <c r="K58" s="70">
        <v>910</v>
      </c>
      <c r="L58" s="70">
        <v>2680</v>
      </c>
      <c r="M58" s="70">
        <v>0.754</v>
      </c>
      <c r="N58" s="70">
        <v>10.88</v>
      </c>
      <c r="O58" s="70">
        <v>11.62</v>
      </c>
    </row>
    <row r="59" spans="1:24" ht="15" x14ac:dyDescent="0.25">
      <c r="A59" s="229"/>
      <c r="B59" s="295" t="s">
        <v>526</v>
      </c>
      <c r="C59" s="267">
        <v>200</v>
      </c>
      <c r="D59" s="268">
        <f>C59/SUM($C$56:$C$60)</f>
        <v>0.2</v>
      </c>
      <c r="E59" s="333">
        <f>E56</f>
        <v>9.4559999999999989E-7</v>
      </c>
      <c r="F59" s="338">
        <f t="shared" si="5"/>
        <v>1.3238399999999999E-2</v>
      </c>
      <c r="G59" s="339">
        <f>F59/70*2200</f>
        <v>0.41606399999999993</v>
      </c>
      <c r="H59" s="336">
        <v>2.2999999999999998</v>
      </c>
      <c r="I59" s="70" t="s">
        <v>506</v>
      </c>
      <c r="J59" s="70">
        <v>4.54</v>
      </c>
      <c r="K59" s="70">
        <v>930</v>
      </c>
      <c r="L59" s="70">
        <v>2460</v>
      </c>
      <c r="M59" s="70">
        <v>1.984</v>
      </c>
      <c r="N59" s="70">
        <v>20.74</v>
      </c>
      <c r="O59" s="70">
        <v>9.31</v>
      </c>
    </row>
    <row r="60" spans="1:24" ht="15.75" thickBot="1" x14ac:dyDescent="0.3">
      <c r="A60" s="229"/>
      <c r="B60" s="295" t="s">
        <v>527</v>
      </c>
      <c r="C60" s="272">
        <f>1000-50-600</f>
        <v>350</v>
      </c>
      <c r="D60" s="273">
        <f>C60/SUM($C$56:$C$60)</f>
        <v>0.35</v>
      </c>
      <c r="E60" s="334">
        <v>1.9999999999999999E-6</v>
      </c>
      <c r="F60" s="340">
        <f>C60*E60*70</f>
        <v>4.9000000000000002E-2</v>
      </c>
      <c r="G60" s="341">
        <f>F60/70*2200</f>
        <v>1.54</v>
      </c>
      <c r="H60" s="337">
        <v>2.2999999999999998</v>
      </c>
      <c r="I60" s="70" t="s">
        <v>507</v>
      </c>
      <c r="J60" s="70">
        <v>2.42</v>
      </c>
      <c r="K60" s="70">
        <v>860</v>
      </c>
      <c r="L60" s="70">
        <v>2680</v>
      </c>
      <c r="M60" s="70">
        <v>1.05</v>
      </c>
      <c r="N60" s="70">
        <v>0.86</v>
      </c>
      <c r="O60" s="70">
        <v>0</v>
      </c>
    </row>
    <row r="61" spans="1:24" ht="15" x14ac:dyDescent="0.25">
      <c r="A61" s="229"/>
      <c r="B61" s="229"/>
      <c r="C61" s="229"/>
      <c r="D61" s="276"/>
      <c r="E61" s="277" t="s">
        <v>495</v>
      </c>
      <c r="F61" s="278">
        <f>SUMPRODUCT(H55:H60,D55:D60)</f>
        <v>2.1449999999999996</v>
      </c>
      <c r="H61" s="229"/>
      <c r="I61" s="70" t="s">
        <v>508</v>
      </c>
      <c r="J61" s="70">
        <v>1.81</v>
      </c>
      <c r="K61" s="70">
        <v>858</v>
      </c>
      <c r="L61" s="70">
        <v>2870</v>
      </c>
      <c r="M61" s="70">
        <v>0.78500000000000003</v>
      </c>
      <c r="N61" s="70">
        <v>4.38</v>
      </c>
      <c r="O61" s="70">
        <v>6.61</v>
      </c>
    </row>
    <row r="62" spans="1:24" ht="15" x14ac:dyDescent="0.25">
      <c r="A62" s="229"/>
      <c r="B62" s="229"/>
      <c r="C62" s="229"/>
      <c r="D62" s="276"/>
      <c r="E62" s="277" t="s">
        <v>496</v>
      </c>
      <c r="F62" s="278">
        <f>(40-9)/1000</f>
        <v>3.1E-2</v>
      </c>
      <c r="G62" s="276"/>
      <c r="H62" s="229"/>
      <c r="I62" s="70" t="s">
        <v>509</v>
      </c>
      <c r="J62" s="70">
        <v>0.59</v>
      </c>
      <c r="K62" s="70">
        <v>4185</v>
      </c>
      <c r="L62" s="70">
        <v>1000</v>
      </c>
      <c r="M62" s="70">
        <v>0.14099999999999999</v>
      </c>
      <c r="N62" s="70">
        <v>0.76</v>
      </c>
      <c r="O62" s="70">
        <v>0</v>
      </c>
    </row>
    <row r="63" spans="1:24" ht="15" x14ac:dyDescent="0.25">
      <c r="A63" s="229"/>
      <c r="B63" s="229"/>
      <c r="C63" s="229"/>
      <c r="D63" s="276"/>
      <c r="E63" s="277" t="s">
        <v>497</v>
      </c>
      <c r="F63" s="279">
        <f>F61*F62</f>
        <v>6.6494999999999985E-2</v>
      </c>
      <c r="G63" s="276"/>
      <c r="H63" s="229"/>
      <c r="N63" s="70">
        <f>SUM(N54:N62)</f>
        <v>78.02000000000001</v>
      </c>
      <c r="O63" s="70">
        <f>SUM(O54:O62)</f>
        <v>66.820000000000007</v>
      </c>
    </row>
    <row r="64" spans="1:24" x14ac:dyDescent="0.2">
      <c r="A64" s="229"/>
      <c r="B64" s="229"/>
      <c r="C64" s="229"/>
      <c r="D64" s="229"/>
      <c r="E64" s="229"/>
      <c r="F64" s="229"/>
      <c r="G64" s="229"/>
      <c r="H64" s="229"/>
    </row>
    <row r="65" spans="1:8" x14ac:dyDescent="0.2">
      <c r="A65" s="229"/>
      <c r="B65" s="229"/>
      <c r="C65" s="229"/>
      <c r="D65" s="229"/>
      <c r="E65" s="229"/>
      <c r="F65" s="229"/>
      <c r="G65" s="229"/>
      <c r="H65" s="229"/>
    </row>
    <row r="68" spans="1:8" x14ac:dyDescent="0.2">
      <c r="E68" s="294"/>
    </row>
  </sheetData>
  <sortState ref="B1:R12">
    <sortCondition ref="B1"/>
  </sortState>
  <mergeCells count="14">
    <mergeCell ref="F1:L1"/>
    <mergeCell ref="L17:L18"/>
    <mergeCell ref="D19:J19"/>
    <mergeCell ref="M17:M18"/>
    <mergeCell ref="N16:N17"/>
    <mergeCell ref="F54:G54"/>
    <mergeCell ref="S36:S38"/>
    <mergeCell ref="K17:K18"/>
    <mergeCell ref="K16:L16"/>
    <mergeCell ref="Q3:Q7"/>
    <mergeCell ref="Q16:Q29"/>
    <mergeCell ref="Q13:Q15"/>
    <mergeCell ref="Q8:Q12"/>
    <mergeCell ref="O16:O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workbookViewId="0">
      <selection activeCell="J18" sqref="J18"/>
    </sheetView>
  </sheetViews>
  <sheetFormatPr defaultRowHeight="15" x14ac:dyDescent="0.25"/>
  <cols>
    <col min="2" max="2" width="26.7109375" bestFit="1" customWidth="1"/>
    <col min="3" max="4" width="16.5703125" customWidth="1"/>
    <col min="5" max="5" width="12.140625" bestFit="1" customWidth="1"/>
    <col min="6" max="6" width="12.7109375" bestFit="1" customWidth="1"/>
    <col min="7" max="7" width="10.85546875" bestFit="1" customWidth="1"/>
    <col min="8" max="8" width="12" bestFit="1" customWidth="1"/>
    <col min="9" max="9" width="9.28515625" bestFit="1" customWidth="1"/>
    <col min="12" max="12" width="22.5703125" bestFit="1" customWidth="1"/>
    <col min="13" max="13" width="22.5703125" customWidth="1"/>
    <col min="14" max="14" width="23.140625" bestFit="1" customWidth="1"/>
  </cols>
  <sheetData>
    <row r="1" spans="1:16" x14ac:dyDescent="0.25">
      <c r="A1" s="229"/>
      <c r="B1" s="229"/>
      <c r="C1" s="229"/>
      <c r="D1" s="229"/>
      <c r="E1" s="229"/>
      <c r="F1" s="229"/>
      <c r="G1" s="229"/>
      <c r="H1" s="229"/>
      <c r="I1" s="229"/>
      <c r="J1" s="229"/>
      <c r="K1" s="229"/>
      <c r="L1" s="16"/>
    </row>
    <row r="2" spans="1:16" ht="15.75" thickBot="1" x14ac:dyDescent="0.3">
      <c r="A2" s="229"/>
      <c r="B2" s="300"/>
      <c r="C2" s="300"/>
      <c r="D2" s="258"/>
      <c r="E2" s="258"/>
      <c r="F2" s="258"/>
      <c r="G2" s="258"/>
      <c r="H2" s="258"/>
      <c r="I2" s="258"/>
      <c r="J2" s="258"/>
      <c r="K2" s="258"/>
      <c r="L2" s="258"/>
      <c r="M2" s="258"/>
      <c r="N2" s="258"/>
      <c r="O2" s="230"/>
      <c r="P2" s="228"/>
    </row>
    <row r="3" spans="1:16" ht="15.75" thickBot="1" x14ac:dyDescent="0.3">
      <c r="A3" s="229"/>
      <c r="B3" s="300"/>
      <c r="C3" s="300"/>
      <c r="D3" s="229"/>
      <c r="E3" s="207" t="s">
        <v>443</v>
      </c>
      <c r="F3" s="208" t="s">
        <v>444</v>
      </c>
      <c r="G3" s="209" t="s">
        <v>489</v>
      </c>
      <c r="H3" s="209" t="s">
        <v>490</v>
      </c>
      <c r="I3" s="208" t="s">
        <v>460</v>
      </c>
      <c r="J3" s="209" t="s">
        <v>399</v>
      </c>
      <c r="K3" s="210" t="s">
        <v>491</v>
      </c>
      <c r="L3" s="16"/>
    </row>
    <row r="4" spans="1:16" ht="15.75" thickBot="1" x14ac:dyDescent="0.3">
      <c r="A4" s="229"/>
      <c r="B4" s="315" t="s">
        <v>53</v>
      </c>
      <c r="C4" s="316">
        <v>81584220</v>
      </c>
      <c r="D4" s="317" t="s">
        <v>18</v>
      </c>
      <c r="E4" s="233">
        <v>0.89600000000000002</v>
      </c>
      <c r="F4" s="235">
        <v>0.89600000000000002</v>
      </c>
      <c r="G4" s="235">
        <v>1.3919999999999999</v>
      </c>
      <c r="H4" s="235">
        <v>1.3919999999999999</v>
      </c>
      <c r="I4" s="235">
        <v>2.0659999999999998</v>
      </c>
      <c r="J4" s="235">
        <v>0.7</v>
      </c>
      <c r="K4" s="236">
        <v>0.5</v>
      </c>
      <c r="L4" s="16"/>
    </row>
    <row r="5" spans="1:16" ht="15.75" thickBot="1" x14ac:dyDescent="0.3">
      <c r="A5" s="229"/>
      <c r="B5" s="304" t="s">
        <v>31</v>
      </c>
      <c r="C5" s="297" t="s">
        <v>390</v>
      </c>
      <c r="D5" s="298" t="s">
        <v>528</v>
      </c>
      <c r="E5" s="382" t="s">
        <v>448</v>
      </c>
      <c r="F5" s="383"/>
      <c r="G5" s="383"/>
      <c r="H5" s="383"/>
      <c r="I5" s="383"/>
      <c r="J5" s="383"/>
      <c r="K5" s="386"/>
      <c r="L5" s="16"/>
    </row>
    <row r="6" spans="1:16" x14ac:dyDescent="0.25">
      <c r="A6" s="229"/>
      <c r="B6" s="305" t="s">
        <v>33</v>
      </c>
      <c r="C6" s="306">
        <v>250</v>
      </c>
      <c r="D6" s="301">
        <f>$C$4*C6</f>
        <v>20396055000</v>
      </c>
      <c r="E6" s="303">
        <v>35</v>
      </c>
      <c r="F6" s="296"/>
      <c r="G6" s="296">
        <v>30</v>
      </c>
      <c r="H6" s="296">
        <v>30</v>
      </c>
      <c r="I6" s="296"/>
      <c r="J6" s="296">
        <v>1</v>
      </c>
      <c r="K6" s="141">
        <v>5</v>
      </c>
      <c r="L6" s="16"/>
    </row>
    <row r="7" spans="1:16" x14ac:dyDescent="0.25">
      <c r="A7" s="229"/>
      <c r="B7" s="307" t="s">
        <v>24</v>
      </c>
      <c r="C7" s="308">
        <f>460-C6</f>
        <v>210</v>
      </c>
      <c r="D7" s="302">
        <f>$C$4*C7</f>
        <v>17132686200</v>
      </c>
      <c r="E7" s="246"/>
      <c r="F7" s="244">
        <v>90</v>
      </c>
      <c r="G7" s="244">
        <v>5</v>
      </c>
      <c r="H7" s="244">
        <v>5</v>
      </c>
      <c r="I7" s="244"/>
      <c r="J7" s="244"/>
      <c r="K7" s="142"/>
      <c r="L7" s="16"/>
    </row>
    <row r="8" spans="1:16" x14ac:dyDescent="0.25">
      <c r="A8" s="229"/>
      <c r="B8" s="307" t="s">
        <v>25</v>
      </c>
      <c r="C8" s="308">
        <f>625-(C7+C6)</f>
        <v>165</v>
      </c>
      <c r="D8" s="302">
        <f>$C$4*C8</f>
        <v>13461396300</v>
      </c>
      <c r="E8" s="246">
        <v>39</v>
      </c>
      <c r="F8" s="244"/>
      <c r="G8" s="244">
        <v>20</v>
      </c>
      <c r="H8" s="244">
        <v>20</v>
      </c>
      <c r="I8" s="244">
        <v>20</v>
      </c>
      <c r="J8" s="244"/>
      <c r="K8" s="142">
        <v>1</v>
      </c>
      <c r="L8" s="16"/>
    </row>
    <row r="9" spans="1:16" x14ac:dyDescent="0.25">
      <c r="A9" s="229"/>
      <c r="B9" s="307" t="s">
        <v>26</v>
      </c>
      <c r="C9" s="308">
        <f>800-(C8+C7+C6)</f>
        <v>175</v>
      </c>
      <c r="D9" s="302">
        <f>$C$4*C9</f>
        <v>14277238500</v>
      </c>
      <c r="E9" s="246">
        <v>35</v>
      </c>
      <c r="F9" s="244"/>
      <c r="G9" s="244">
        <v>20</v>
      </c>
      <c r="H9" s="244">
        <v>20</v>
      </c>
      <c r="I9" s="244">
        <v>20</v>
      </c>
      <c r="J9" s="244"/>
      <c r="K9" s="142">
        <v>5</v>
      </c>
      <c r="L9" s="16"/>
    </row>
    <row r="10" spans="1:16" ht="15.75" thickBot="1" x14ac:dyDescent="0.3">
      <c r="A10" s="229"/>
      <c r="B10" s="309" t="s">
        <v>27</v>
      </c>
      <c r="C10" s="310">
        <f>885-(C9+C8+C7+C6)</f>
        <v>85</v>
      </c>
      <c r="D10" s="311">
        <f>$C$4*C10</f>
        <v>6934658700</v>
      </c>
      <c r="E10" s="312">
        <v>39</v>
      </c>
      <c r="F10" s="313"/>
      <c r="G10" s="313">
        <v>20</v>
      </c>
      <c r="H10" s="313">
        <v>20</v>
      </c>
      <c r="I10" s="313">
        <v>20</v>
      </c>
      <c r="J10" s="313"/>
      <c r="K10" s="314">
        <v>1</v>
      </c>
      <c r="L10" s="16"/>
    </row>
    <row r="11" spans="1:16" ht="15.75" thickBot="1" x14ac:dyDescent="0.3">
      <c r="A11" s="229"/>
      <c r="B11" s="229"/>
      <c r="C11" s="229"/>
      <c r="D11" s="229"/>
      <c r="E11" s="318"/>
      <c r="F11" s="229"/>
      <c r="G11" s="229"/>
      <c r="H11" s="229"/>
      <c r="I11" s="229"/>
      <c r="J11" s="229"/>
      <c r="K11" s="229"/>
      <c r="L11" s="229"/>
      <c r="M11" s="70"/>
      <c r="N11" s="70"/>
      <c r="O11" s="70"/>
      <c r="P11" s="79"/>
    </row>
    <row r="12" spans="1:16" ht="15.75" customHeight="1" thickBot="1" x14ac:dyDescent="0.3">
      <c r="A12" s="229"/>
      <c r="B12" s="254" t="s">
        <v>31</v>
      </c>
      <c r="C12" s="304" t="s">
        <v>494</v>
      </c>
      <c r="D12" s="304" t="s">
        <v>531</v>
      </c>
      <c r="E12" s="319" t="s">
        <v>391</v>
      </c>
      <c r="F12" s="229"/>
      <c r="G12" s="229"/>
      <c r="H12" s="229"/>
      <c r="I12" s="229"/>
      <c r="J12" s="229"/>
      <c r="K12" s="229"/>
      <c r="L12" s="16"/>
    </row>
    <row r="13" spans="1:16" x14ac:dyDescent="0.25">
      <c r="A13" s="229"/>
      <c r="B13" s="305" t="s">
        <v>33</v>
      </c>
      <c r="C13" s="324">
        <f>SUMPRODUCT($E$4:$K$4,E6:K6)/100</f>
        <v>1.1808000000000001</v>
      </c>
      <c r="D13" s="328">
        <f>C13*D6/1000000</f>
        <v>24083.661744000001</v>
      </c>
      <c r="E13" s="321">
        <v>1.9</v>
      </c>
      <c r="F13" s="229"/>
      <c r="G13" s="229"/>
      <c r="H13" s="229"/>
      <c r="I13" s="229"/>
      <c r="J13" s="229"/>
      <c r="K13" s="229"/>
      <c r="L13" s="16"/>
    </row>
    <row r="14" spans="1:16" x14ac:dyDescent="0.25">
      <c r="A14" s="229"/>
      <c r="B14" s="307" t="s">
        <v>24</v>
      </c>
      <c r="C14" s="325">
        <f>SUMPRODUCT($E$4:$K$4,E7:K7)/100</f>
        <v>0.94559999999999989</v>
      </c>
      <c r="D14" s="329">
        <f>C14*D7/1000000</f>
        <v>16200.668070719998</v>
      </c>
      <c r="E14" s="322">
        <v>2.91</v>
      </c>
      <c r="F14" s="229"/>
      <c r="G14" s="229"/>
      <c r="H14" s="229"/>
      <c r="I14" s="229"/>
      <c r="J14" s="229"/>
      <c r="K14" s="229"/>
      <c r="L14" s="16"/>
    </row>
    <row r="15" spans="1:16" x14ac:dyDescent="0.25">
      <c r="A15" s="229"/>
      <c r="B15" s="307" t="s">
        <v>25</v>
      </c>
      <c r="C15" s="325">
        <f>SUMPRODUCT($E$4:$K$4,E8:K8)/100</f>
        <v>1.3244399999999998</v>
      </c>
      <c r="D15" s="329">
        <f>C15*D8/1000000</f>
        <v>17828.811715571999</v>
      </c>
      <c r="E15" s="322">
        <v>2.25</v>
      </c>
      <c r="F15" s="229"/>
      <c r="G15" s="229"/>
      <c r="H15" s="229"/>
      <c r="I15" s="229"/>
      <c r="J15" s="229"/>
      <c r="K15" s="229"/>
      <c r="L15" s="16"/>
    </row>
    <row r="16" spans="1:16" x14ac:dyDescent="0.25">
      <c r="A16" s="229"/>
      <c r="B16" s="307" t="s">
        <v>26</v>
      </c>
      <c r="C16" s="325">
        <f>SUMPRODUCT($E$4:$K$4,E9:K9)/100</f>
        <v>1.3085999999999998</v>
      </c>
      <c r="D16" s="329">
        <f>C16*D9/1000000</f>
        <v>18683.194301099997</v>
      </c>
      <c r="E16" s="322">
        <v>2.2400000000000002</v>
      </c>
      <c r="F16" s="229"/>
      <c r="G16" s="229"/>
      <c r="H16" s="229"/>
      <c r="I16" s="229"/>
      <c r="J16" s="229"/>
      <c r="K16" s="229"/>
      <c r="L16" s="16"/>
    </row>
    <row r="17" spans="1:12" ht="15.75" thickBot="1" x14ac:dyDescent="0.3">
      <c r="A17" s="229"/>
      <c r="B17" s="309" t="s">
        <v>27</v>
      </c>
      <c r="C17" s="326">
        <f>SUMPRODUCT($E$4:$K$4,E10:K10)/100</f>
        <v>1.3244399999999998</v>
      </c>
      <c r="D17" s="330">
        <f>C17*D10/1000000</f>
        <v>9184.5393686279986</v>
      </c>
      <c r="E17" s="323">
        <v>1.88</v>
      </c>
      <c r="F17" s="229"/>
      <c r="G17" s="229"/>
      <c r="H17" s="229"/>
      <c r="I17" s="229"/>
      <c r="J17" s="229"/>
      <c r="K17" s="229"/>
      <c r="L17" s="16"/>
    </row>
    <row r="18" spans="1:12" ht="15.75" thickBot="1" x14ac:dyDescent="0.3">
      <c r="A18" s="229"/>
      <c r="B18" s="299" t="s">
        <v>529</v>
      </c>
      <c r="C18" s="327">
        <f>AVERAGE(C13:C17)</f>
        <v>1.2167759999999999</v>
      </c>
      <c r="D18" s="331">
        <f>SUM(D13:D17)</f>
        <v>85980.875200019989</v>
      </c>
      <c r="E18" s="387">
        <f>AVERAGE(E13:E17)</f>
        <v>2.2359999999999998</v>
      </c>
      <c r="F18" s="229"/>
      <c r="G18" s="229"/>
      <c r="H18" s="229"/>
      <c r="I18" s="229"/>
      <c r="J18" s="229"/>
      <c r="K18" s="229"/>
      <c r="L18" s="16"/>
    </row>
    <row r="19" spans="1:12" x14ac:dyDescent="0.25">
      <c r="A19" s="229"/>
      <c r="B19" s="229"/>
      <c r="C19" s="295"/>
      <c r="D19" s="295"/>
      <c r="E19" s="295"/>
      <c r="F19" s="229"/>
      <c r="G19" s="229"/>
      <c r="H19" s="229"/>
      <c r="I19" s="229"/>
      <c r="J19" s="229"/>
      <c r="K19" s="229"/>
      <c r="L19" s="16"/>
    </row>
    <row r="20" spans="1:12" x14ac:dyDescent="0.25">
      <c r="A20" s="229"/>
      <c r="B20" s="385" t="s">
        <v>530</v>
      </c>
      <c r="C20" s="385"/>
      <c r="D20" s="385"/>
      <c r="E20" s="385"/>
      <c r="F20" s="385"/>
      <c r="G20" s="385"/>
      <c r="H20" s="385"/>
      <c r="I20" s="385"/>
      <c r="J20" s="385"/>
      <c r="K20" s="229"/>
      <c r="L20" s="16"/>
    </row>
    <row r="21" spans="1:12" x14ac:dyDescent="0.25">
      <c r="A21" s="229"/>
      <c r="B21" s="320"/>
      <c r="C21" s="320"/>
      <c r="D21" s="320"/>
      <c r="E21" s="320"/>
      <c r="F21" s="320"/>
      <c r="G21" s="320"/>
      <c r="H21" s="320"/>
      <c r="I21" s="320"/>
      <c r="J21" s="320"/>
      <c r="K21" s="229"/>
      <c r="L21" s="16"/>
    </row>
    <row r="22" spans="1:12" x14ac:dyDescent="0.25">
      <c r="A22" s="229"/>
      <c r="B22" s="229"/>
      <c r="C22" s="229"/>
      <c r="D22" s="229"/>
      <c r="E22" s="229"/>
      <c r="F22" s="229"/>
      <c r="G22" s="229"/>
      <c r="H22" s="229"/>
      <c r="I22" s="229"/>
      <c r="J22" s="229"/>
      <c r="K22" s="229"/>
      <c r="L22" s="16"/>
    </row>
    <row r="23" spans="1:12" x14ac:dyDescent="0.25">
      <c r="A23" s="229"/>
      <c r="B23" s="229"/>
      <c r="C23" s="229"/>
      <c r="D23" s="229"/>
      <c r="E23" s="229"/>
      <c r="F23" s="229"/>
      <c r="G23" s="229"/>
      <c r="H23" s="229"/>
      <c r="I23" s="229"/>
      <c r="J23" s="229"/>
      <c r="K23" s="229"/>
      <c r="L23" s="16"/>
    </row>
    <row r="24" spans="1:12" x14ac:dyDescent="0.25">
      <c r="A24" s="16"/>
      <c r="B24" s="16"/>
      <c r="C24" s="16"/>
      <c r="D24" s="16"/>
      <c r="E24" s="16"/>
      <c r="F24" s="16"/>
      <c r="G24" s="16"/>
      <c r="H24" s="16"/>
      <c r="I24" s="16"/>
      <c r="J24" s="16"/>
      <c r="K24" s="16"/>
      <c r="L24" s="16"/>
    </row>
    <row r="25" spans="1:12" x14ac:dyDescent="0.25">
      <c r="A25" s="16"/>
      <c r="B25" s="16"/>
      <c r="C25" s="16"/>
      <c r="D25" s="16"/>
      <c r="E25" s="16"/>
      <c r="F25" s="16"/>
      <c r="G25" s="16"/>
      <c r="H25" s="16"/>
      <c r="I25" s="16"/>
      <c r="J25" s="16"/>
      <c r="K25" s="16"/>
      <c r="L25" s="16"/>
    </row>
    <row r="26" spans="1:12" x14ac:dyDescent="0.25">
      <c r="A26" s="16"/>
      <c r="B26" s="16"/>
      <c r="C26" s="16"/>
      <c r="D26" s="16"/>
      <c r="E26" s="16"/>
      <c r="F26" s="16"/>
      <c r="G26" s="16"/>
      <c r="H26" s="16"/>
      <c r="I26" s="16"/>
      <c r="J26" s="16"/>
      <c r="K26" s="16"/>
      <c r="L26" s="16"/>
    </row>
    <row r="27" spans="1:12" x14ac:dyDescent="0.25">
      <c r="A27" s="16"/>
      <c r="B27" s="16"/>
      <c r="C27" s="16"/>
      <c r="D27" s="16"/>
      <c r="E27" s="16"/>
      <c r="F27" s="16"/>
      <c r="G27" s="16"/>
      <c r="H27" s="16"/>
      <c r="I27" s="16"/>
      <c r="J27" s="16"/>
      <c r="K27" s="16"/>
      <c r="L27" s="16"/>
    </row>
    <row r="28" spans="1:12" x14ac:dyDescent="0.25">
      <c r="A28" s="16"/>
      <c r="B28" s="16"/>
      <c r="C28" s="16"/>
      <c r="D28" s="16"/>
      <c r="E28" s="16"/>
      <c r="F28" s="16"/>
      <c r="G28" s="16"/>
      <c r="H28" s="16"/>
      <c r="I28" s="16"/>
      <c r="J28" s="16"/>
      <c r="K28" s="16"/>
      <c r="L28" s="16"/>
    </row>
  </sheetData>
  <mergeCells count="2">
    <mergeCell ref="B20:J20"/>
    <mergeCell ref="E5:K5"/>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RHP</vt:lpstr>
      <vt:lpstr>Geothermal gradient</vt:lpstr>
      <vt:lpstr>Heat flux</vt:lpstr>
      <vt:lpstr>Conductivity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RECEVEUR Mylène</cp:lastModifiedBy>
  <dcterms:created xsi:type="dcterms:W3CDTF">2020-03-27T08:07:58Z</dcterms:created>
  <dcterms:modified xsi:type="dcterms:W3CDTF">2020-07-07T15:39:12Z</dcterms:modified>
</cp:coreProperties>
</file>