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1692" windowHeight="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5" l="1"/>
  <c r="B45" i="5"/>
  <c r="B38" i="5"/>
  <c r="C38" i="5" s="1"/>
  <c r="J41" i="5"/>
  <c r="I41" i="5"/>
  <c r="I36" i="5"/>
  <c r="F33" i="5"/>
  <c r="B37" i="5"/>
  <c r="B33" i="5"/>
  <c r="B41" i="5" l="1"/>
  <c r="C41" i="5"/>
  <c r="B26" i="5"/>
  <c r="E15" i="5"/>
  <c r="E17" i="5"/>
  <c r="E16" i="5"/>
  <c r="E58" i="5" l="1"/>
  <c r="E57" i="5"/>
  <c r="E56" i="5"/>
  <c r="E13" i="5"/>
  <c r="B8" i="5"/>
  <c r="E14" i="5" l="1"/>
  <c r="B30" i="3"/>
  <c r="B4" i="1"/>
  <c r="F47" i="5"/>
  <c r="B24" i="4"/>
  <c r="B23" i="4"/>
  <c r="B22" i="4"/>
  <c r="I7" i="5" l="1"/>
  <c r="I8" i="5" s="1"/>
  <c r="I11" i="5" s="1"/>
  <c r="I16" i="5" s="1"/>
  <c r="F46" i="5"/>
  <c r="I44" i="5" s="1"/>
  <c r="O27" i="5"/>
  <c r="K23" i="5"/>
  <c r="K24" i="5" s="1"/>
  <c r="O12" i="5"/>
  <c r="O11" i="5"/>
  <c r="I6" i="5"/>
  <c r="J5" i="5" s="1"/>
  <c r="B7" i="5"/>
  <c r="B10" i="5" s="1"/>
  <c r="B27" i="5" s="1"/>
  <c r="G57" i="1"/>
  <c r="G56" i="1"/>
  <c r="G58" i="1" s="1"/>
  <c r="G51" i="1"/>
  <c r="F51" i="1"/>
  <c r="F50" i="1"/>
  <c r="F48" i="1"/>
  <c r="F49" i="1" s="1"/>
  <c r="G49" i="1" s="1"/>
  <c r="F47" i="1"/>
  <c r="H41" i="1"/>
  <c r="G39" i="1"/>
  <c r="G40" i="1" s="1"/>
  <c r="G43" i="1" s="1"/>
  <c r="F39" i="1"/>
  <c r="F37" i="1"/>
  <c r="F40" i="1" s="1"/>
  <c r="F43" i="1" s="1"/>
  <c r="B49" i="1"/>
  <c r="F43" i="5" l="1"/>
  <c r="B11" i="5"/>
  <c r="K25" i="5"/>
  <c r="I20" i="5"/>
  <c r="F48" i="5"/>
  <c r="O13" i="5"/>
  <c r="O16" i="5" s="1"/>
  <c r="O17" i="5" s="1"/>
  <c r="I18" i="5"/>
  <c r="L26" i="5"/>
  <c r="L19" i="5"/>
  <c r="B32" i="5"/>
  <c r="I3" i="5"/>
  <c r="I15" i="5" s="1"/>
  <c r="I17" i="5" s="1"/>
  <c r="I21" i="5" s="1"/>
  <c r="F52" i="1"/>
  <c r="G52" i="1" s="1"/>
  <c r="G53" i="1" s="1"/>
  <c r="B46" i="1"/>
  <c r="C38" i="1"/>
  <c r="C32" i="5" l="1"/>
  <c r="B14" i="5"/>
  <c r="B19" i="5" s="1"/>
  <c r="B21" i="5" s="1"/>
  <c r="C31" i="5" s="1"/>
  <c r="C11" i="5"/>
  <c r="B13" i="5"/>
  <c r="B18" i="5" s="1"/>
  <c r="I22" i="5"/>
  <c r="L24" i="5"/>
  <c r="L16" i="5"/>
  <c r="L17" i="5" s="1"/>
  <c r="L18" i="5" s="1"/>
  <c r="L20" i="5" s="1"/>
  <c r="L23" i="5"/>
  <c r="A41" i="4"/>
  <c r="A40" i="4"/>
  <c r="B50" i="1"/>
  <c r="B51" i="1" s="1"/>
  <c r="C42" i="5" l="1"/>
  <c r="C43" i="5" s="1"/>
  <c r="C33" i="5"/>
  <c r="C34" i="5" s="1"/>
  <c r="C35" i="5" s="1"/>
  <c r="L25" i="5"/>
  <c r="L27" i="5" s="1"/>
  <c r="L28" i="5" s="1"/>
  <c r="B20" i="5"/>
  <c r="B31" i="5" s="1"/>
  <c r="B47" i="5"/>
  <c r="B26" i="4"/>
  <c r="B25" i="4"/>
  <c r="D17" i="4"/>
  <c r="D16" i="4"/>
  <c r="D15" i="4"/>
  <c r="D14" i="4"/>
  <c r="B13" i="4"/>
  <c r="B14" i="4" s="1"/>
  <c r="D13" i="4"/>
  <c r="B16" i="4"/>
  <c r="I7" i="3"/>
  <c r="I8" i="3"/>
  <c r="B15" i="4"/>
  <c r="C4" i="4"/>
  <c r="C5" i="4" s="1"/>
  <c r="B3" i="4"/>
  <c r="C370" i="2"/>
  <c r="C41" i="1"/>
  <c r="C39" i="1"/>
  <c r="C40" i="1" s="1"/>
  <c r="C45" i="5" l="1"/>
  <c r="B42" i="5"/>
  <c r="B43" i="5" s="1"/>
  <c r="I45" i="5"/>
  <c r="D4" i="4"/>
  <c r="D5" i="4" s="1"/>
  <c r="E5" i="4" s="1"/>
  <c r="B17" i="4"/>
  <c r="B5" i="4"/>
  <c r="B6" i="4" s="1"/>
  <c r="B7" i="4" s="1"/>
  <c r="D7" i="4" s="1"/>
  <c r="O27" i="3"/>
  <c r="B39" i="5" l="1"/>
  <c r="A51" i="5"/>
  <c r="B34" i="5"/>
  <c r="B35" i="5" s="1"/>
  <c r="B51" i="5" s="1"/>
  <c r="B46" i="5"/>
  <c r="B48" i="5" s="1"/>
  <c r="I11" i="3"/>
  <c r="I3" i="3"/>
  <c r="J5" i="3"/>
  <c r="B50" i="5" l="1"/>
  <c r="B49" i="5"/>
  <c r="K25" i="3"/>
  <c r="I16" i="3"/>
  <c r="L26" i="3" s="1"/>
  <c r="I15" i="3"/>
  <c r="O11" i="3"/>
  <c r="O13" i="3" s="1"/>
  <c r="L19" i="3" l="1"/>
  <c r="I41" i="3"/>
  <c r="I37" i="3"/>
  <c r="F40" i="3"/>
  <c r="I40" i="3" s="1"/>
  <c r="I36" i="3"/>
  <c r="F41" i="3"/>
  <c r="F37" i="3"/>
  <c r="F31" i="3"/>
  <c r="O12" i="3"/>
  <c r="O16" i="3"/>
  <c r="O17" i="3" s="1"/>
  <c r="F42" i="3" l="1"/>
  <c r="K23" i="3" l="1"/>
  <c r="K24" i="3" s="1"/>
  <c r="I17" i="3"/>
  <c r="A40" i="3" l="1"/>
  <c r="I20" i="3" l="1"/>
  <c r="I6" i="3"/>
  <c r="I18" i="3" l="1"/>
  <c r="L23" i="3" s="1"/>
  <c r="I21" i="3"/>
  <c r="B12" i="3"/>
  <c r="B11" i="3"/>
  <c r="L25" i="3" l="1"/>
  <c r="L27" i="3" s="1"/>
  <c r="L28" i="3" s="1"/>
  <c r="L16" i="3"/>
  <c r="L17" i="3" s="1"/>
  <c r="L18" i="3" s="1"/>
  <c r="L20" i="3" s="1"/>
  <c r="L24" i="3"/>
  <c r="I22" i="3"/>
  <c r="B17" i="3"/>
  <c r="B19" i="3" s="1"/>
  <c r="B9" i="3"/>
  <c r="B16" i="3" l="1"/>
  <c r="B18" i="3"/>
  <c r="B5" i="3"/>
  <c r="M2" i="2" l="1"/>
  <c r="B35" i="3" l="1"/>
  <c r="B29" i="3"/>
  <c r="B32" i="3" s="1"/>
  <c r="F25" i="3"/>
  <c r="B31" i="3" l="1"/>
  <c r="B6" i="3" l="1"/>
  <c r="B8" i="3" s="1"/>
  <c r="D2" i="2"/>
  <c r="B25" i="3" l="1"/>
  <c r="B33" i="3"/>
  <c r="B34" i="3" s="1"/>
  <c r="B36" i="3" s="1"/>
  <c r="B3" i="1"/>
  <c r="C16" i="1" l="1"/>
  <c r="B7" i="1"/>
  <c r="B5" i="1"/>
  <c r="M371" i="2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C18" i="1" l="1"/>
  <c r="B23" i="1"/>
  <c r="B22" i="1"/>
  <c r="L2" i="2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3" i="1"/>
  <c r="F4" i="1" s="1"/>
  <c r="F7" i="1" s="1"/>
  <c r="E3" i="1"/>
  <c r="E4" i="1" s="1"/>
  <c r="E7" i="1" s="1"/>
  <c r="C17" i="1"/>
  <c r="Q7" i="1" l="1"/>
  <c r="Q8" i="1" s="1"/>
  <c r="Q9" i="1" s="1"/>
  <c r="Q6" i="1"/>
  <c r="K9" i="1"/>
  <c r="K10" i="1" s="1"/>
  <c r="K12" i="1" s="1"/>
  <c r="K8" i="1"/>
  <c r="K6" i="1"/>
</calcChain>
</file>

<file path=xl/sharedStrings.xml><?xml version="1.0" encoding="utf-8"?>
<sst xmlns="http://schemas.openxmlformats.org/spreadsheetml/2006/main" count="444" uniqueCount="219">
  <si>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</si>
  <si>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</si>
  <si>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</si>
  <si>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</si>
  <si>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</si>
  <si>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</si>
  <si>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</si>
  <si>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</si>
  <si>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</si>
  <si>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</si>
  <si>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</si>
  <si>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</si>
  <si>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</si>
  <si>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</si>
  <si>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</si>
  <si>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</si>
  <si>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</si>
  <si>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</si>
  <si>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</si>
  <si>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</si>
  <si>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</si>
  <si>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</si>
  <si>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</si>
  <si>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</si>
  <si>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</si>
  <si>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</si>
  <si>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</si>
  <si>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</si>
  <si>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</si>
  <si>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</si>
  <si>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</si>
  <si>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</si>
  <si>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</si>
  <si>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</si>
  <si>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</si>
  <si>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</si>
  <si>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</si>
  <si>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</si>
  <si>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</si>
  <si>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</si>
  <si>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</si>
  <si>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</si>
  <si>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</si>
  <si>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</si>
  <si>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</si>
  <si>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</si>
  <si>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</si>
  <si>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</si>
  <si>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</si>
  <si>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</si>
  <si>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</si>
  <si>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</si>
  <si>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</si>
  <si>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</si>
  <si>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</si>
  <si>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</si>
  <si>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</si>
  <si>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</si>
  <si>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</si>
  <si>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</si>
  <si>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</si>
  <si>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</si>
  <si>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</si>
  <si>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</si>
  <si>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</si>
  <si>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</si>
  <si>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</si>
  <si>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</si>
  <si>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</si>
  <si>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</si>
  <si>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</si>
  <si>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</si>
  <si>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</si>
  <si>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</si>
  <si>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</si>
  <si>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</si>
  <si>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</si>
  <si>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</si>
  <si>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</si>
  <si>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</si>
  <si>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</si>
  <si>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</si>
  <si>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</si>
  <si>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</si>
  <si>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</si>
  <si>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</si>
  <si>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</si>
  <si>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</si>
  <si>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</si>
  <si>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</si>
  <si>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</si>
  <si>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</si>
  <si>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</si>
  <si>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</si>
  <si>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</si>
  <si>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</si>
  <si>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</si>
  <si>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</si>
  <si>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</si>
  <si>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</si>
  <si>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</si>
  <si>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</si>
  <si>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</si>
  <si>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</si>
  <si>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</si>
  <si>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</si>
  <si>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</si>
  <si>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</si>
  <si>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</si>
  <si>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</si>
  <si>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</si>
  <si>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</si>
  <si>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</si>
  <si>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</si>
  <si>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for 1 year</t>
  </si>
  <si>
    <t>r2=</t>
  </si>
  <si>
    <t>area2</t>
  </si>
  <si>
    <t>The higher rho_c, the smaller the volume/area required, so better sustained as geothermal flux is constant</t>
  </si>
  <si>
    <t>for Q=1000W</t>
  </si>
  <si>
    <t>T (z alpha)</t>
  </si>
  <si>
    <t xml:space="preserve">rho c </t>
  </si>
  <si>
    <t>V=pi x r2 x H</t>
  </si>
  <si>
    <t>geoth. Recharge</t>
  </si>
  <si>
    <t>°C</t>
  </si>
  <si>
    <t>Extraction</t>
  </si>
  <si>
    <t>1D</t>
  </si>
  <si>
    <t>Vertical recharge</t>
  </si>
  <si>
    <t>geother only account for</t>
  </si>
  <si>
    <t>% of recharge</t>
  </si>
  <si>
    <t>If unsteady state</t>
  </si>
  <si>
    <t>total</t>
  </si>
  <si>
    <t>% recharge</t>
  </si>
  <si>
    <t>3D</t>
  </si>
  <si>
    <t>Lateral recharge</t>
  </si>
  <si>
    <t>Q =rho c V DT</t>
  </si>
  <si>
    <t>perimeter</t>
  </si>
  <si>
    <t>at 4.8 m</t>
  </si>
  <si>
    <t>Unsteady state increase the share of vertical recharge</t>
  </si>
  <si>
    <t>T</t>
  </si>
  <si>
    <t>http://www.esru.strath.ac.uk/EandE/Web_sites/09-10/Hybrid_systems/solar-thermal.htm</t>
  </si>
  <si>
    <t>Solar radiations in Scotland: 1000 kwh/year Scotland -&gt;2.5 kwh/day</t>
  </si>
  <si>
    <t xml:space="preserve">Panel size: 3-4 m2 should be adequate for a 4 person home </t>
  </si>
  <si>
    <t xml:space="preserve">Energy generation (kWh/day): 3-4 </t>
  </si>
  <si>
    <t>day</t>
  </si>
  <si>
    <t>solar rad</t>
  </si>
  <si>
    <t xml:space="preserve">energy </t>
  </si>
  <si>
    <t>year</t>
  </si>
  <si>
    <t>kWh/a</t>
  </si>
  <si>
    <t>Q=</t>
  </si>
  <si>
    <t>Space heating</t>
  </si>
  <si>
    <t>hot water heating</t>
  </si>
  <si>
    <t>average yearly (kWh)</t>
  </si>
  <si>
    <t>of gas consuption(space and water heating)</t>
  </si>
  <si>
    <t>min (summer)</t>
  </si>
  <si>
    <t>max (winter)</t>
  </si>
  <si>
    <t>Heat in the ground</t>
  </si>
  <si>
    <t xml:space="preserve">V = </t>
  </si>
  <si>
    <t>Taverage=</t>
  </si>
  <si>
    <t>DT=</t>
  </si>
  <si>
    <t>Over a year, radius of influence of flux = 5 m, 10% of heat comes from above/below</t>
  </si>
  <si>
    <t>For a volume of</t>
  </si>
  <si>
    <t>Area</t>
  </si>
  <si>
    <t>BHE</t>
  </si>
  <si>
    <t>Accessible depth</t>
  </si>
  <si>
    <t>Recharge</t>
  </si>
  <si>
    <t>solar (steady state)</t>
  </si>
  <si>
    <t>solar (unsteady state)</t>
  </si>
  <si>
    <t>solar collectors</t>
  </si>
  <si>
    <t>154.500000 -70.000000 9.987159 0.737915 -0.068200 0.741060</t>
  </si>
  <si>
    <t>154.500000 -50.000000 9.903248 0.417490 0.247181 0.485177</t>
  </si>
  <si>
    <t>154.500000 -90.000000 11.143246 0.417490 -0.225895 0.474686</t>
  </si>
  <si>
    <t>154.500000 -146.000000 13.526000 -0.000000 -0.068200 0.068200</t>
  </si>
  <si>
    <t>154.500000 -2.000000 9.062004 -0.000000 -0.068200 0.068200</t>
  </si>
  <si>
    <t>axial</t>
  </si>
  <si>
    <t>Ltaeral flux are constant while axial flux increase</t>
  </si>
  <si>
    <t xml:space="preserve">need to  provide a constant heat source </t>
  </si>
  <si>
    <t xml:space="preserve">In Northern countries, inj of heat cannot compensate for heat extraction, so external sources are required </t>
  </si>
  <si>
    <t xml:space="preserve">cyclical + recharge required </t>
  </si>
  <si>
    <t>w/m2</t>
  </si>
  <si>
    <t>kwh/d</t>
  </si>
  <si>
    <t>kwh/y</t>
  </si>
  <si>
    <t>average annual rate</t>
  </si>
  <si>
    <t>s</t>
  </si>
  <si>
    <t>J solar in 1 year</t>
  </si>
  <si>
    <t>KWh solar</t>
  </si>
  <si>
    <t>J consummed</t>
  </si>
  <si>
    <t>%</t>
  </si>
  <si>
    <t>W/m²</t>
  </si>
  <si>
    <t>j</t>
  </si>
  <si>
    <t>mined</t>
  </si>
  <si>
    <t>heating requirements</t>
  </si>
  <si>
    <t>rho_r</t>
  </si>
  <si>
    <t>c_r</t>
  </si>
  <si>
    <t>rho_w</t>
  </si>
  <si>
    <t>c_w</t>
  </si>
  <si>
    <t>m²</t>
  </si>
  <si>
    <t>jan</t>
  </si>
  <si>
    <t>fev</t>
  </si>
  <si>
    <t>mar</t>
  </si>
  <si>
    <t>avril</t>
  </si>
  <si>
    <t>mai</t>
  </si>
  <si>
    <t>jun</t>
  </si>
  <si>
    <t>jul</t>
  </si>
  <si>
    <t>aout</t>
  </si>
  <si>
    <t>sept</t>
  </si>
  <si>
    <t>oct</t>
  </si>
  <si>
    <t>nov</t>
  </si>
  <si>
    <t>dec</t>
  </si>
  <si>
    <t>kWh/m²/day</t>
  </si>
  <si>
    <t>W/m²/day</t>
  </si>
  <si>
    <t>sun hours</t>
  </si>
  <si>
    <t>min</t>
  </si>
  <si>
    <t>max</t>
  </si>
  <si>
    <t>W mines</t>
  </si>
  <si>
    <t>1 year</t>
  </si>
  <si>
    <t>30 years</t>
  </si>
  <si>
    <t>flux obtained after 1 year for v2 of script : -1.08</t>
  </si>
  <si>
    <t>at 265 m after 30 years : -0.155739</t>
  </si>
  <si>
    <t xml:space="preserve">the horizontal  flux is max at borehole ends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</si>
</sst>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NumberFormat="1"/>
    <xf numFmtId="0" fontId="0" fillId="5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E4" sqref="E4"/>
    </sheetView>
  </sheetViews>
  <sheetFormatPr defaultRowHeight="14.4" x14ac:dyDescent="0.3"/>
  <cols>
    <col min="1" max="1" width="24.6640625" customWidth="1"/>
    <col min="2" max="3" width="12" bestFit="1" customWidth="1"/>
    <col min="5" max="6" width="12" bestFit="1" customWidth="1"/>
    <col min="7" max="7" width="11" bestFit="1" customWidth="1"/>
    <col min="8" max="8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15000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54000000000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1712.3287671232877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761.03500761035002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503.62610797743758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3.4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5" spans="1:18" x14ac:dyDescent="0.3">
      <c r="I15" t="s">
        <v>98</v>
      </c>
    </row>
    <row r="16" spans="1:18" x14ac:dyDescent="0.3">
      <c r="B16" t="s">
        <v>47</v>
      </c>
      <c r="C16">
        <f>B4-B4/B6</f>
        <v>1208.70265914585</v>
      </c>
      <c r="D16" t="s">
        <v>5</v>
      </c>
    </row>
    <row r="17" spans="1:4" x14ac:dyDescent="0.3">
      <c r="B17" t="s">
        <v>8</v>
      </c>
      <c r="C17">
        <f>C16+B7</f>
        <v>1712.3287671232877</v>
      </c>
      <c r="D17" t="s">
        <v>5</v>
      </c>
    </row>
    <row r="18" spans="1:4" x14ac:dyDescent="0.3">
      <c r="B18" t="s">
        <v>68</v>
      </c>
      <c r="C18">
        <f>C16/5</f>
        <v>241.74053182917001</v>
      </c>
    </row>
    <row r="19" spans="1:4" x14ac:dyDescent="0.3">
      <c r="A19" t="s">
        <v>11</v>
      </c>
      <c r="B19" t="s">
        <v>12</v>
      </c>
      <c r="C19">
        <v>80</v>
      </c>
    </row>
    <row r="20" spans="1:4" x14ac:dyDescent="0.3">
      <c r="A20" t="s">
        <v>13</v>
      </c>
      <c r="B20" t="s">
        <v>14</v>
      </c>
      <c r="C20" t="s">
        <v>48</v>
      </c>
    </row>
    <row r="22" spans="1:4" x14ac:dyDescent="0.3">
      <c r="A22" t="s">
        <v>49</v>
      </c>
      <c r="B22">
        <f>C16/(120-40)</f>
        <v>15.108783239323126</v>
      </c>
      <c r="C22" t="s">
        <v>27</v>
      </c>
      <c r="D22" t="s">
        <v>65</v>
      </c>
    </row>
    <row r="23" spans="1:4" x14ac:dyDescent="0.3">
      <c r="B23">
        <f>C16/(80-40)</f>
        <v>30.217566478646251</v>
      </c>
      <c r="C23" t="s">
        <v>27</v>
      </c>
      <c r="D23" t="s">
        <v>66</v>
      </c>
    </row>
    <row r="30" spans="1:4" x14ac:dyDescent="0.3">
      <c r="A30" t="s">
        <v>139</v>
      </c>
    </row>
    <row r="31" spans="1:4" x14ac:dyDescent="0.3">
      <c r="A31" t="s">
        <v>140</v>
      </c>
    </row>
    <row r="32" spans="1:4" x14ac:dyDescent="0.3">
      <c r="A32" t="s">
        <v>141</v>
      </c>
    </row>
    <row r="33" spans="1:13" x14ac:dyDescent="0.3">
      <c r="A33" t="s">
        <v>142</v>
      </c>
    </row>
    <row r="36" spans="1:13" x14ac:dyDescent="0.3">
      <c r="B36" t="s">
        <v>144</v>
      </c>
      <c r="C36" t="s">
        <v>145</v>
      </c>
      <c r="F36" s="15">
        <v>8</v>
      </c>
      <c r="G36" s="15">
        <v>8</v>
      </c>
      <c r="H36" s="15"/>
      <c r="I36" s="15" t="s">
        <v>22</v>
      </c>
    </row>
    <row r="37" spans="1:13" x14ac:dyDescent="0.3">
      <c r="A37" t="s">
        <v>143</v>
      </c>
      <c r="B37">
        <v>2.5</v>
      </c>
      <c r="C37">
        <v>3.5</v>
      </c>
      <c r="F37" s="15">
        <f>F36*70</f>
        <v>560</v>
      </c>
      <c r="G37" s="15"/>
      <c r="H37" s="15"/>
      <c r="I37" s="15" t="s">
        <v>5</v>
      </c>
    </row>
    <row r="38" spans="1:13" x14ac:dyDescent="0.3">
      <c r="A38" t="s">
        <v>146</v>
      </c>
      <c r="B38">
        <v>1000</v>
      </c>
      <c r="C38">
        <f>B38*C37/B37</f>
        <v>1400</v>
      </c>
      <c r="D38" t="s">
        <v>147</v>
      </c>
      <c r="F38" s="15">
        <v>1380</v>
      </c>
      <c r="G38" s="15">
        <v>1380</v>
      </c>
      <c r="H38" s="15"/>
      <c r="I38" s="15" t="s">
        <v>79</v>
      </c>
    </row>
    <row r="39" spans="1:13" x14ac:dyDescent="0.3">
      <c r="C39">
        <f>C38*3600*1000</f>
        <v>5040000000</v>
      </c>
      <c r="D39" t="s">
        <v>2</v>
      </c>
      <c r="F39" s="15">
        <f>F38*3600</f>
        <v>4968000</v>
      </c>
      <c r="G39" s="15">
        <f>G38*3600</f>
        <v>4968000</v>
      </c>
      <c r="H39" s="15"/>
      <c r="I39" s="15" t="s">
        <v>182</v>
      </c>
    </row>
    <row r="40" spans="1:13" x14ac:dyDescent="0.3">
      <c r="C40">
        <f>C39/(365.25*86400)</f>
        <v>159.7079625827059</v>
      </c>
      <c r="D40" t="s">
        <v>5</v>
      </c>
      <c r="F40" s="15">
        <f>F37*F39</f>
        <v>2782080000</v>
      </c>
      <c r="G40" s="15">
        <f>G36*G39</f>
        <v>39744000</v>
      </c>
      <c r="H40" s="15"/>
      <c r="I40" s="15" t="s">
        <v>183</v>
      </c>
    </row>
    <row r="41" spans="1:13" x14ac:dyDescent="0.3">
      <c r="C41">
        <f>C37*3600*1000/86400</f>
        <v>145.83333333333334</v>
      </c>
      <c r="F41" s="15">
        <v>772</v>
      </c>
      <c r="G41" s="15">
        <v>11</v>
      </c>
      <c r="H41" s="15">
        <f>F41/70</f>
        <v>11.028571428571428</v>
      </c>
      <c r="I41" s="15" t="s">
        <v>184</v>
      </c>
    </row>
    <row r="42" spans="1:13" x14ac:dyDescent="0.3">
      <c r="F42" s="16">
        <v>31500000000</v>
      </c>
      <c r="G42" s="16">
        <v>31500000000</v>
      </c>
      <c r="H42" s="15"/>
      <c r="I42" s="15" t="s">
        <v>185</v>
      </c>
    </row>
    <row r="43" spans="1:13" x14ac:dyDescent="0.3">
      <c r="B43" t="s">
        <v>181</v>
      </c>
      <c r="F43" s="16">
        <f>F40/F42*100</f>
        <v>8.831999999999999</v>
      </c>
      <c r="G43" s="16">
        <f>G40/G42*100</f>
        <v>0.12617142857142857</v>
      </c>
      <c r="H43" s="15"/>
      <c r="I43" s="15" t="s">
        <v>186</v>
      </c>
    </row>
    <row r="44" spans="1:13" x14ac:dyDescent="0.3">
      <c r="B44">
        <v>94</v>
      </c>
      <c r="C44" t="s">
        <v>178</v>
      </c>
    </row>
    <row r="45" spans="1:13" x14ac:dyDescent="0.3">
      <c r="B45">
        <v>8</v>
      </c>
    </row>
    <row r="46" spans="1:13" x14ac:dyDescent="0.3">
      <c r="B46">
        <f>B44/B45</f>
        <v>11.75</v>
      </c>
      <c r="F46">
        <v>11.5</v>
      </c>
      <c r="G46" t="s">
        <v>187</v>
      </c>
    </row>
    <row r="47" spans="1:13" x14ac:dyDescent="0.3">
      <c r="F47">
        <f>F46*70</f>
        <v>805</v>
      </c>
      <c r="G47" t="s">
        <v>5</v>
      </c>
      <c r="H47" s="15"/>
      <c r="I47" s="15"/>
      <c r="J47" s="15"/>
      <c r="K47" s="15"/>
      <c r="L47" s="15"/>
      <c r="M47" s="15"/>
    </row>
    <row r="48" spans="1:13" x14ac:dyDescent="0.3">
      <c r="B48">
        <v>2.5</v>
      </c>
      <c r="C48" t="s">
        <v>179</v>
      </c>
      <c r="F48">
        <f>1380*3600</f>
        <v>4968000</v>
      </c>
      <c r="G48" t="s">
        <v>182</v>
      </c>
    </row>
    <row r="49" spans="2:9" x14ac:dyDescent="0.3">
      <c r="B49">
        <f>B48*365</f>
        <v>912.5</v>
      </c>
      <c r="C49" t="s">
        <v>180</v>
      </c>
      <c r="F49" s="18">
        <f>F47*F48</f>
        <v>3999240000</v>
      </c>
      <c r="G49" s="18">
        <f>F49/F50*100</f>
        <v>12.681506849315069</v>
      </c>
      <c r="H49" s="17" t="s">
        <v>85</v>
      </c>
      <c r="I49" s="17"/>
    </row>
    <row r="50" spans="2:9" x14ac:dyDescent="0.3">
      <c r="B50">
        <f>B49*1000*3600</f>
        <v>3285000000</v>
      </c>
      <c r="C50" t="s">
        <v>2</v>
      </c>
      <c r="F50" s="17">
        <f>1000*365*86400</f>
        <v>31536000000</v>
      </c>
      <c r="G50" s="17" t="s">
        <v>188</v>
      </c>
      <c r="H50" s="17" t="s">
        <v>130</v>
      </c>
      <c r="I50" s="17"/>
    </row>
    <row r="51" spans="2:9" x14ac:dyDescent="0.3">
      <c r="B51">
        <f>B50/(365.25*24*3600)</f>
        <v>104.0953684690851</v>
      </c>
      <c r="C51" t="s">
        <v>22</v>
      </c>
      <c r="F51" s="18">
        <f>0.068*70*86400*365</f>
        <v>150111360.00000003</v>
      </c>
      <c r="G51" s="18">
        <f>F51/F50*100</f>
        <v>0.47600000000000015</v>
      </c>
      <c r="H51" s="17" t="s">
        <v>90</v>
      </c>
      <c r="I51" s="17"/>
    </row>
    <row r="52" spans="2:9" x14ac:dyDescent="0.3">
      <c r="F52" s="18">
        <f>F50-F49-F51</f>
        <v>27386648640</v>
      </c>
      <c r="G52" s="18">
        <f>F52/F50*100</f>
        <v>86.84249315068493</v>
      </c>
      <c r="H52" s="17" t="s">
        <v>189</v>
      </c>
      <c r="I52" s="17"/>
    </row>
    <row r="53" spans="2:9" x14ac:dyDescent="0.3">
      <c r="F53" s="17"/>
      <c r="G53" s="18">
        <f>(G52/100*1000)/(40*30)</f>
        <v>0.72368744292237441</v>
      </c>
      <c r="H53" s="17"/>
      <c r="I53" s="17"/>
    </row>
    <row r="54" spans="2:9" x14ac:dyDescent="0.3">
      <c r="F54" s="17"/>
      <c r="G54" s="18"/>
      <c r="H54" s="17"/>
      <c r="I54" s="17"/>
    </row>
    <row r="55" spans="2:9" x14ac:dyDescent="0.3">
      <c r="F55" s="17"/>
      <c r="G55" s="17">
        <v>11.5</v>
      </c>
      <c r="H55" s="17"/>
      <c r="I55" s="17"/>
    </row>
    <row r="56" spans="2:9" x14ac:dyDescent="0.3">
      <c r="F56" s="17"/>
      <c r="G56" s="17">
        <f>(1380*3600)/(366*86400)*G55</f>
        <v>1.8066939890710383</v>
      </c>
      <c r="H56" s="17" t="s">
        <v>187</v>
      </c>
      <c r="I56" s="17"/>
    </row>
    <row r="57" spans="2:9" x14ac:dyDescent="0.3">
      <c r="F57" s="17"/>
      <c r="G57" s="17">
        <f>G55*70*1380*3600</f>
        <v>3999240000</v>
      </c>
      <c r="H57" s="17" t="s">
        <v>188</v>
      </c>
      <c r="I57" s="17"/>
    </row>
    <row r="58" spans="2:9" x14ac:dyDescent="0.3">
      <c r="F58" s="17"/>
      <c r="G58" s="17">
        <f>G56*70*366*86400</f>
        <v>3999240000</v>
      </c>
      <c r="H58" s="17"/>
      <c r="I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workbookViewId="0">
      <selection activeCell="C1" sqref="C1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  <col min="13" max="13" width="12" bestFit="1" customWidth="1"/>
  </cols>
  <sheetData>
    <row r="1" spans="1:15" x14ac:dyDescent="0.3">
      <c r="A1">
        <v>30</v>
      </c>
      <c r="B1">
        <v>34</v>
      </c>
      <c r="C1">
        <v>40</v>
      </c>
      <c r="D1" t="s">
        <v>55</v>
      </c>
      <c r="E1" t="s">
        <v>152</v>
      </c>
      <c r="L1" t="s">
        <v>60</v>
      </c>
    </row>
    <row r="2" spans="1:15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5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3:13" x14ac:dyDescent="0.3">
      <c r="C370">
        <f>MAX(C4:C368)</f>
        <v>1833.3333333333333</v>
      </c>
      <c r="M370">
        <f>MIN(M4:M368)</f>
        <v>-1294.1176470588234</v>
      </c>
    </row>
    <row r="371" spans="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D12" sqref="D12"/>
    </sheetView>
  </sheetViews>
  <sheetFormatPr defaultRowHeight="14.4" x14ac:dyDescent="0.3"/>
  <cols>
    <col min="2" max="2" width="8.6640625" customWidth="1"/>
    <col min="9" max="9" width="7" customWidth="1"/>
  </cols>
  <sheetData>
    <row r="1" spans="1:16" x14ac:dyDescent="0.3">
      <c r="A1" t="s">
        <v>69</v>
      </c>
      <c r="B1">
        <v>2650</v>
      </c>
      <c r="C1" t="s">
        <v>71</v>
      </c>
      <c r="H1" s="5" t="s">
        <v>69</v>
      </c>
      <c r="I1" s="5">
        <v>2500</v>
      </c>
      <c r="J1" s="5"/>
      <c r="M1" t="s">
        <v>5</v>
      </c>
    </row>
    <row r="2" spans="1:16" x14ac:dyDescent="0.3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>
        <v>1000</v>
      </c>
      <c r="N2">
        <v>6800</v>
      </c>
      <c r="O2" t="s">
        <v>77</v>
      </c>
      <c r="P2" t="s">
        <v>114</v>
      </c>
    </row>
    <row r="3" spans="1:16" x14ac:dyDescent="0.3">
      <c r="A3" t="s">
        <v>73</v>
      </c>
      <c r="B3">
        <v>5</v>
      </c>
      <c r="C3" t="s">
        <v>74</v>
      </c>
      <c r="H3" s="6" t="s">
        <v>76</v>
      </c>
      <c r="I3" s="7">
        <f>I7/(I4*I6*I1*I2 * (1-I5))</f>
        <v>6803.5896192093132</v>
      </c>
      <c r="J3" s="5" t="s">
        <v>134</v>
      </c>
      <c r="M3">
        <v>1415</v>
      </c>
      <c r="N3">
        <v>9600</v>
      </c>
      <c r="O3" t="s">
        <v>77</v>
      </c>
      <c r="P3" t="s">
        <v>114</v>
      </c>
    </row>
    <row r="4" spans="1:16" x14ac:dyDescent="0.3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3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>
        <f>I4*I6</f>
        <v>2.17</v>
      </c>
    </row>
    <row r="6" spans="1:16" ht="15" thickBot="1" x14ac:dyDescent="0.35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f>(40-9)/1000</f>
        <v>3.1E-2</v>
      </c>
      <c r="J6" s="5"/>
      <c r="M6" t="s">
        <v>117</v>
      </c>
    </row>
    <row r="7" spans="1:16" ht="15" thickBot="1" x14ac:dyDescent="0.35">
      <c r="A7" t="s">
        <v>4</v>
      </c>
      <c r="B7">
        <v>3.4</v>
      </c>
      <c r="H7" s="5" t="s">
        <v>106</v>
      </c>
      <c r="I7" s="9">
        <f>M2*3600*24*365.25</f>
        <v>31557600000</v>
      </c>
      <c r="J7" s="5" t="s">
        <v>107</v>
      </c>
      <c r="K7" t="s">
        <v>118</v>
      </c>
    </row>
    <row r="8" spans="1:16" x14ac:dyDescent="0.3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3">
      <c r="A9" t="s">
        <v>97</v>
      </c>
      <c r="B9">
        <f>B8*24*365.25*3600</f>
        <v>31532170829.975826</v>
      </c>
    </row>
    <row r="10" spans="1:16" x14ac:dyDescent="0.3">
      <c r="A10" t="s">
        <v>99</v>
      </c>
      <c r="B10">
        <v>0.1</v>
      </c>
      <c r="H10" s="8" t="s">
        <v>73</v>
      </c>
      <c r="I10" s="8">
        <v>5</v>
      </c>
      <c r="J10" s="5"/>
      <c r="N10" s="5" t="s">
        <v>75</v>
      </c>
      <c r="O10" s="12">
        <v>31500000000</v>
      </c>
    </row>
    <row r="11" spans="1:16" x14ac:dyDescent="0.3">
      <c r="A11" s="3" t="s">
        <v>76</v>
      </c>
      <c r="B11" s="3">
        <f>B9/((B1*B2*B3*(1-B10)))</f>
        <v>2783.3759973497363</v>
      </c>
      <c r="C11" s="3" t="s">
        <v>77</v>
      </c>
      <c r="H11" s="8" t="s">
        <v>76</v>
      </c>
      <c r="I11" s="10">
        <f>I8/(I10*I1*I2*(1-I5))</f>
        <v>88582.736842105267</v>
      </c>
      <c r="J11" s="5"/>
      <c r="N11" s="5" t="s">
        <v>119</v>
      </c>
      <c r="O11" s="12">
        <f>70*0.031</f>
        <v>2.17</v>
      </c>
    </row>
    <row r="12" spans="1:16" x14ac:dyDescent="0.3">
      <c r="A12" s="3" t="s">
        <v>100</v>
      </c>
      <c r="B12" s="3">
        <f>(B9*30)/((B1*B2*B3*(1-B10)))</f>
        <v>83501.279920492088</v>
      </c>
      <c r="C12" s="3" t="s">
        <v>77</v>
      </c>
      <c r="I12" t="s">
        <v>138</v>
      </c>
      <c r="N12" s="5" t="s">
        <v>120</v>
      </c>
      <c r="O12" s="12">
        <f>950*2500</f>
        <v>2375000</v>
      </c>
    </row>
    <row r="13" spans="1:16" x14ac:dyDescent="0.3">
      <c r="H13" s="5" t="s">
        <v>109</v>
      </c>
      <c r="I13" s="5" t="s">
        <v>110</v>
      </c>
      <c r="J13" s="5"/>
      <c r="N13" s="5" t="s">
        <v>76</v>
      </c>
      <c r="O13" s="13">
        <f>O10/(O11*O12)</f>
        <v>6112.0543293718165</v>
      </c>
    </row>
    <row r="14" spans="1:16" x14ac:dyDescent="0.3">
      <c r="A14" s="4" t="s">
        <v>78</v>
      </c>
      <c r="H14" s="5" t="s">
        <v>79</v>
      </c>
      <c r="I14" s="5">
        <v>40</v>
      </c>
      <c r="J14" s="5"/>
      <c r="N14" s="5" t="s">
        <v>95</v>
      </c>
      <c r="O14" s="12">
        <v>40</v>
      </c>
    </row>
    <row r="15" spans="1:16" x14ac:dyDescent="0.3">
      <c r="A15" t="s">
        <v>79</v>
      </c>
      <c r="B15">
        <v>40</v>
      </c>
      <c r="C15" t="s">
        <v>24</v>
      </c>
      <c r="H15" s="6" t="s">
        <v>111</v>
      </c>
      <c r="I15" s="6">
        <f>SQRT(I3/(I14*PI()))</f>
        <v>7.3580735205142798</v>
      </c>
      <c r="J15" s="5"/>
      <c r="N15" s="5" t="s">
        <v>121</v>
      </c>
      <c r="O15" s="5"/>
    </row>
    <row r="16" spans="1:16" x14ac:dyDescent="0.3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8" t="s">
        <v>115</v>
      </c>
      <c r="I16" s="8">
        <f>SQRT(I11/(I14*PI()))</f>
        <v>26.550311147922169</v>
      </c>
      <c r="J16" s="5"/>
      <c r="K16">
        <v>6.4736000000000002E-2</v>
      </c>
      <c r="L16">
        <f>K16*I18</f>
        <v>143.36230130526314</v>
      </c>
      <c r="N16" s="5" t="s">
        <v>111</v>
      </c>
      <c r="O16" s="5">
        <f>SQRT(O13/(PI()*O14))</f>
        <v>6.9741080396196331</v>
      </c>
    </row>
    <row r="17" spans="1:15" x14ac:dyDescent="0.3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6" t="s">
        <v>86</v>
      </c>
      <c r="I17" s="6">
        <f>I15^2*PI()</f>
        <v>170.08974048023282</v>
      </c>
      <c r="J17" s="5"/>
      <c r="K17" s="5"/>
      <c r="L17" s="5">
        <f>B8-L16</f>
        <v>855.83189692197288</v>
      </c>
      <c r="N17" s="5" t="s">
        <v>68</v>
      </c>
      <c r="O17" s="5">
        <f>O16^2*PI()</f>
        <v>152.80135823429541</v>
      </c>
    </row>
    <row r="18" spans="1:15" x14ac:dyDescent="0.3">
      <c r="A18" s="3" t="s">
        <v>86</v>
      </c>
      <c r="B18" s="3">
        <f>PI()*B16^2</f>
        <v>69.584399933743413</v>
      </c>
      <c r="H18" s="8" t="s">
        <v>116</v>
      </c>
      <c r="I18" s="8">
        <f>I16^2*PI()</f>
        <v>2214.5684210526315</v>
      </c>
      <c r="J18" s="5"/>
      <c r="K18" s="5" t="s">
        <v>94</v>
      </c>
      <c r="L18">
        <f>L17/(B15)</f>
        <v>21.395797423049324</v>
      </c>
      <c r="M18" t="s">
        <v>27</v>
      </c>
    </row>
    <row r="19" spans="1:15" x14ac:dyDescent="0.3">
      <c r="A19" s="3" t="s">
        <v>101</v>
      </c>
      <c r="B19" s="3">
        <f>PI()*B17^2</f>
        <v>2087.5319980123022</v>
      </c>
      <c r="K19" t="s">
        <v>135</v>
      </c>
      <c r="L19">
        <f>2*PI()*I16</f>
        <v>166.82052490567094</v>
      </c>
    </row>
    <row r="20" spans="1:15" x14ac:dyDescent="0.3">
      <c r="A20" s="3"/>
      <c r="B20" s="3"/>
      <c r="H20" s="11" t="s">
        <v>83</v>
      </c>
      <c r="I20" s="11">
        <f>1000/(K23+K24)</f>
        <v>5821.5350223546939</v>
      </c>
      <c r="J20" s="5" t="s">
        <v>41</v>
      </c>
      <c r="K20" t="s">
        <v>94</v>
      </c>
      <c r="L20">
        <f>L18/L19</f>
        <v>0.12825638472932291</v>
      </c>
      <c r="M20" t="s">
        <v>136</v>
      </c>
    </row>
    <row r="21" spans="1:15" x14ac:dyDescent="0.3">
      <c r="A21" s="4" t="s">
        <v>83</v>
      </c>
      <c r="H21" s="6" t="s">
        <v>112</v>
      </c>
      <c r="I21" s="6">
        <f>I17</f>
        <v>170.08974048023282</v>
      </c>
      <c r="J21" s="5" t="s">
        <v>41</v>
      </c>
    </row>
    <row r="22" spans="1:15" x14ac:dyDescent="0.3">
      <c r="A22" t="s">
        <v>87</v>
      </c>
      <c r="H22" s="5"/>
      <c r="I22" s="5">
        <f>I20/I21</f>
        <v>34.226256127607243</v>
      </c>
      <c r="J22" s="5"/>
    </row>
    <row r="23" spans="1:15" x14ac:dyDescent="0.3">
      <c r="A23" t="s">
        <v>84</v>
      </c>
      <c r="B23">
        <v>0.06</v>
      </c>
      <c r="H23" s="5"/>
      <c r="I23" s="5"/>
      <c r="J23" s="5"/>
      <c r="K23" s="11">
        <f>0.091923</f>
        <v>9.1923000000000005E-2</v>
      </c>
      <c r="L23" s="5">
        <f>I18*K23</f>
        <v>203.56977296842106</v>
      </c>
    </row>
    <row r="24" spans="1:15" x14ac:dyDescent="0.3">
      <c r="A24" t="s">
        <v>85</v>
      </c>
      <c r="B24">
        <v>0.01</v>
      </c>
      <c r="H24" s="5"/>
      <c r="I24" s="5"/>
      <c r="J24" s="5"/>
      <c r="K24" s="11">
        <f>K23-0.01207</f>
        <v>7.9853000000000007E-2</v>
      </c>
      <c r="L24" s="5">
        <f>I18*K24</f>
        <v>176.8399321263158</v>
      </c>
    </row>
    <row r="25" spans="1:15" x14ac:dyDescent="0.3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>
        <f>K24-K23</f>
        <v>-1.2069999999999997E-2</v>
      </c>
      <c r="L25" s="5">
        <f>1000-(L23+L24)</f>
        <v>619.59029490526314</v>
      </c>
    </row>
    <row r="26" spans="1:15" x14ac:dyDescent="0.3">
      <c r="K26" s="8" t="s">
        <v>113</v>
      </c>
      <c r="L26" s="8">
        <f>2*PI()*I16</f>
        <v>166.82052490567094</v>
      </c>
    </row>
    <row r="27" spans="1:15" x14ac:dyDescent="0.3">
      <c r="K27" s="5" t="s">
        <v>94</v>
      </c>
      <c r="L27" s="5">
        <f>L25/I14</f>
        <v>15.489757372631578</v>
      </c>
      <c r="O27">
        <f>0.031*150+9</f>
        <v>13.65</v>
      </c>
    </row>
    <row r="28" spans="1:15" x14ac:dyDescent="0.3">
      <c r="A28" s="4" t="s">
        <v>88</v>
      </c>
      <c r="L28">
        <f>L27/L26</f>
        <v>9.2852827200911273E-2</v>
      </c>
    </row>
    <row r="29" spans="1:15" x14ac:dyDescent="0.3">
      <c r="A29" t="s">
        <v>89</v>
      </c>
      <c r="B29">
        <f>B18</f>
        <v>69.584399933743413</v>
      </c>
    </row>
    <row r="30" spans="1:15" x14ac:dyDescent="0.3">
      <c r="A30" t="s">
        <v>75</v>
      </c>
      <c r="B30">
        <f>B8</f>
        <v>999.19419822723603</v>
      </c>
      <c r="C30" t="s">
        <v>5</v>
      </c>
      <c r="E30" t="s">
        <v>86</v>
      </c>
      <c r="F30">
        <v>70</v>
      </c>
      <c r="G30" t="s">
        <v>41</v>
      </c>
      <c r="K30" t="s">
        <v>137</v>
      </c>
    </row>
    <row r="31" spans="1:15" x14ac:dyDescent="0.3">
      <c r="A31" t="s">
        <v>90</v>
      </c>
      <c r="B31">
        <f>0.06*B29</f>
        <v>4.1750639960246048</v>
      </c>
      <c r="C31" t="s">
        <v>5</v>
      </c>
      <c r="E31" t="s">
        <v>122</v>
      </c>
      <c r="F31">
        <f>0.064736*F30</f>
        <v>4.5315200000000004</v>
      </c>
      <c r="G31" t="s">
        <v>5</v>
      </c>
    </row>
    <row r="32" spans="1:15" x14ac:dyDescent="0.3">
      <c r="A32" t="s">
        <v>85</v>
      </c>
      <c r="B32">
        <f>B24*B29</f>
        <v>0.69584399933743413</v>
      </c>
      <c r="C32" t="s">
        <v>5</v>
      </c>
      <c r="E32" t="s">
        <v>124</v>
      </c>
      <c r="F32">
        <v>1000</v>
      </c>
      <c r="G32" t="s">
        <v>5</v>
      </c>
    </row>
    <row r="33" spans="1:10" x14ac:dyDescent="0.3">
      <c r="A33" s="3" t="s">
        <v>91</v>
      </c>
      <c r="B33" s="3">
        <f>B30-B31-B32</f>
        <v>994.32329023187401</v>
      </c>
      <c r="C33" s="3" t="s">
        <v>5</v>
      </c>
      <c r="E33" t="s">
        <v>73</v>
      </c>
      <c r="F33">
        <v>5</v>
      </c>
      <c r="G33" t="s">
        <v>123</v>
      </c>
    </row>
    <row r="34" spans="1:10" x14ac:dyDescent="0.3">
      <c r="A34" t="s">
        <v>92</v>
      </c>
      <c r="B34">
        <f>B33/B15</f>
        <v>24.858082255796852</v>
      </c>
      <c r="C34" t="s">
        <v>27</v>
      </c>
    </row>
    <row r="35" spans="1:10" x14ac:dyDescent="0.3">
      <c r="A35" t="s">
        <v>93</v>
      </c>
      <c r="B35">
        <f>2*PI()*B16</f>
        <v>29.570650289522035</v>
      </c>
      <c r="C35" t="s">
        <v>24</v>
      </c>
      <c r="E35" t="s">
        <v>125</v>
      </c>
      <c r="F35" t="s">
        <v>126</v>
      </c>
      <c r="I35" t="s">
        <v>132</v>
      </c>
      <c r="J35" t="s">
        <v>133</v>
      </c>
    </row>
    <row r="36" spans="1:10" x14ac:dyDescent="0.3">
      <c r="A36" t="s">
        <v>94</v>
      </c>
      <c r="B36">
        <f>B34/B35</f>
        <v>0.84063360164267276</v>
      </c>
      <c r="C36" t="s">
        <v>22</v>
      </c>
      <c r="E36" t="s">
        <v>127</v>
      </c>
      <c r="I36">
        <f>F32-F31</f>
        <v>995.46848</v>
      </c>
    </row>
    <row r="37" spans="1:10" x14ac:dyDescent="0.3">
      <c r="F37">
        <f>F31/F32*100</f>
        <v>0.45315200000000005</v>
      </c>
      <c r="G37" t="s">
        <v>128</v>
      </c>
      <c r="I37">
        <f>I36/(B35*B15)</f>
        <v>0.84160178272502428</v>
      </c>
    </row>
    <row r="39" spans="1:10" x14ac:dyDescent="0.3">
      <c r="E39" t="s">
        <v>129</v>
      </c>
      <c r="I39" s="5" t="s">
        <v>129</v>
      </c>
    </row>
    <row r="40" spans="1:10" x14ac:dyDescent="0.3">
      <c r="A40">
        <f>0.066495*1100</f>
        <v>73.144499999999994</v>
      </c>
      <c r="E40" t="s">
        <v>90</v>
      </c>
      <c r="F40">
        <f>0.092*70</f>
        <v>6.4399999999999995</v>
      </c>
      <c r="I40">
        <f>F32-F40-F41</f>
        <v>987.95999999999992</v>
      </c>
    </row>
    <row r="41" spans="1:10" x14ac:dyDescent="0.3">
      <c r="E41" t="s">
        <v>85</v>
      </c>
      <c r="F41">
        <f>0.08*70</f>
        <v>5.6000000000000005</v>
      </c>
      <c r="I41">
        <f>I40/(B35*B15)</f>
        <v>0.83525386686378544</v>
      </c>
    </row>
    <row r="42" spans="1:10" x14ac:dyDescent="0.3">
      <c r="E42" t="s">
        <v>130</v>
      </c>
      <c r="F42">
        <f>(F41+F40)/F32*100</f>
        <v>1.204</v>
      </c>
      <c r="G42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16" workbookViewId="0">
      <selection activeCell="I31" sqref="I31"/>
    </sheetView>
  </sheetViews>
  <sheetFormatPr defaultColWidth="9.109375" defaultRowHeight="14.4" x14ac:dyDescent="0.3"/>
  <cols>
    <col min="1" max="1" width="11" style="17" bestFit="1" customWidth="1"/>
    <col min="2" max="2" width="8.6640625" style="17" customWidth="1"/>
    <col min="3" max="3" width="12" style="17" bestFit="1" customWidth="1"/>
    <col min="4" max="8" width="9.109375" style="17"/>
    <col min="9" max="9" width="7" style="17" customWidth="1"/>
    <col min="10" max="16384" width="9.109375" style="17"/>
  </cols>
  <sheetData>
    <row r="1" spans="1:16" x14ac:dyDescent="0.3">
      <c r="A1" s="17" t="s">
        <v>191</v>
      </c>
      <c r="B1" s="17">
        <v>2500</v>
      </c>
      <c r="C1" s="17" t="s">
        <v>71</v>
      </c>
      <c r="D1" s="20" t="s">
        <v>196</v>
      </c>
      <c r="E1" s="20">
        <v>0.44</v>
      </c>
      <c r="F1" s="20"/>
      <c r="H1" s="17" t="s">
        <v>69</v>
      </c>
      <c r="I1" s="17">
        <v>2500</v>
      </c>
      <c r="M1" s="17" t="s">
        <v>5</v>
      </c>
    </row>
    <row r="2" spans="1:16" x14ac:dyDescent="0.3">
      <c r="A2" s="17" t="s">
        <v>192</v>
      </c>
      <c r="B2" s="17">
        <v>950</v>
      </c>
      <c r="C2" s="17" t="s">
        <v>72</v>
      </c>
      <c r="D2" s="20" t="s">
        <v>197</v>
      </c>
      <c r="E2" s="20">
        <v>0.94</v>
      </c>
      <c r="F2" s="20"/>
      <c r="H2" s="17" t="s">
        <v>70</v>
      </c>
      <c r="I2" s="17">
        <v>950</v>
      </c>
      <c r="M2" s="17">
        <v>1000</v>
      </c>
      <c r="N2" s="17">
        <v>6800</v>
      </c>
      <c r="O2" s="17" t="s">
        <v>77</v>
      </c>
      <c r="P2" s="17" t="s">
        <v>114</v>
      </c>
    </row>
    <row r="3" spans="1:16" x14ac:dyDescent="0.3">
      <c r="A3" s="17" t="s">
        <v>193</v>
      </c>
      <c r="B3" s="17">
        <v>1000</v>
      </c>
      <c r="C3" s="17" t="s">
        <v>71</v>
      </c>
      <c r="D3" s="20" t="s">
        <v>198</v>
      </c>
      <c r="E3" s="20">
        <v>1.86</v>
      </c>
      <c r="F3" s="20"/>
      <c r="H3" s="6" t="s">
        <v>76</v>
      </c>
      <c r="I3" s="7">
        <f>I7/(I4*I6*I1*I2 * (1-I5))</f>
        <v>6803.5896192093132</v>
      </c>
      <c r="J3" s="17" t="s">
        <v>134</v>
      </c>
      <c r="M3" s="17">
        <v>1415</v>
      </c>
      <c r="N3" s="17">
        <v>9600</v>
      </c>
      <c r="O3" s="17" t="s">
        <v>77</v>
      </c>
      <c r="P3" s="17" t="s">
        <v>114</v>
      </c>
    </row>
    <row r="4" spans="1:16" x14ac:dyDescent="0.3">
      <c r="A4" s="17" t="s">
        <v>194</v>
      </c>
      <c r="B4" s="17">
        <v>4680</v>
      </c>
      <c r="C4" s="17" t="s">
        <v>72</v>
      </c>
      <c r="D4" s="20" t="s">
        <v>199</v>
      </c>
      <c r="E4" s="20">
        <v>3.18</v>
      </c>
      <c r="F4" s="20"/>
      <c r="H4" s="17" t="s">
        <v>105</v>
      </c>
      <c r="I4" s="17">
        <v>70</v>
      </c>
    </row>
    <row r="5" spans="1:16" x14ac:dyDescent="0.3">
      <c r="A5" s="17" t="s">
        <v>73</v>
      </c>
      <c r="B5" s="17">
        <v>5</v>
      </c>
      <c r="C5" s="17" t="s">
        <v>74</v>
      </c>
      <c r="D5" s="20" t="s">
        <v>200</v>
      </c>
      <c r="E5" s="20">
        <v>4.33</v>
      </c>
      <c r="F5" s="20"/>
      <c r="H5" s="17" t="s">
        <v>99</v>
      </c>
      <c r="I5" s="17">
        <v>0.1</v>
      </c>
      <c r="J5" s="17">
        <f>I4*I6</f>
        <v>2.17</v>
      </c>
    </row>
    <row r="6" spans="1:16" ht="15" thickBot="1" x14ac:dyDescent="0.35">
      <c r="A6" s="17" t="s">
        <v>75</v>
      </c>
      <c r="B6" s="17">
        <v>15000</v>
      </c>
      <c r="C6" s="17" t="s">
        <v>1</v>
      </c>
      <c r="D6" s="20" t="s">
        <v>201</v>
      </c>
      <c r="E6" s="20">
        <v>4.34</v>
      </c>
      <c r="F6" s="20"/>
      <c r="H6" s="17" t="s">
        <v>96</v>
      </c>
      <c r="I6" s="17">
        <f>(40-9)/1000</f>
        <v>3.1E-2</v>
      </c>
      <c r="M6" s="17" t="s">
        <v>117</v>
      </c>
    </row>
    <row r="7" spans="1:16" ht="15" thickBot="1" x14ac:dyDescent="0.35">
      <c r="A7" s="17" t="s">
        <v>97</v>
      </c>
      <c r="B7" s="17">
        <f>B6*3600*1000</f>
        <v>54000000000</v>
      </c>
      <c r="C7" s="17" t="s">
        <v>3</v>
      </c>
      <c r="D7" s="20" t="s">
        <v>202</v>
      </c>
      <c r="E7" s="20">
        <v>4.13</v>
      </c>
      <c r="F7" s="20"/>
      <c r="H7" s="17" t="s">
        <v>106</v>
      </c>
      <c r="I7" s="9">
        <f>M2*3600*24*365.25</f>
        <v>31557600000</v>
      </c>
      <c r="J7" s="17" t="s">
        <v>107</v>
      </c>
      <c r="K7" s="17" t="s">
        <v>118</v>
      </c>
    </row>
    <row r="8" spans="1:16" x14ac:dyDescent="0.3">
      <c r="A8" s="17" t="s">
        <v>95</v>
      </c>
      <c r="B8" s="17">
        <f>B7/(365.25*24*3600)</f>
        <v>1711.1567419575633</v>
      </c>
      <c r="C8" s="17" t="s">
        <v>5</v>
      </c>
      <c r="D8" s="20" t="s">
        <v>203</v>
      </c>
      <c r="E8" s="20">
        <v>3.41</v>
      </c>
      <c r="F8" s="20"/>
      <c r="I8" s="17">
        <f>I7*30</f>
        <v>946728000000</v>
      </c>
      <c r="J8" s="17" t="s">
        <v>108</v>
      </c>
    </row>
    <row r="9" spans="1:16" x14ac:dyDescent="0.3">
      <c r="A9" s="17" t="s">
        <v>4</v>
      </c>
      <c r="B9" s="17">
        <v>3.4</v>
      </c>
      <c r="D9" s="20" t="s">
        <v>204</v>
      </c>
      <c r="E9" s="20">
        <v>2.4300000000000002</v>
      </c>
      <c r="F9" s="20"/>
    </row>
    <row r="10" spans="1:16" x14ac:dyDescent="0.3">
      <c r="A10" s="17" t="s">
        <v>96</v>
      </c>
      <c r="B10" s="17">
        <f>B8*(1-1/B9)</f>
        <v>1207.8753472641622</v>
      </c>
      <c r="C10" s="17" t="s">
        <v>5</v>
      </c>
      <c r="D10" s="20" t="s">
        <v>205</v>
      </c>
      <c r="E10" s="20">
        <v>1.2</v>
      </c>
      <c r="F10" s="20"/>
      <c r="H10" s="8" t="s">
        <v>73</v>
      </c>
      <c r="I10" s="8">
        <v>5</v>
      </c>
      <c r="N10" s="17" t="s">
        <v>75</v>
      </c>
      <c r="O10" s="18">
        <v>31500000000</v>
      </c>
    </row>
    <row r="11" spans="1:16" x14ac:dyDescent="0.3">
      <c r="A11" s="17" t="s">
        <v>97</v>
      </c>
      <c r="B11" s="17">
        <f>B10*24*365.25*3600</f>
        <v>38117647058.823524</v>
      </c>
      <c r="C11" s="17">
        <f>B11*30</f>
        <v>1143529411764.7058</v>
      </c>
      <c r="D11" s="20" t="s">
        <v>206</v>
      </c>
      <c r="E11" s="20">
        <v>0.59</v>
      </c>
      <c r="F11" s="20"/>
      <c r="H11" s="8" t="s">
        <v>76</v>
      </c>
      <c r="I11" s="10">
        <f>I8/(I10*I1*I2*(1-I5))</f>
        <v>88582.736842105267</v>
      </c>
      <c r="N11" s="17" t="s">
        <v>119</v>
      </c>
      <c r="O11" s="18">
        <f>70*0.031</f>
        <v>2.17</v>
      </c>
    </row>
    <row r="12" spans="1:16" x14ac:dyDescent="0.3">
      <c r="A12" s="17" t="s">
        <v>99</v>
      </c>
      <c r="B12" s="17">
        <v>0.1</v>
      </c>
      <c r="D12" s="20" t="s">
        <v>207</v>
      </c>
      <c r="E12" s="20">
        <v>0.32</v>
      </c>
      <c r="F12" s="20"/>
      <c r="I12" s="17" t="s">
        <v>138</v>
      </c>
      <c r="N12" s="17" t="s">
        <v>120</v>
      </c>
      <c r="O12" s="18">
        <f>950*2500</f>
        <v>2375000</v>
      </c>
    </row>
    <row r="13" spans="1:16" x14ac:dyDescent="0.3">
      <c r="A13" s="3" t="s">
        <v>76</v>
      </c>
      <c r="B13" s="3">
        <f>B11/(B5*((1-B12)*B1*B2+B12*B3*B4))</f>
        <v>2925.9372142639436</v>
      </c>
      <c r="C13" s="3" t="s">
        <v>77</v>
      </c>
      <c r="D13" s="20"/>
      <c r="E13" s="20">
        <f>AVERAGE(E1:E12)</f>
        <v>2.2641666666666667</v>
      </c>
      <c r="F13" s="20" t="s">
        <v>208</v>
      </c>
      <c r="H13" s="17" t="s">
        <v>109</v>
      </c>
      <c r="I13" s="17" t="s">
        <v>110</v>
      </c>
      <c r="N13" s="17" t="s">
        <v>76</v>
      </c>
      <c r="O13" s="13">
        <f>O10/(O11*O12)</f>
        <v>6112.0543293718165</v>
      </c>
    </row>
    <row r="14" spans="1:16" x14ac:dyDescent="0.3">
      <c r="A14" s="3" t="s">
        <v>100</v>
      </c>
      <c r="B14" s="3">
        <f>(B11*30)/(B5*((1-B12)*B1*B2+B12*B3*B4))</f>
        <v>87778.116427918314</v>
      </c>
      <c r="C14" s="3" t="s">
        <v>77</v>
      </c>
      <c r="D14" s="20"/>
      <c r="E14" s="20">
        <f>E13*1000/24</f>
        <v>94.340277777777771</v>
      </c>
      <c r="F14" s="20" t="s">
        <v>209</v>
      </c>
      <c r="H14" s="17" t="s">
        <v>79</v>
      </c>
      <c r="I14" s="17">
        <v>40</v>
      </c>
      <c r="N14" s="17" t="s">
        <v>95</v>
      </c>
      <c r="O14" s="18">
        <v>40</v>
      </c>
    </row>
    <row r="15" spans="1:16" x14ac:dyDescent="0.3">
      <c r="D15" s="20"/>
      <c r="E15" s="20">
        <f>E13*1000/1300</f>
        <v>1.7416666666666665</v>
      </c>
      <c r="F15" s="20" t="s">
        <v>210</v>
      </c>
      <c r="H15" s="6" t="s">
        <v>111</v>
      </c>
      <c r="I15" s="6">
        <f>SQRT(I3/(I14*PI()))</f>
        <v>7.3580735205142798</v>
      </c>
      <c r="N15" s="17" t="s">
        <v>121</v>
      </c>
    </row>
    <row r="16" spans="1:16" x14ac:dyDescent="0.3">
      <c r="A16" s="4" t="s">
        <v>78</v>
      </c>
      <c r="D16" s="17" t="s">
        <v>211</v>
      </c>
      <c r="E16" s="17">
        <f>MIN(E1:E12)*1000/24</f>
        <v>13.333333333333334</v>
      </c>
      <c r="H16" s="8" t="s">
        <v>115</v>
      </c>
      <c r="I16" s="8">
        <f>SQRT(I11/(I14*PI()))</f>
        <v>26.550311147922169</v>
      </c>
      <c r="K16" s="17">
        <v>6.4736000000000002E-2</v>
      </c>
      <c r="L16" s="17">
        <f>K16*I18</f>
        <v>143.36230130526314</v>
      </c>
      <c r="N16" s="17" t="s">
        <v>111</v>
      </c>
      <c r="O16" s="17">
        <f>SQRT(O13/(PI()*O14))</f>
        <v>6.9741080396196331</v>
      </c>
    </row>
    <row r="17" spans="1:15" x14ac:dyDescent="0.3">
      <c r="A17" s="17" t="s">
        <v>79</v>
      </c>
      <c r="B17" s="17">
        <v>40</v>
      </c>
      <c r="C17" s="17" t="s">
        <v>24</v>
      </c>
      <c r="D17" s="17" t="s">
        <v>212</v>
      </c>
      <c r="E17" s="20">
        <f>MAX(E1:E12)*1000/24</f>
        <v>180.83333333333334</v>
      </c>
      <c r="H17" s="6" t="s">
        <v>86</v>
      </c>
      <c r="I17" s="6">
        <f>I15^2*PI()</f>
        <v>170.08974048023282</v>
      </c>
      <c r="L17" s="17">
        <f>B10-L16</f>
        <v>1064.5130459588991</v>
      </c>
      <c r="N17" s="17" t="s">
        <v>68</v>
      </c>
      <c r="O17" s="17">
        <f>O16^2*PI()</f>
        <v>152.80135823429541</v>
      </c>
    </row>
    <row r="18" spans="1:15" x14ac:dyDescent="0.3">
      <c r="A18" s="17" t="s">
        <v>80</v>
      </c>
      <c r="B18" s="17">
        <f>SQRT(B13/(B17*PI()))</f>
        <v>4.8253361065662395</v>
      </c>
      <c r="C18" s="17" t="s">
        <v>24</v>
      </c>
      <c r="E18" s="20"/>
      <c r="H18" s="8" t="s">
        <v>116</v>
      </c>
      <c r="I18" s="8">
        <f>I16^2*PI()</f>
        <v>2214.5684210526315</v>
      </c>
      <c r="K18" s="17" t="s">
        <v>94</v>
      </c>
      <c r="L18" s="17">
        <f>L17/(B17)</f>
        <v>26.612826148972477</v>
      </c>
      <c r="M18" s="17" t="s">
        <v>27</v>
      </c>
    </row>
    <row r="19" spans="1:15" x14ac:dyDescent="0.3">
      <c r="A19" s="17" t="s">
        <v>102</v>
      </c>
      <c r="B19" s="17">
        <f>SQRT(B14/(B17*PI()))</f>
        <v>26.429454331104814</v>
      </c>
      <c r="C19" s="17" t="s">
        <v>24</v>
      </c>
      <c r="D19" s="17" t="s">
        <v>103</v>
      </c>
      <c r="E19" s="17" t="s">
        <v>104</v>
      </c>
      <c r="K19" s="17" t="s">
        <v>135</v>
      </c>
      <c r="L19" s="17">
        <f>2*PI()*I16</f>
        <v>166.82052490567094</v>
      </c>
    </row>
    <row r="20" spans="1:15" x14ac:dyDescent="0.3">
      <c r="A20" s="3" t="s">
        <v>86</v>
      </c>
      <c r="B20" s="3">
        <f>PI()*B18^2</f>
        <v>73.148430356598581</v>
      </c>
      <c r="H20" s="11" t="s">
        <v>83</v>
      </c>
      <c r="I20" s="11">
        <f>1000/(K23+K24)</f>
        <v>5821.5350223546939</v>
      </c>
      <c r="J20" s="17" t="s">
        <v>41</v>
      </c>
      <c r="K20" s="17" t="s">
        <v>94</v>
      </c>
      <c r="L20" s="17">
        <f>L18/L19</f>
        <v>0.15952968715342888</v>
      </c>
      <c r="M20" s="17" t="s">
        <v>136</v>
      </c>
    </row>
    <row r="21" spans="1:15" x14ac:dyDescent="0.3">
      <c r="A21" s="3" t="s">
        <v>101</v>
      </c>
      <c r="B21" s="3">
        <f>PI()*B19^2</f>
        <v>2194.4529106979576</v>
      </c>
      <c r="H21" s="6" t="s">
        <v>112</v>
      </c>
      <c r="I21" s="6">
        <f>I17</f>
        <v>170.08974048023282</v>
      </c>
      <c r="J21" s="17" t="s">
        <v>41</v>
      </c>
    </row>
    <row r="22" spans="1:15" x14ac:dyDescent="0.3">
      <c r="A22" s="3"/>
      <c r="B22" s="3"/>
      <c r="I22" s="17">
        <f>I20/I21</f>
        <v>34.226256127607243</v>
      </c>
    </row>
    <row r="23" spans="1:15" x14ac:dyDescent="0.3">
      <c r="A23" s="4" t="s">
        <v>83</v>
      </c>
      <c r="K23" s="11">
        <f>0.091923</f>
        <v>9.1923000000000005E-2</v>
      </c>
      <c r="L23" s="17">
        <f>I18*K23</f>
        <v>203.56977296842106</v>
      </c>
    </row>
    <row r="24" spans="1:15" x14ac:dyDescent="0.3">
      <c r="A24" s="17" t="s">
        <v>87</v>
      </c>
      <c r="K24" s="11">
        <f>K23-0.01207</f>
        <v>7.9853000000000007E-2</v>
      </c>
      <c r="L24" s="17">
        <f>I18*K24</f>
        <v>176.8399321263158</v>
      </c>
    </row>
    <row r="25" spans="1:15" x14ac:dyDescent="0.3">
      <c r="A25" s="17" t="s">
        <v>90</v>
      </c>
      <c r="B25" s="17">
        <v>6.3E-2</v>
      </c>
      <c r="C25" s="17" t="s">
        <v>187</v>
      </c>
      <c r="K25" s="17">
        <f>K24-K23</f>
        <v>-1.2069999999999997E-2</v>
      </c>
      <c r="L25" s="17">
        <f>1000-(L23+L24)</f>
        <v>619.59029490526314</v>
      </c>
    </row>
    <row r="26" spans="1:15" x14ac:dyDescent="0.3">
      <c r="A26" s="17" t="s">
        <v>85</v>
      </c>
      <c r="B26" s="17">
        <f>11.5*(1380*3600)/(365*86400)</f>
        <v>1.8116438356164384</v>
      </c>
      <c r="C26" s="17" t="s">
        <v>187</v>
      </c>
      <c r="K26" s="8" t="s">
        <v>113</v>
      </c>
      <c r="L26" s="8">
        <f>2*PI()*I16</f>
        <v>166.82052490567094</v>
      </c>
    </row>
    <row r="27" spans="1:15" x14ac:dyDescent="0.3">
      <c r="A27" s="3" t="s">
        <v>86</v>
      </c>
      <c r="B27" s="3">
        <f>B10/(B25+B26)</f>
        <v>644.32257707607539</v>
      </c>
      <c r="C27" s="17" t="s">
        <v>195</v>
      </c>
      <c r="K27" s="17" t="s">
        <v>94</v>
      </c>
      <c r="L27" s="17">
        <f>L25/I14</f>
        <v>15.489757372631578</v>
      </c>
      <c r="O27" s="17">
        <f>0.031*150+9</f>
        <v>13.65</v>
      </c>
    </row>
    <row r="28" spans="1:15" x14ac:dyDescent="0.3">
      <c r="L28" s="17">
        <f>L27/L26</f>
        <v>9.2852827200911273E-2</v>
      </c>
    </row>
    <row r="30" spans="1:15" x14ac:dyDescent="0.3">
      <c r="A30" s="4" t="s">
        <v>88</v>
      </c>
      <c r="K30" s="17" t="s">
        <v>137</v>
      </c>
    </row>
    <row r="31" spans="1:15" x14ac:dyDescent="0.3">
      <c r="A31" s="17" t="s">
        <v>89</v>
      </c>
      <c r="B31" s="17">
        <f>B20</f>
        <v>73.148430356598581</v>
      </c>
      <c r="C31" s="17">
        <f>B21</f>
        <v>2194.4529106979576</v>
      </c>
    </row>
    <row r="32" spans="1:15" x14ac:dyDescent="0.3">
      <c r="A32" s="17" t="s">
        <v>75</v>
      </c>
      <c r="B32" s="17">
        <f>B10</f>
        <v>1207.8753472641622</v>
      </c>
      <c r="C32" s="17">
        <f>B32</f>
        <v>1207.8753472641622</v>
      </c>
      <c r="D32" s="17" t="s">
        <v>5</v>
      </c>
      <c r="E32" s="19" t="s">
        <v>86</v>
      </c>
      <c r="F32" s="19">
        <v>73</v>
      </c>
      <c r="G32" s="19" t="s">
        <v>41</v>
      </c>
      <c r="H32" s="19"/>
      <c r="I32" s="19"/>
      <c r="J32" s="19"/>
      <c r="K32" s="19"/>
      <c r="L32" s="19"/>
    </row>
    <row r="33" spans="1:16" x14ac:dyDescent="0.3">
      <c r="A33" s="17" t="s">
        <v>90</v>
      </c>
      <c r="B33" s="17">
        <f>0.063*B31</f>
        <v>4.6083511124657104</v>
      </c>
      <c r="C33" s="17">
        <f>B25*C31</f>
        <v>138.25053337397134</v>
      </c>
      <c r="D33" s="17" t="s">
        <v>5</v>
      </c>
      <c r="E33" s="19" t="s">
        <v>122</v>
      </c>
      <c r="F33" s="19">
        <f>0.063*F32</f>
        <v>4.5990000000000002</v>
      </c>
      <c r="G33" s="19" t="s">
        <v>5</v>
      </c>
      <c r="H33" s="19"/>
      <c r="I33" s="19"/>
      <c r="J33" s="19"/>
      <c r="K33" s="19"/>
      <c r="L33" s="19"/>
    </row>
    <row r="34" spans="1:16" x14ac:dyDescent="0.3">
      <c r="B34" s="17">
        <f>B33*365.25*86400</f>
        <v>145428501.0667479</v>
      </c>
      <c r="C34" s="17">
        <f>C33*365.25*86400</f>
        <v>4362855032.0024376</v>
      </c>
      <c r="D34" s="17" t="s">
        <v>3</v>
      </c>
      <c r="E34" s="19" t="s">
        <v>124</v>
      </c>
      <c r="F34" s="19">
        <v>1200</v>
      </c>
      <c r="G34" s="19" t="s">
        <v>5</v>
      </c>
      <c r="H34" s="19"/>
      <c r="I34" s="19"/>
      <c r="J34" s="19"/>
      <c r="K34" s="19"/>
      <c r="L34" s="19"/>
    </row>
    <row r="35" spans="1:16" x14ac:dyDescent="0.3">
      <c r="B35" s="17">
        <f>B34/B11*100</f>
        <v>0.38152538860103619</v>
      </c>
      <c r="C35" s="17">
        <f>C34/C11*100</f>
        <v>0.38152538860103624</v>
      </c>
      <c r="D35" s="17" t="s">
        <v>186</v>
      </c>
      <c r="E35" s="19" t="s">
        <v>73</v>
      </c>
      <c r="F35" s="19">
        <v>5</v>
      </c>
      <c r="G35" s="19" t="s">
        <v>123</v>
      </c>
      <c r="H35" s="19"/>
      <c r="I35" s="19" t="s">
        <v>132</v>
      </c>
      <c r="J35" s="19" t="s">
        <v>133</v>
      </c>
      <c r="K35" s="19"/>
      <c r="L35" s="19"/>
      <c r="P35" s="17">
        <v>1500</v>
      </c>
    </row>
    <row r="36" spans="1:16" x14ac:dyDescent="0.3">
      <c r="E36" s="19"/>
      <c r="F36" s="19"/>
      <c r="G36" s="19"/>
      <c r="H36" s="19"/>
      <c r="I36" s="19">
        <f>F34-F33</f>
        <v>1195.4010000000001</v>
      </c>
      <c r="J36" s="19"/>
      <c r="K36" s="19"/>
      <c r="L36" s="19"/>
      <c r="P36" s="17">
        <v>5</v>
      </c>
    </row>
    <row r="37" spans="1:16" x14ac:dyDescent="0.3">
      <c r="A37" s="3" t="s">
        <v>91</v>
      </c>
      <c r="B37" s="3">
        <f>1200-B33</f>
        <v>1195.3916488875343</v>
      </c>
      <c r="C37" s="17" t="s">
        <v>213</v>
      </c>
      <c r="E37" s="19"/>
      <c r="F37" s="19"/>
      <c r="G37" s="19"/>
      <c r="H37" s="19"/>
      <c r="I37" s="19"/>
      <c r="J37" s="19"/>
      <c r="K37" s="19"/>
      <c r="L37" s="19"/>
      <c r="P37" s="17">
        <v>132</v>
      </c>
    </row>
    <row r="38" spans="1:16" x14ac:dyDescent="0.3">
      <c r="B38" s="14">
        <f>B37/(40*2*PI()*4.8)</f>
        <v>0.99089838464178359</v>
      </c>
      <c r="C38" s="17">
        <f>B38-0.1*B38</f>
        <v>0.89180854617760519</v>
      </c>
      <c r="E38" s="19"/>
      <c r="F38" s="19"/>
      <c r="G38" s="19"/>
      <c r="H38" s="19"/>
      <c r="I38" s="19"/>
      <c r="J38" s="19"/>
      <c r="K38" s="19"/>
      <c r="L38" s="19"/>
      <c r="P38" s="17">
        <f>P35-P36-P37</f>
        <v>1363</v>
      </c>
    </row>
    <row r="39" spans="1:16" x14ac:dyDescent="0.3">
      <c r="B39" s="17">
        <f>B38/B25</f>
        <v>15.728545787964819</v>
      </c>
      <c r="E39" s="19"/>
      <c r="F39" s="19"/>
      <c r="G39" s="19"/>
      <c r="H39" s="19"/>
      <c r="I39" s="19"/>
      <c r="J39" s="19"/>
      <c r="K39" s="19"/>
      <c r="L39" s="19"/>
    </row>
    <row r="40" spans="1:16" x14ac:dyDescent="0.3">
      <c r="E40" s="19"/>
      <c r="F40" s="19"/>
      <c r="G40" s="19"/>
      <c r="H40" s="19"/>
      <c r="I40" s="19" t="s">
        <v>214</v>
      </c>
      <c r="J40" s="19" t="s">
        <v>215</v>
      </c>
      <c r="K40" s="19"/>
      <c r="L40" s="19"/>
    </row>
    <row r="41" spans="1:16" x14ac:dyDescent="0.3">
      <c r="A41" s="17" t="s">
        <v>85</v>
      </c>
      <c r="B41" s="17">
        <f>B26*B31</f>
        <v>132.51890294055016</v>
      </c>
      <c r="C41" s="17">
        <f>C31</f>
        <v>2194.4529106979576</v>
      </c>
      <c r="D41" s="17" t="s">
        <v>5</v>
      </c>
      <c r="E41" s="19" t="s">
        <v>125</v>
      </c>
      <c r="F41" s="19" t="s">
        <v>126</v>
      </c>
      <c r="G41" s="19"/>
      <c r="H41" s="19"/>
      <c r="I41" s="21">
        <f>I36/(2*PI()*4.5*B17)</f>
        <v>1.056966545149971</v>
      </c>
      <c r="J41" s="21">
        <f>I36/(2*PI()*26.5*40)</f>
        <v>0.17948488502546678</v>
      </c>
      <c r="K41" s="19" t="s">
        <v>216</v>
      </c>
      <c r="L41" s="19"/>
    </row>
    <row r="42" spans="1:16" x14ac:dyDescent="0.3">
      <c r="B42" s="17">
        <f>B41*365.25*86400</f>
        <v>4181978531.4367056</v>
      </c>
      <c r="C42" s="17">
        <f>C41*365.25*86400</f>
        <v>69251667174.641861</v>
      </c>
      <c r="D42" s="17" t="s">
        <v>3</v>
      </c>
      <c r="E42" s="19" t="s">
        <v>127</v>
      </c>
      <c r="F42" s="19"/>
      <c r="G42" s="19"/>
      <c r="H42" s="19"/>
      <c r="I42" s="19"/>
      <c r="J42" s="19"/>
      <c r="K42" s="19" t="s">
        <v>217</v>
      </c>
      <c r="L42" s="19"/>
    </row>
    <row r="43" spans="1:16" x14ac:dyDescent="0.3">
      <c r="B43" s="17">
        <f>B42/B11*100</f>
        <v>10.971239974448149</v>
      </c>
      <c r="C43" s="17">
        <f>C42/C11*100</f>
        <v>6.0559585492227965</v>
      </c>
      <c r="D43" s="17" t="s">
        <v>186</v>
      </c>
      <c r="E43" s="19"/>
      <c r="F43" s="19">
        <f>F33/F34*100</f>
        <v>0.38324999999999998</v>
      </c>
      <c r="G43" s="19" t="s">
        <v>128</v>
      </c>
      <c r="H43" s="19"/>
      <c r="I43" s="19" t="s">
        <v>129</v>
      </c>
      <c r="J43" s="19"/>
      <c r="K43" s="19" t="s">
        <v>218</v>
      </c>
      <c r="L43" s="19"/>
    </row>
    <row r="44" spans="1:16" x14ac:dyDescent="0.3">
      <c r="E44" s="19"/>
      <c r="F44" s="19"/>
      <c r="G44" s="19"/>
      <c r="H44" s="19"/>
      <c r="I44" s="19">
        <f>F34-F46-F47</f>
        <v>1187.96</v>
      </c>
      <c r="J44" s="19"/>
      <c r="K44" s="19"/>
      <c r="L44" s="19"/>
    </row>
    <row r="45" spans="1:16" x14ac:dyDescent="0.3">
      <c r="A45" s="3" t="s">
        <v>91</v>
      </c>
      <c r="B45" s="3">
        <f>1200-B33-B41</f>
        <v>1062.8727459469842</v>
      </c>
      <c r="C45" s="3">
        <f>C32-C33-C41</f>
        <v>-1124.8280968077668</v>
      </c>
      <c r="D45" s="3" t="s">
        <v>5</v>
      </c>
      <c r="E45" s="19" t="s">
        <v>129</v>
      </c>
      <c r="F45" s="19"/>
      <c r="G45" s="19"/>
      <c r="H45" s="19"/>
      <c r="I45" s="19">
        <f>I44/(B47*B17)</f>
        <v>0.97956754731636719</v>
      </c>
      <c r="J45" s="19"/>
      <c r="K45" s="19"/>
      <c r="L45" s="19"/>
    </row>
    <row r="46" spans="1:16" x14ac:dyDescent="0.3">
      <c r="A46" s="17" t="s">
        <v>92</v>
      </c>
      <c r="B46" s="17">
        <f>B45/B17</f>
        <v>26.571818648674604</v>
      </c>
      <c r="D46" s="17" t="s">
        <v>27</v>
      </c>
      <c r="E46" s="19" t="s">
        <v>90</v>
      </c>
      <c r="F46" s="19">
        <f>0.092*70</f>
        <v>6.4399999999999995</v>
      </c>
      <c r="G46" s="19"/>
      <c r="H46" s="19"/>
      <c r="I46" s="19"/>
      <c r="J46" s="19"/>
      <c r="K46" s="19"/>
      <c r="L46" s="19"/>
    </row>
    <row r="47" spans="1:16" x14ac:dyDescent="0.3">
      <c r="A47" s="17" t="s">
        <v>93</v>
      </c>
      <c r="B47" s="17">
        <f>2*PI()*B18</f>
        <v>30.318480926980147</v>
      </c>
      <c r="D47" s="17" t="s">
        <v>24</v>
      </c>
      <c r="E47" s="19" t="s">
        <v>85</v>
      </c>
      <c r="F47" s="19">
        <f>0.08*70</f>
        <v>5.6000000000000005</v>
      </c>
      <c r="G47" s="19"/>
      <c r="H47" s="19"/>
      <c r="I47" s="19"/>
      <c r="J47" s="19"/>
      <c r="K47" s="19"/>
      <c r="L47" s="19"/>
    </row>
    <row r="48" spans="1:16" x14ac:dyDescent="0.3">
      <c r="A48" s="17" t="s">
        <v>94</v>
      </c>
      <c r="B48" s="17">
        <f>B46/B47</f>
        <v>0.87642315301584184</v>
      </c>
      <c r="D48" s="17" t="s">
        <v>22</v>
      </c>
      <c r="E48" s="19" t="s">
        <v>130</v>
      </c>
      <c r="F48" s="19">
        <f>(F47+F46)/F34*100</f>
        <v>1.0033333333333334</v>
      </c>
      <c r="G48" s="19" t="s">
        <v>131</v>
      </c>
      <c r="H48" s="19"/>
      <c r="I48" s="19"/>
      <c r="J48" s="19"/>
      <c r="K48" s="19"/>
      <c r="L48" s="19"/>
    </row>
    <row r="49" spans="1:5" x14ac:dyDescent="0.3">
      <c r="B49" s="17">
        <f>B48/B25</f>
        <v>13.911478619299077</v>
      </c>
    </row>
    <row r="50" spans="1:5" x14ac:dyDescent="0.3">
      <c r="B50" s="17">
        <f>B26/B48</f>
        <v>2.0670880605817268</v>
      </c>
    </row>
    <row r="51" spans="1:5" x14ac:dyDescent="0.3">
      <c r="A51" s="17">
        <f>B33+B41</f>
        <v>137.12725405301586</v>
      </c>
      <c r="B51" s="17">
        <f>B35+B43</f>
        <v>11.352765363049185</v>
      </c>
    </row>
    <row r="56" spans="1:5" x14ac:dyDescent="0.3">
      <c r="E56" s="17">
        <f>127.4+4.6</f>
        <v>132</v>
      </c>
    </row>
    <row r="57" spans="1:5" x14ac:dyDescent="0.3">
      <c r="E57" s="17">
        <f>E56-5</f>
        <v>127</v>
      </c>
    </row>
    <row r="58" spans="1:5" x14ac:dyDescent="0.3">
      <c r="E58" s="17">
        <f>1200-E56</f>
        <v>1068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B23" sqref="B23"/>
    </sheetView>
  </sheetViews>
  <sheetFormatPr defaultRowHeight="14.4" x14ac:dyDescent="0.3"/>
  <cols>
    <col min="1" max="1" width="15.5546875" bestFit="1" customWidth="1"/>
    <col min="2" max="2" width="12.6640625" bestFit="1" customWidth="1"/>
    <col min="3" max="4" width="12" bestFit="1" customWidth="1"/>
    <col min="6" max="6" width="12" bestFit="1" customWidth="1"/>
  </cols>
  <sheetData>
    <row r="1" spans="1:5" x14ac:dyDescent="0.3">
      <c r="B1" t="s">
        <v>151</v>
      </c>
      <c r="C1" t="s">
        <v>153</v>
      </c>
      <c r="D1" t="s">
        <v>154</v>
      </c>
    </row>
    <row r="2" spans="1:5" x14ac:dyDescent="0.3">
      <c r="A2" t="s">
        <v>149</v>
      </c>
      <c r="B2">
        <v>12000</v>
      </c>
    </row>
    <row r="3" spans="1:5" x14ac:dyDescent="0.3">
      <c r="A3" t="s">
        <v>150</v>
      </c>
      <c r="B3">
        <f>4*365</f>
        <v>1460</v>
      </c>
    </row>
    <row r="4" spans="1:5" x14ac:dyDescent="0.3">
      <c r="A4" t="s">
        <v>190</v>
      </c>
      <c r="B4" s="14">
        <v>15000</v>
      </c>
      <c r="C4">
        <f>1/3*B4</f>
        <v>5000</v>
      </c>
      <c r="D4">
        <f>B4-C4</f>
        <v>10000</v>
      </c>
      <c r="E4" t="s">
        <v>1</v>
      </c>
    </row>
    <row r="5" spans="1:5" x14ac:dyDescent="0.3">
      <c r="A5" t="s">
        <v>95</v>
      </c>
      <c r="B5">
        <f>B4*3600*1000/(365.25*86400)</f>
        <v>1711.1567419575633</v>
      </c>
      <c r="C5">
        <f>C4*3600000/((1/3*365.25)*86400)</f>
        <v>1711.1567419575633</v>
      </c>
      <c r="D5" s="5">
        <f>D4*3600000/((2/3*365.25)*86400)</f>
        <v>1711.1567419575633</v>
      </c>
      <c r="E5">
        <f>(C5+D5)/2</f>
        <v>1711.1567419575633</v>
      </c>
    </row>
    <row r="6" spans="1:5" x14ac:dyDescent="0.3">
      <c r="A6" t="s">
        <v>96</v>
      </c>
      <c r="B6" s="3">
        <f>B5*(1-1/3.4)</f>
        <v>1207.8753472641622</v>
      </c>
    </row>
    <row r="7" spans="1:5" x14ac:dyDescent="0.3">
      <c r="A7" t="s">
        <v>75</v>
      </c>
      <c r="B7" s="12">
        <f>B6*365.25*86400</f>
        <v>38117647058.823524</v>
      </c>
      <c r="C7" t="s">
        <v>3</v>
      </c>
      <c r="D7" s="12">
        <f>B7*30</f>
        <v>1143529411764.7058</v>
      </c>
    </row>
    <row r="9" spans="1:5" x14ac:dyDescent="0.3">
      <c r="A9" t="s">
        <v>155</v>
      </c>
      <c r="B9" t="s">
        <v>159</v>
      </c>
    </row>
    <row r="10" spans="1:5" x14ac:dyDescent="0.3">
      <c r="A10" t="s">
        <v>160</v>
      </c>
    </row>
    <row r="11" spans="1:5" s="5" customFormat="1" x14ac:dyDescent="0.3">
      <c r="A11" s="5" t="s">
        <v>161</v>
      </c>
      <c r="B11" s="5">
        <v>70</v>
      </c>
      <c r="C11" s="5" t="s">
        <v>41</v>
      </c>
      <c r="D11" s="5">
        <v>70</v>
      </c>
    </row>
    <row r="12" spans="1:5" s="5" customFormat="1" x14ac:dyDescent="0.3">
      <c r="A12" s="5" t="s">
        <v>162</v>
      </c>
      <c r="B12" s="5">
        <v>40</v>
      </c>
      <c r="C12" s="5" t="s">
        <v>24</v>
      </c>
      <c r="D12" s="5">
        <v>40</v>
      </c>
    </row>
    <row r="13" spans="1:5" s="5" customFormat="1" x14ac:dyDescent="0.3">
      <c r="A13" s="5" t="s">
        <v>163</v>
      </c>
      <c r="B13" s="5">
        <f>B12+0.1*B12</f>
        <v>44</v>
      </c>
      <c r="C13" s="5" t="s">
        <v>24</v>
      </c>
      <c r="D13">
        <f>D12+0.5*D12</f>
        <v>60</v>
      </c>
    </row>
    <row r="14" spans="1:5" x14ac:dyDescent="0.3">
      <c r="A14" t="s">
        <v>156</v>
      </c>
      <c r="B14">
        <f>B13*B11</f>
        <v>3080</v>
      </c>
      <c r="C14" t="s">
        <v>77</v>
      </c>
      <c r="D14">
        <f>D13*D11</f>
        <v>4200</v>
      </c>
    </row>
    <row r="15" spans="1:5" x14ac:dyDescent="0.3">
      <c r="A15" t="s">
        <v>157</v>
      </c>
      <c r="B15">
        <f>9+0.031*50</f>
        <v>10.55</v>
      </c>
      <c r="D15">
        <f>B15</f>
        <v>10.55</v>
      </c>
    </row>
    <row r="16" spans="1:5" x14ac:dyDescent="0.3">
      <c r="A16" t="s">
        <v>158</v>
      </c>
      <c r="B16">
        <f>B15-9</f>
        <v>1.5500000000000007</v>
      </c>
      <c r="D16">
        <f>B16</f>
        <v>1.5500000000000007</v>
      </c>
    </row>
    <row r="17" spans="1:4" x14ac:dyDescent="0.3">
      <c r="A17" t="s">
        <v>148</v>
      </c>
      <c r="B17">
        <f>B14*B15*B16*2500*950</f>
        <v>119618537500.00006</v>
      </c>
      <c r="C17" t="s">
        <v>3</v>
      </c>
      <c r="D17" s="5">
        <f>D14*D15*D16*2500*950</f>
        <v>163116187500.00006</v>
      </c>
    </row>
    <row r="18" spans="1:4" x14ac:dyDescent="0.3">
      <c r="D18" s="12"/>
    </row>
    <row r="19" spans="1:4" x14ac:dyDescent="0.3">
      <c r="A19" t="s">
        <v>176</v>
      </c>
    </row>
    <row r="20" spans="1:4" x14ac:dyDescent="0.3">
      <c r="A20" t="s">
        <v>177</v>
      </c>
    </row>
    <row r="21" spans="1:4" x14ac:dyDescent="0.3">
      <c r="A21" s="3" t="s">
        <v>164</v>
      </c>
    </row>
    <row r="22" spans="1:4" x14ac:dyDescent="0.3">
      <c r="A22" t="s">
        <v>90</v>
      </c>
      <c r="B22">
        <f>0.063*73</f>
        <v>4.5990000000000002</v>
      </c>
    </row>
    <row r="23" spans="1:4" x14ac:dyDescent="0.3">
      <c r="A23" t="s">
        <v>91</v>
      </c>
      <c r="B23">
        <f>0.74*2*PI()*4.8*40</f>
        <v>892.71496844407568</v>
      </c>
      <c r="C23" t="s">
        <v>5</v>
      </c>
    </row>
    <row r="24" spans="1:4" s="5" customFormat="1" x14ac:dyDescent="0.3">
      <c r="A24" s="5" t="s">
        <v>173</v>
      </c>
      <c r="B24" s="5">
        <f>1000-B23-B22</f>
        <v>102.68603155592432</v>
      </c>
    </row>
    <row r="25" spans="1:4" x14ac:dyDescent="0.3">
      <c r="A25" t="s">
        <v>165</v>
      </c>
      <c r="B25">
        <f>0.012*70</f>
        <v>0.84</v>
      </c>
    </row>
    <row r="26" spans="1:4" x14ac:dyDescent="0.3">
      <c r="A26" t="s">
        <v>166</v>
      </c>
      <c r="B26">
        <f>0.09*70</f>
        <v>6.3</v>
      </c>
    </row>
    <row r="27" spans="1:4" x14ac:dyDescent="0.3">
      <c r="A27" t="s">
        <v>167</v>
      </c>
    </row>
    <row r="28" spans="1:4" x14ac:dyDescent="0.3">
      <c r="A28" t="s">
        <v>171</v>
      </c>
    </row>
    <row r="29" spans="1:4" x14ac:dyDescent="0.3">
      <c r="A29" t="s">
        <v>170</v>
      </c>
    </row>
    <row r="30" spans="1:4" x14ac:dyDescent="0.3">
      <c r="A30" t="s">
        <v>168</v>
      </c>
    </row>
    <row r="31" spans="1:4" x14ac:dyDescent="0.3">
      <c r="A31" t="s">
        <v>169</v>
      </c>
    </row>
    <row r="32" spans="1:4" x14ac:dyDescent="0.3">
      <c r="A32" t="s">
        <v>172</v>
      </c>
    </row>
    <row r="36" spans="1:1" x14ac:dyDescent="0.3">
      <c r="A36" t="s">
        <v>174</v>
      </c>
    </row>
    <row r="37" spans="1:1" x14ac:dyDescent="0.3">
      <c r="A37" t="s">
        <v>175</v>
      </c>
    </row>
    <row r="40" spans="1:1" x14ac:dyDescent="0.3">
      <c r="A40">
        <f>1000-220</f>
        <v>780</v>
      </c>
    </row>
    <row r="41" spans="1:1" x14ac:dyDescent="0.3">
      <c r="A41">
        <f>A40/(40*30)</f>
        <v>0.65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2020-10-19T10:20:52Z</dcterms:modified>
</cp:coreProperties>
</file>