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GitHub\Data_phD\Data\Modeling\"/>
    </mc:Choice>
  </mc:AlternateContent>
  <bookViews>
    <workbookView xWindow="-105" yWindow="-105" windowWidth="19470" windowHeight="8565" activeTab="4"/>
  </bookViews>
  <sheets>
    <sheet name="RHP_old" sheetId="1" r:id="rId1"/>
    <sheet name="Geology" sheetId="10" r:id="rId2"/>
    <sheet name="%Rock type" sheetId="11" r:id="rId3"/>
    <sheet name="Properties" sheetId="6" r:id="rId4"/>
    <sheet name="Table to update" sheetId="8" r:id="rId5"/>
    <sheet name="Summary" sheetId="4" r:id="rId6"/>
    <sheet name="Sheet1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8" l="1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39" i="8"/>
  <c r="C108" i="12" l="1"/>
  <c r="G108" i="12"/>
  <c r="G110" i="12"/>
  <c r="G111" i="12"/>
  <c r="C114" i="12"/>
  <c r="O97" i="12"/>
  <c r="N97" i="12"/>
  <c r="M97" i="12"/>
  <c r="O96" i="12"/>
  <c r="N96" i="12"/>
  <c r="M96" i="12"/>
  <c r="O93" i="12"/>
  <c r="N93" i="12"/>
  <c r="M93" i="12"/>
  <c r="O109" i="12"/>
  <c r="O110" i="12"/>
  <c r="O111" i="12"/>
  <c r="O112" i="12"/>
  <c r="O113" i="12"/>
  <c r="O108" i="12"/>
  <c r="N108" i="12"/>
  <c r="N113" i="12"/>
  <c r="M113" i="12"/>
  <c r="N112" i="12"/>
  <c r="M112" i="12"/>
  <c r="N111" i="12"/>
  <c r="M111" i="12"/>
  <c r="N110" i="12"/>
  <c r="N109" i="12"/>
  <c r="M109" i="12"/>
  <c r="M108" i="12"/>
  <c r="M110" i="12" l="1"/>
  <c r="C92" i="12"/>
  <c r="G92" i="12"/>
  <c r="G94" i="12"/>
  <c r="G95" i="12"/>
  <c r="C98" i="12" l="1"/>
  <c r="M114" i="12" s="1"/>
  <c r="O114" i="12"/>
  <c r="O94" i="12"/>
  <c r="N94" i="12"/>
  <c r="M94" i="12"/>
  <c r="M92" i="12"/>
  <c r="O92" i="12"/>
  <c r="N92" i="12"/>
  <c r="N98" i="12" s="1"/>
  <c r="M95" i="12"/>
  <c r="N95" i="12"/>
  <c r="O95" i="12"/>
  <c r="N114" i="12"/>
  <c r="X5" i="12"/>
  <c r="Y11" i="12" s="1"/>
  <c r="Y12" i="12" s="1"/>
  <c r="O98" i="12" l="1"/>
  <c r="M98" i="12"/>
  <c r="L98" i="12"/>
  <c r="L114" i="12"/>
  <c r="R24" i="4"/>
  <c r="R25" i="4" s="1"/>
  <c r="S29" i="12" l="1"/>
  <c r="R31" i="12" s="1"/>
  <c r="T32" i="12" s="1"/>
  <c r="P8" i="12" l="1"/>
  <c r="H20" i="12" l="1"/>
  <c r="U15" i="8" l="1"/>
  <c r="U14" i="8"/>
  <c r="U13" i="8"/>
  <c r="U12" i="8"/>
  <c r="U11" i="8"/>
  <c r="U10" i="8"/>
  <c r="U9" i="8"/>
  <c r="Q1" i="8"/>
  <c r="O1" i="8"/>
  <c r="S1" i="8" s="1"/>
  <c r="Q9" i="8"/>
  <c r="O9" i="8"/>
  <c r="S9" i="8" s="1"/>
  <c r="O23" i="8"/>
  <c r="S23" i="8" s="1"/>
  <c r="S8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4" i="8"/>
  <c r="S3" i="8"/>
  <c r="S4" i="8"/>
  <c r="S5" i="8"/>
  <c r="S6" i="8"/>
  <c r="S7" i="8"/>
  <c r="S2" i="8"/>
  <c r="U8" i="8"/>
  <c r="U6" i="8" l="1"/>
  <c r="U4" i="8"/>
  <c r="U3" i="8"/>
  <c r="M23" i="8"/>
  <c r="M22" i="8"/>
  <c r="M1" i="8"/>
  <c r="M4" i="8"/>
  <c r="M14" i="8"/>
  <c r="M18" i="8"/>
  <c r="M17" i="8"/>
  <c r="M8" i="8"/>
  <c r="M6" i="8"/>
  <c r="F34" i="12"/>
  <c r="G34" i="12" s="1"/>
  <c r="G27" i="12"/>
  <c r="G31" i="12"/>
  <c r="F33" i="12"/>
  <c r="G33" i="12" s="1"/>
  <c r="F32" i="12"/>
  <c r="G32" i="12" s="1"/>
  <c r="F31" i="12"/>
  <c r="F30" i="12"/>
  <c r="G30" i="12" s="1"/>
  <c r="F29" i="12"/>
  <c r="G29" i="12" s="1"/>
  <c r="G28" i="12"/>
  <c r="M11" i="11" l="1"/>
  <c r="N11" i="11"/>
  <c r="R8" i="12" l="1"/>
  <c r="P9" i="12"/>
  <c r="R9" i="12" s="1"/>
  <c r="P10" i="12"/>
  <c r="R10" i="12" s="1"/>
  <c r="P11" i="12"/>
  <c r="R11" i="12" s="1"/>
  <c r="P12" i="12"/>
  <c r="R12" i="12" s="1"/>
  <c r="P13" i="12"/>
  <c r="R13" i="12" s="1"/>
  <c r="P14" i="12"/>
  <c r="R14" i="12" s="1"/>
  <c r="W42" i="11"/>
  <c r="U36" i="11"/>
  <c r="U38" i="11"/>
  <c r="V38" i="11" s="1"/>
  <c r="V35" i="11"/>
  <c r="V36" i="11"/>
  <c r="V37" i="11"/>
  <c r="V39" i="11"/>
  <c r="V40" i="11"/>
  <c r="V41" i="11"/>
  <c r="V34" i="11"/>
  <c r="X25" i="11"/>
  <c r="W18" i="11"/>
  <c r="W19" i="11"/>
  <c r="W20" i="11"/>
  <c r="W21" i="11"/>
  <c r="W22" i="11"/>
  <c r="W23" i="11"/>
  <c r="W17" i="11"/>
  <c r="G38" i="11"/>
  <c r="F9" i="11"/>
  <c r="V25" i="11"/>
  <c r="G36" i="11"/>
  <c r="G37" i="11"/>
  <c r="G39" i="11"/>
  <c r="G40" i="11"/>
  <c r="G41" i="11"/>
  <c r="G42" i="11"/>
  <c r="G43" i="11"/>
  <c r="G44" i="11"/>
  <c r="G35" i="11"/>
  <c r="V19" i="11"/>
  <c r="V24" i="11"/>
  <c r="W24" i="11" s="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7" i="11"/>
  <c r="G12" i="11"/>
  <c r="F4" i="11"/>
  <c r="F5" i="11"/>
  <c r="F6" i="11"/>
  <c r="F7" i="11"/>
  <c r="F8" i="11"/>
  <c r="F10" i="11"/>
  <c r="F12" i="11" s="1"/>
  <c r="F11" i="11"/>
  <c r="F3" i="11"/>
  <c r="D12" i="11"/>
  <c r="C8" i="12"/>
  <c r="S23" i="12" s="1"/>
  <c r="R25" i="12" s="1"/>
  <c r="J61" i="6"/>
  <c r="J62" i="6"/>
  <c r="J63" i="6"/>
  <c r="J64" i="6"/>
  <c r="J65" i="6"/>
  <c r="J66" i="6"/>
  <c r="J67" i="6"/>
  <c r="J68" i="6"/>
  <c r="J60" i="6"/>
  <c r="H61" i="6"/>
  <c r="H62" i="6"/>
  <c r="H63" i="6"/>
  <c r="H64" i="6"/>
  <c r="H65" i="6"/>
  <c r="H66" i="6"/>
  <c r="H67" i="6"/>
  <c r="H68" i="6"/>
  <c r="H60" i="6"/>
  <c r="I69" i="6"/>
  <c r="G69" i="6"/>
  <c r="W25" i="11" l="1"/>
  <c r="U42" i="11"/>
  <c r="V42" i="11"/>
  <c r="J3" i="4"/>
  <c r="Y45" i="1"/>
  <c r="X46" i="1"/>
  <c r="Y46" i="1"/>
  <c r="Y53" i="1" s="1"/>
  <c r="X47" i="1"/>
  <c r="Y47" i="1" s="1"/>
  <c r="Y54" i="1" s="1"/>
  <c r="X52" i="1"/>
  <c r="Y52" i="1" s="1"/>
  <c r="X53" i="1"/>
  <c r="X54" i="1"/>
  <c r="X55" i="1"/>
  <c r="X56" i="1"/>
  <c r="Z57" i="1"/>
  <c r="X62" i="1"/>
  <c r="O4" i="4"/>
  <c r="N4" i="4"/>
  <c r="M4" i="4"/>
  <c r="J4" i="4"/>
  <c r="G4" i="4"/>
  <c r="F4" i="4"/>
  <c r="L4" i="4" s="1"/>
  <c r="E4" i="4"/>
  <c r="I4" i="4" s="1"/>
  <c r="D4" i="4"/>
  <c r="H4" i="4" l="1"/>
  <c r="R9" i="4" s="1"/>
  <c r="X57" i="1"/>
  <c r="X61" i="1" s="1"/>
  <c r="X63" i="1" s="1"/>
  <c r="X48" i="1"/>
  <c r="F3" i="4"/>
  <c r="G3" i="4"/>
  <c r="I3" i="4"/>
  <c r="H3" i="4"/>
  <c r="E3" i="4"/>
  <c r="D3" i="4"/>
  <c r="N3" i="4"/>
  <c r="M3" i="4"/>
  <c r="L3" i="4"/>
  <c r="Y48" i="1" l="1"/>
  <c r="Y55" i="1" s="1"/>
  <c r="X49" i="1"/>
  <c r="Y49" i="1" s="1"/>
  <c r="Y56" i="1" s="1"/>
  <c r="S7" i="4"/>
  <c r="S8" i="4"/>
  <c r="S9" i="4"/>
  <c r="S10" i="4"/>
  <c r="S11" i="4"/>
  <c r="S12" i="4"/>
  <c r="S13" i="4"/>
  <c r="S14" i="4"/>
  <c r="C6" i="4"/>
  <c r="Q19" i="4" s="1"/>
  <c r="Q20" i="4" s="1"/>
  <c r="R21" i="4" s="1"/>
  <c r="C55" i="6"/>
  <c r="Y57" i="1" l="1"/>
  <c r="S6" i="4"/>
  <c r="R6" i="4" l="1"/>
  <c r="P6" i="4"/>
  <c r="R8" i="4"/>
  <c r="R7" i="4"/>
  <c r="R13" i="4" s="1"/>
  <c r="R12" i="4"/>
  <c r="R11" i="4"/>
  <c r="R10" i="4"/>
  <c r="E12" i="1" l="1"/>
  <c r="P7" i="4" l="1"/>
  <c r="P8" i="4" l="1"/>
  <c r="P9" i="4"/>
  <c r="P10" i="4"/>
  <c r="P11" i="4"/>
  <c r="P12" i="4"/>
  <c r="E33" i="1" l="1"/>
  <c r="E25" i="1"/>
  <c r="E18" i="1"/>
  <c r="AA4" i="1" l="1"/>
  <c r="AB4" i="1" s="1"/>
  <c r="AC4" i="1" s="1"/>
  <c r="AD4" i="1" s="1"/>
  <c r="AG8" i="1"/>
  <c r="Z9" i="1"/>
  <c r="AA9" i="1"/>
  <c r="AB9" i="1"/>
  <c r="AE10" i="1"/>
  <c r="K12" i="1" l="1"/>
  <c r="K33" i="1"/>
  <c r="K25" i="1"/>
  <c r="J7" i="1" l="1"/>
  <c r="J6" i="1"/>
  <c r="C10" i="1" l="1"/>
  <c r="C7" i="1"/>
  <c r="C3" i="1"/>
  <c r="C2" i="1"/>
  <c r="C4" i="1" s="1"/>
  <c r="O10" i="1"/>
  <c r="U8" i="1"/>
  <c r="T3" i="1"/>
  <c r="T4" i="1" s="1"/>
  <c r="T5" i="1" s="1"/>
  <c r="S4" i="1"/>
  <c r="C17" i="1" s="1"/>
  <c r="C12" i="1" l="1"/>
  <c r="C18" i="1"/>
  <c r="F14" i="1" s="1"/>
  <c r="S5" i="1"/>
  <c r="S6" i="1" s="1"/>
  <c r="C22" i="1" s="1"/>
  <c r="F13" i="1"/>
  <c r="F10" i="1"/>
  <c r="C20" i="1"/>
  <c r="F15" i="1" l="1"/>
  <c r="S7" i="1"/>
  <c r="C23" i="1" s="1"/>
  <c r="C25" i="1" s="1"/>
  <c r="F9" i="1"/>
  <c r="F6" i="1"/>
  <c r="F7" i="1"/>
  <c r="G18" i="1"/>
  <c r="G12" i="1" l="1"/>
  <c r="F22" i="1"/>
  <c r="F21" i="1"/>
  <c r="F20" i="1"/>
  <c r="F19" i="1"/>
  <c r="G25" i="1" s="1"/>
  <c r="C29" i="1"/>
  <c r="C33" i="1" s="1"/>
  <c r="G34" i="1" l="1"/>
</calcChain>
</file>

<file path=xl/comments1.xml><?xml version="1.0" encoding="utf-8"?>
<comments xmlns="http://schemas.openxmlformats.org/spreadsheetml/2006/main">
  <authors>
    <author>RECEVEUR Mylène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697 m (ULCS)
More data available for Mackies Mill down to 4110 m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LLCS 22 m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WLO: 128 m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GUL: 287 m</t>
        </r>
      </text>
    </comment>
  </commentList>
</comments>
</file>

<file path=xl/sharedStrings.xml><?xml version="1.0" encoding="utf-8"?>
<sst xmlns="http://schemas.openxmlformats.org/spreadsheetml/2006/main" count="1337" uniqueCount="474">
  <si>
    <t>Coal Measures</t>
  </si>
  <si>
    <t>Passage Formation</t>
  </si>
  <si>
    <t>Limestone Coal</t>
  </si>
  <si>
    <t>Lower Limestone Fm</t>
  </si>
  <si>
    <t>Upper Limestone FM</t>
  </si>
  <si>
    <t>FORMATION</t>
  </si>
  <si>
    <t>LITHOLOGY</t>
  </si>
  <si>
    <t>PERCENTAGE</t>
  </si>
  <si>
    <t>HPE</t>
  </si>
  <si>
    <t>?</t>
  </si>
  <si>
    <t>K</t>
  </si>
  <si>
    <t>Th</t>
  </si>
  <si>
    <t>U</t>
  </si>
  <si>
    <t>-</t>
  </si>
  <si>
    <t>mg/L</t>
  </si>
  <si>
    <t>µg/L</t>
  </si>
  <si>
    <t>Concentration</t>
  </si>
  <si>
    <t>A</t>
  </si>
  <si>
    <t>RHP µW/m3</t>
  </si>
  <si>
    <t>m</t>
  </si>
  <si>
    <t>km</t>
  </si>
  <si>
    <t xml:space="preserve">Thickness (m): </t>
  </si>
  <si>
    <t>STEWART 1</t>
  </si>
  <si>
    <t>COUSLAND 1</t>
  </si>
  <si>
    <t>PASSAGE FM</t>
  </si>
  <si>
    <t>UPPER LIMESTONE FM</t>
  </si>
  <si>
    <t>LIMESTONE COAL</t>
  </si>
  <si>
    <t>LOWER LIMESTONE FM</t>
  </si>
  <si>
    <t>WEST LOTHIAN OIL SHALE</t>
  </si>
  <si>
    <t>GULLANE</t>
  </si>
  <si>
    <t>CLYDE PLATEAU VOLCANIC FM</t>
  </si>
  <si>
    <t>CARRINGTON 1</t>
  </si>
  <si>
    <t>SPLILMERSFORD</t>
  </si>
  <si>
    <t>LOWER COAL MEASURES GROUP</t>
  </si>
  <si>
    <t>MONKTONHOUSE BORE 37</t>
  </si>
  <si>
    <t xml:space="preserve">MIDLOTHIAN 1 </t>
  </si>
  <si>
    <t>Length (m)</t>
  </si>
  <si>
    <t>in Lonhead (238 m)</t>
  </si>
  <si>
    <t>in Lonhead (320 m)</t>
  </si>
  <si>
    <t>Carboniferous strata below</t>
  </si>
  <si>
    <t>W</t>
  </si>
  <si>
    <t>1 feet =</t>
  </si>
  <si>
    <t>1 mile =</t>
  </si>
  <si>
    <t>Volume (m3)</t>
  </si>
  <si>
    <t>* Vila et al. (2010); ** OSIMOBI et al., 2018</t>
  </si>
  <si>
    <t>Sandstone*</t>
  </si>
  <si>
    <t>Siltstone / Mudstone*</t>
  </si>
  <si>
    <t>Coal**</t>
  </si>
  <si>
    <t>Ironstone**</t>
  </si>
  <si>
    <t>Granite*</t>
  </si>
  <si>
    <t>Basalt*</t>
  </si>
  <si>
    <t>Limestone**</t>
  </si>
  <si>
    <t>Width (m)</t>
  </si>
  <si>
    <t>Area (m2)</t>
  </si>
  <si>
    <t>H (W/kg)</t>
  </si>
  <si>
    <t>Density (kg/m3)</t>
  </si>
  <si>
    <t>TOTAL HEAT PRODUCTION:</t>
  </si>
  <si>
    <t>µW/m3</t>
  </si>
  <si>
    <t>GW in aquifers extensively mined for coal</t>
  </si>
  <si>
    <t>Fe</t>
  </si>
  <si>
    <t>Al</t>
  </si>
  <si>
    <t>HPE values are from Ruedas (2017)</t>
  </si>
  <si>
    <t>So4</t>
  </si>
  <si>
    <t>SO4</t>
  </si>
  <si>
    <t xml:space="preserve"> </t>
  </si>
  <si>
    <t>LCS</t>
  </si>
  <si>
    <t>LLCS</t>
  </si>
  <si>
    <t>307+</t>
  </si>
  <si>
    <t>545+</t>
  </si>
  <si>
    <t>87+</t>
  </si>
  <si>
    <t>593+</t>
  </si>
  <si>
    <t>449+</t>
  </si>
  <si>
    <t>STRAITON1</t>
  </si>
  <si>
    <t>638+</t>
  </si>
  <si>
    <t>Thickness of the formation from boreholes in the Midlothian Coalfield</t>
  </si>
  <si>
    <t>COUSLAND 6</t>
  </si>
  <si>
    <t>BOREHOLE</t>
  </si>
  <si>
    <t>DEPTH (ft)</t>
  </si>
  <si>
    <t>SAMPLE No</t>
  </si>
  <si>
    <t>Stratigraphy</t>
  </si>
  <si>
    <t>Quartz</t>
  </si>
  <si>
    <t>Plagioclases</t>
  </si>
  <si>
    <t>K-feldspath</t>
  </si>
  <si>
    <t>Mica</t>
  </si>
  <si>
    <t>Kaolinite</t>
  </si>
  <si>
    <t>Chlorite</t>
  </si>
  <si>
    <t>Calcite</t>
  </si>
  <si>
    <t>Ankerite / Fe dolomite</t>
  </si>
  <si>
    <t>Siderite</t>
  </si>
  <si>
    <t>Pyrite</t>
  </si>
  <si>
    <t>Kelty Bridge</t>
  </si>
  <si>
    <t>SSK40294</t>
  </si>
  <si>
    <t>LLGS</t>
  </si>
  <si>
    <t>&lt;0.5</t>
  </si>
  <si>
    <t>Airth-6</t>
  </si>
  <si>
    <t>SSK40263</t>
  </si>
  <si>
    <t>LSC</t>
  </si>
  <si>
    <t>SSK40301</t>
  </si>
  <si>
    <t>SSK40262</t>
  </si>
  <si>
    <t>Milton of Balgonie 3</t>
  </si>
  <si>
    <t>SSK40268</t>
  </si>
  <si>
    <t>SSK40269</t>
  </si>
  <si>
    <t>Cousland 6</t>
  </si>
  <si>
    <t>SSK40266</t>
  </si>
  <si>
    <t>WLO</t>
  </si>
  <si>
    <t>SSK40267</t>
  </si>
  <si>
    <t>Pumpherston 1</t>
  </si>
  <si>
    <t>SSK40272</t>
  </si>
  <si>
    <t>GUL</t>
  </si>
  <si>
    <t>SSK40302</t>
  </si>
  <si>
    <t>SSK40273</t>
  </si>
  <si>
    <t>SSK40274</t>
  </si>
  <si>
    <t>SSK40303</t>
  </si>
  <si>
    <t>Borehole name</t>
  </si>
  <si>
    <t>Source</t>
  </si>
  <si>
    <t>ESKMOUTH</t>
  </si>
  <si>
    <t>16+</t>
  </si>
  <si>
    <t>207+</t>
  </si>
  <si>
    <t>Unit Thickness</t>
  </si>
  <si>
    <t>Thickness</t>
  </si>
  <si>
    <t>Conductivity</t>
  </si>
  <si>
    <t>Average Fm conductivity</t>
  </si>
  <si>
    <t>Ironstone</t>
  </si>
  <si>
    <t>Busby (2019)</t>
  </si>
  <si>
    <t>Black hill</t>
  </si>
  <si>
    <t>Torduff Hill</t>
  </si>
  <si>
    <t>Warklaw Hill</t>
  </si>
  <si>
    <t>Bonaly</t>
  </si>
  <si>
    <t>Greywacke conglomerate Fm</t>
  </si>
  <si>
    <t>Bell's Hill</t>
  </si>
  <si>
    <t>Capelaw</t>
  </si>
  <si>
    <t>Allermuir</t>
  </si>
  <si>
    <t>Caerketton</t>
  </si>
  <si>
    <t>Woodhouselee</t>
  </si>
  <si>
    <t xml:space="preserve">Carnethy Hill </t>
  </si>
  <si>
    <t xml:space="preserve">Fairmilehead </t>
  </si>
  <si>
    <t>Braid Hills</t>
  </si>
  <si>
    <t>Blackford Hill</t>
  </si>
  <si>
    <t>Lanark Group (Pentland Hills Volcanic Formation)</t>
  </si>
  <si>
    <t>Kinneswood</t>
  </si>
  <si>
    <t>Ballagen</t>
  </si>
  <si>
    <t>Clyde Sandstone</t>
  </si>
  <si>
    <t>Inverclyde Gp</t>
  </si>
  <si>
    <t>Clyde Plateau Volcanic Fm</t>
  </si>
  <si>
    <t>Arthur's seat (Edinburgh)</t>
  </si>
  <si>
    <t>Aberlady Fm / West-Lothian Oil-shale (WLO: HON + CDE) / Pathhead &amp; Sandy Craig Fm</t>
  </si>
  <si>
    <t>Strathclyde Group</t>
  </si>
  <si>
    <t>Lawmuir Fm (Glasgow)</t>
  </si>
  <si>
    <t>ULCS</t>
  </si>
  <si>
    <t>PGP</t>
  </si>
  <si>
    <t>Clackmannan Group</t>
  </si>
  <si>
    <t>SCM</t>
  </si>
  <si>
    <t>Formation</t>
  </si>
  <si>
    <t>Group</t>
  </si>
  <si>
    <t>Sandstone CM</t>
  </si>
  <si>
    <t>Sandstone PGP</t>
  </si>
  <si>
    <t>Kirkwood Fm  (tuffaceous mudstones)</t>
  </si>
  <si>
    <t>Gullane Fm (dominant sandstones) with Gallerton Hills volcanic Fm (Bathgate Group: Kinghorn Volcanic Fm in Fife)</t>
  </si>
  <si>
    <t>https://www.bgs.ac.uk/lexicon/lex_list.cfm?desc=gullane&amp;pub=%25&amp;map=&amp;status=%25&amp;age=%25&amp;SUBMIT=Submit+Query</t>
  </si>
  <si>
    <t xml:space="preserve">% lithology for each formation </t>
  </si>
  <si>
    <t>AVERAGE RHP (µW/m3):</t>
  </si>
  <si>
    <t>TOTAL RHP (W):</t>
  </si>
  <si>
    <t>RHP</t>
  </si>
  <si>
    <t>Limestone</t>
  </si>
  <si>
    <t>m3</t>
  </si>
  <si>
    <t xml:space="preserve"> Dalkeith (full thickness)</t>
  </si>
  <si>
    <t>Carrington-1:</t>
  </si>
  <si>
    <t>Groundwater composition</t>
  </si>
  <si>
    <t>Siltstone CM</t>
  </si>
  <si>
    <t>Mudstone CM</t>
  </si>
  <si>
    <t>Coal</t>
  </si>
  <si>
    <t>Average RHP</t>
  </si>
  <si>
    <t>VOID</t>
  </si>
  <si>
    <t>seatrock</t>
  </si>
  <si>
    <t>fireclay</t>
  </si>
  <si>
    <t>Volume</t>
  </si>
  <si>
    <t>TOTAL</t>
  </si>
  <si>
    <t>Table. Average and total radiogenic heat production estimates in the Midlothian coalfield. The average formation conductivity values are from Busby (2019)</t>
  </si>
  <si>
    <t>Total RHP (W)</t>
  </si>
  <si>
    <t>W/m3</t>
  </si>
  <si>
    <t>Monckton House Bore 37</t>
  </si>
  <si>
    <t>4.36*</t>
  </si>
  <si>
    <t>*Lawmuir Fm conductivity</t>
  </si>
  <si>
    <t>ARTHURS SEAT VOLCANIC FM</t>
  </si>
  <si>
    <t>2.2**</t>
  </si>
  <si>
    <t>**Clyde Plateau / Kirkwood volcanic Fm Conductivity</t>
  </si>
  <si>
    <t>Brown et al., 1999</t>
  </si>
  <si>
    <t>640 max (Edinburgh)</t>
  </si>
  <si>
    <t>Kinneswood Fm</t>
  </si>
  <si>
    <t>900 m max in West Lothian</t>
  </si>
  <si>
    <t>Ballagan Fm</t>
  </si>
  <si>
    <t>300 m in Glasgow arez</t>
  </si>
  <si>
    <t>Clyde sandstone Fm</t>
  </si>
  <si>
    <t>Inverclyde</t>
  </si>
  <si>
    <t>2.2 (Clyde plateau volcanic fm: alkaline lavas, tuffs and volcanoclastic sedimentary rocks)</t>
  </si>
  <si>
    <t>300 max</t>
  </si>
  <si>
    <t>2.1 (Kirkwood: tuffaceous mudstone and tuffs)</t>
  </si>
  <si>
    <t>132 m  at Spilmersford</t>
  </si>
  <si>
    <t>Gullane Fm (sandstone, mustone and siltstone + coal, seatrock, limestone/dolomite, ironstone)</t>
  </si>
  <si>
    <t>4.36 (Lawmuir Fm: mudstone, siltstone and sandstone with seatrock, coal and limestone)</t>
  </si>
  <si>
    <t>134 m at Spilmersford</t>
  </si>
  <si>
    <t>West lothian Oil shale Fm (midlothian) - sandstone, siltstone, mudstone + coal, seatrock,limestone/dolomite, ironstone / Aberlady Fm (east lothian)</t>
  </si>
  <si>
    <t>Strathclyde</t>
  </si>
  <si>
    <t>240m max east Fife</t>
  </si>
  <si>
    <t>Lower Limestone Formation</t>
  </si>
  <si>
    <t>550m max central coalfield</t>
  </si>
  <si>
    <t>435 m in Mossneuk BH</t>
  </si>
  <si>
    <t>Upper Limestone</t>
  </si>
  <si>
    <t>319 m in Saltgreen No1</t>
  </si>
  <si>
    <t>Passage Fm</t>
  </si>
  <si>
    <t>Clackmannan</t>
  </si>
  <si>
    <t>~220m in Sealab 2 BH</t>
  </si>
  <si>
    <t>Lower coal measures</t>
  </si>
  <si>
    <t>~350m in Sealab1 BH</t>
  </si>
  <si>
    <t>Middle Coal Measures</t>
  </si>
  <si>
    <t>Upper Coal Measures</t>
  </si>
  <si>
    <t>Kth</t>
  </si>
  <si>
    <t>Glasgow 50k GVS</t>
  </si>
  <si>
    <t>Airdrie 50k GVS</t>
  </si>
  <si>
    <t>thickness</t>
  </si>
  <si>
    <t>Calculated harmonic mean (µW/m3)</t>
  </si>
  <si>
    <t>Vila et al. 2010</t>
  </si>
  <si>
    <t>Osimobi 2018</t>
  </si>
  <si>
    <t>Hasterok et al., 2018</t>
  </si>
  <si>
    <t>RHP (Hasterok et al., 2018)</t>
  </si>
  <si>
    <t>RHP Villa et al 2010</t>
  </si>
  <si>
    <t>RHP Osimobi 2018</t>
  </si>
  <si>
    <t>Basalt</t>
  </si>
  <si>
    <t>https://rocks.comparenature.com/en/basalt-rock/model-7-0</t>
  </si>
  <si>
    <t>Dolerite</t>
  </si>
  <si>
    <t>Tuff</t>
  </si>
  <si>
    <t>https://rocks.comparenature.com/en/tuff-rock/model-96-0</t>
  </si>
  <si>
    <t>Clay (Seatclay, Rib)</t>
  </si>
  <si>
    <t>https://www.engineeringtoolbox.com/thermal-conductivity-d_429.html</t>
  </si>
  <si>
    <t>Fireclay</t>
  </si>
  <si>
    <t>Mudstone</t>
  </si>
  <si>
    <t>Shale (Fakes)</t>
  </si>
  <si>
    <t>Siltstone</t>
  </si>
  <si>
    <t>Limestone / cementstone</t>
  </si>
  <si>
    <t>Dolomite</t>
  </si>
  <si>
    <t>https://rocks.comparenature.com/en/dolomite-rock/model-9-0</t>
  </si>
  <si>
    <t>Sandstone (Blaes)</t>
  </si>
  <si>
    <t>Breccia / conglomerate</t>
  </si>
  <si>
    <t>Pegmatite</t>
  </si>
  <si>
    <t>sand/soil</t>
  </si>
  <si>
    <t>clayrock</t>
  </si>
  <si>
    <t>https://academic.oup.com/jge/article/14/4/909/5108056</t>
  </si>
  <si>
    <t>https://pubs.usgs.gov/of/1988/0441/report.pdf</t>
  </si>
  <si>
    <t>FRACTURES COAL</t>
  </si>
  <si>
    <t>GOAF</t>
  </si>
  <si>
    <t>Rock</t>
  </si>
  <si>
    <t>Average conductivity from BHs (Busby, 2019)</t>
  </si>
  <si>
    <t>Density</t>
  </si>
  <si>
    <t>Heat Capacity</t>
  </si>
  <si>
    <t>Average conductivity maryhill BH</t>
  </si>
  <si>
    <t>Average conductivity Clachie Bridge BH</t>
  </si>
  <si>
    <t>Heat conductivity</t>
  </si>
  <si>
    <t>properties =  {</t>
  </si>
  <si>
    <t>'</t>
  </si>
  <si>
    <t>agglomerate</t>
  </si>
  <si>
    <t>':[</t>
  </si>
  <si>
    <t>,</t>
  </si>
  <si>
    <t>],</t>
  </si>
  <si>
    <t xml:space="preserve">               </t>
  </si>
  <si>
    <t>basalt</t>
  </si>
  <si>
    <t>blaes</t>
  </si>
  <si>
    <t>breccia</t>
  </si>
  <si>
    <t>calcite</t>
  </si>
  <si>
    <t>cementstone</t>
  </si>
  <si>
    <t>chert</t>
  </si>
  <si>
    <t>clay</t>
  </si>
  <si>
    <t>coal</t>
  </si>
  <si>
    <t>conglomerate</t>
  </si>
  <si>
    <t>dolerite</t>
  </si>
  <si>
    <t>dolomite</t>
  </si>
  <si>
    <t>fakes</t>
  </si>
  <si>
    <t>haematite</t>
  </si>
  <si>
    <t>ironstone</t>
  </si>
  <si>
    <t>limestone</t>
  </si>
  <si>
    <t>marl</t>
  </si>
  <si>
    <t>mudstone</t>
  </si>
  <si>
    <t>no core</t>
  </si>
  <si>
    <t>ribs</t>
  </si>
  <si>
    <t>sand</t>
  </si>
  <si>
    <t>sandstone</t>
  </si>
  <si>
    <t>seatclay</t>
  </si>
  <si>
    <t>seatearth</t>
  </si>
  <si>
    <t>shale</t>
  </si>
  <si>
    <t>siltstone</t>
  </si>
  <si>
    <t>soil</t>
  </si>
  <si>
    <t>trachyte</t>
  </si>
  <si>
    <t>tuff</t>
  </si>
  <si>
    <t>]}</t>
  </si>
  <si>
    <t>Whitworth (2002)</t>
  </si>
  <si>
    <t>1e-9 m/s</t>
  </si>
  <si>
    <t>Gillespie, 2013</t>
  </si>
  <si>
    <t>Porosity scottish coal measures</t>
  </si>
  <si>
    <t>Old version -need to update RHP values</t>
  </si>
  <si>
    <t>SCOTLAND</t>
  </si>
  <si>
    <t>NORTH EAST ENGLAND</t>
  </si>
  <si>
    <t>Pennine Upper Coal Measures</t>
  </si>
  <si>
    <t>Pennine Middle Coal Measures</t>
  </si>
  <si>
    <t>Pennine Lower Coal Measures</t>
  </si>
  <si>
    <t>Westphalian Coal Measures, Carboniferous, Northern England - Earthwise (bgs.ac.uk)</t>
  </si>
  <si>
    <t>https://webapps.bgs.ac.uk/lexicon/lexicon.cfm?pub=PMCM</t>
  </si>
  <si>
    <t>K of Pennine Coal Measures (Busby, 2019)</t>
  </si>
  <si>
    <t>Sandstone</t>
  </si>
  <si>
    <t>(Seat)clay</t>
  </si>
  <si>
    <t>Average permeability Coal Measures</t>
  </si>
  <si>
    <t>mudstone/fireclay</t>
  </si>
  <si>
    <t>siltstone/soil</t>
  </si>
  <si>
    <t>From</t>
  </si>
  <si>
    <t>Lumley 6</t>
  </si>
  <si>
    <t xml:space="preserve">Eldon </t>
  </si>
  <si>
    <t>Houghton</t>
  </si>
  <si>
    <t>Ladysmith</t>
  </si>
  <si>
    <t>Bates</t>
  </si>
  <si>
    <t>Lower Coal Measures</t>
  </si>
  <si>
    <t>sandstone/breccia</t>
  </si>
  <si>
    <t>ironstone/fireclay</t>
  </si>
  <si>
    <t>shale/clay/seatearth</t>
  </si>
  <si>
    <t>To</t>
  </si>
  <si>
    <t>Hawthorn</t>
  </si>
  <si>
    <t>Chatershaugh</t>
  </si>
  <si>
    <t>Easington</t>
  </si>
  <si>
    <t>average</t>
  </si>
  <si>
    <t>Lady Victoria</t>
  </si>
  <si>
    <t>Moncktonhall</t>
  </si>
  <si>
    <t>Limestone Coal formation</t>
  </si>
  <si>
    <t>PERCENTAGE OF ROCK TYPE</t>
  </si>
  <si>
    <t>2. LOWER COAL MEASURES</t>
  </si>
  <si>
    <t>3. UPPER LIMESTONE</t>
  </si>
  <si>
    <t>3. WEST LOTHIAN OIL SHALE</t>
  </si>
  <si>
    <t>4. LIMESTONE COAL</t>
  </si>
  <si>
    <t>3. Vincent et al.</t>
  </si>
  <si>
    <t>3. LOWER LIMESTONE FM</t>
  </si>
  <si>
    <t>3. PASSAGE FM</t>
  </si>
  <si>
    <t>Carrington-1 borehole (Monaghan and Brown, 2014)</t>
  </si>
  <si>
    <t>Rock percentage:</t>
  </si>
  <si>
    <t>1 Calculated from %lithologies in Middle Coal Measures from Easington, Chatershaugh  (ignore 2. 6 m of Dolerite interesected in Chatersaugh), Houghton, Eldon and Lumley-6 shafts</t>
  </si>
  <si>
    <t>2. Calculated from %lithologies in Lower Coal Measures from Ladysmith, Houghton, Eldon and Lumley-6 shafts, adjusted to % Lithology given by Entwisle (2019)</t>
  </si>
  <si>
    <t>4. Calculated from %lithologies in Limestone coal from Moncktonhall and Lady Voctoria shafts</t>
  </si>
  <si>
    <t>Total thickness of each formation:</t>
  </si>
  <si>
    <t>Midlothian-1 well</t>
  </si>
  <si>
    <t>1. UPPER/MIDDLE COAL MEASURES*</t>
  </si>
  <si>
    <t>*find source in text</t>
  </si>
  <si>
    <t>Conductivity:</t>
  </si>
  <si>
    <t>RHP:</t>
  </si>
  <si>
    <t>Calculated harmonic mean (W/°C.m)</t>
  </si>
  <si>
    <t>Arthurs seat volcanic fm (midlothian) - mildy alkaline / Garleton Hills Volcanic Fm (east lothian) - in d'Arcy Borehole</t>
  </si>
  <si>
    <r>
      <t xml:space="preserve">Average conductivity Hurlet BH </t>
    </r>
    <r>
      <rPr>
        <b/>
        <sz val="11"/>
        <color theme="5"/>
        <rFont val="Calibri"/>
        <family val="2"/>
        <scheme val="minor"/>
      </rPr>
      <t>(Table 3)</t>
    </r>
  </si>
  <si>
    <t>Watson 2020</t>
  </si>
  <si>
    <t>ist</t>
  </si>
  <si>
    <t>lst</t>
  </si>
  <si>
    <t>mdst</t>
  </si>
  <si>
    <t>slst</t>
  </si>
  <si>
    <t>sst</t>
  </si>
  <si>
    <t>strk</t>
  </si>
  <si>
    <t>dolr</t>
  </si>
  <si>
    <t>oh</t>
  </si>
  <si>
    <t>lsc</t>
  </si>
  <si>
    <t>llgs</t>
  </si>
  <si>
    <t>Maryhill BH</t>
  </si>
  <si>
    <t>adjusted</t>
  </si>
  <si>
    <t>limestone/dolomite</t>
  </si>
  <si>
    <t>clay/fireclay/seatearth</t>
  </si>
  <si>
    <t>sandstone/breccia/soil</t>
  </si>
  <si>
    <t>ratio</t>
  </si>
  <si>
    <t>sandstone/soiil</t>
  </si>
  <si>
    <t>fireclay/seatearth</t>
  </si>
  <si>
    <t>MoncktonHouse</t>
  </si>
  <si>
    <t>COAL MEASURES</t>
  </si>
  <si>
    <t>Salsburgh 1A</t>
  </si>
  <si>
    <t>Mackies Mill</t>
  </si>
  <si>
    <t>Spilmersford</t>
  </si>
  <si>
    <t>Inverclyde Group</t>
  </si>
  <si>
    <t>Devonian Igneous</t>
  </si>
  <si>
    <t>Pumpherston</t>
  </si>
  <si>
    <t>Devonian Sedimentary</t>
  </si>
  <si>
    <t>Source of data from %rock (Geoindex LOGS)</t>
  </si>
  <si>
    <t>Geoindex</t>
  </si>
  <si>
    <t>Watson 2020?</t>
  </si>
  <si>
    <t>http://scans.bgs.ac.uk/sobi_scans/boreholes/971520/images/12416155.html</t>
  </si>
  <si>
    <t>UPPER LIMESTONE</t>
  </si>
  <si>
    <t>sill: 186-240</t>
  </si>
  <si>
    <t>Cousland No1:</t>
  </si>
  <si>
    <t>http://scans.bgs.ac.uk/sobi_scans/boreholes/842779/images/12411463.html</t>
  </si>
  <si>
    <t>http://scans.bgs.ac.uk/sobi_scans/boreholes/844488/images/12412747.html</t>
  </si>
  <si>
    <t>Midlothian No1</t>
  </si>
  <si>
    <t>http://scans.bgs.ac.uk/sobi_scans/boreholes/1010730/images/12345144.html</t>
  </si>
  <si>
    <t>Queenslie No6</t>
  </si>
  <si>
    <t>Queenslie No3</t>
  </si>
  <si>
    <t>http://scans.bgs.ac.uk/sobi_scans/boreholes/1020966/images/12346845.html</t>
  </si>
  <si>
    <t>MCMS</t>
  </si>
  <si>
    <t>LCMS</t>
  </si>
  <si>
    <t>OH</t>
  </si>
  <si>
    <t>Limdestone</t>
  </si>
  <si>
    <t>Elevation</t>
  </si>
  <si>
    <t>amsl</t>
  </si>
  <si>
    <t>L/MCMS</t>
  </si>
  <si>
    <t>UP WLO</t>
  </si>
  <si>
    <t>Low WLO</t>
  </si>
  <si>
    <t>https://ukogl.org.uk/map/php/pdf.php?subfolder=industry_reports&amp;filename=41362.pdf</t>
  </si>
  <si>
    <t>Trachyte</t>
  </si>
  <si>
    <t>https://rocks.comparenature.com/en/properties-of-trachyte/model-55-6</t>
  </si>
  <si>
    <t>CMS</t>
  </si>
  <si>
    <t>SPILMERSFORD</t>
  </si>
  <si>
    <t>SALSBURGH 1A</t>
  </si>
  <si>
    <t>Mackies MILL</t>
  </si>
  <si>
    <t>ART</t>
  </si>
  <si>
    <t>INV</t>
  </si>
  <si>
    <t xml:space="preserve">DEVI </t>
  </si>
  <si>
    <t>Mackies_Mill / MoncktonHouseB37</t>
  </si>
  <si>
    <t>Penine CM statistics (GeoIndex LOGS)</t>
  </si>
  <si>
    <t xml:space="preserve">rock </t>
  </si>
  <si>
    <t>water</t>
  </si>
  <si>
    <t>average rock cond</t>
  </si>
  <si>
    <t>Gradient</t>
  </si>
  <si>
    <t>borehole</t>
  </si>
  <si>
    <t>cond</t>
  </si>
  <si>
    <t>rhp</t>
  </si>
  <si>
    <t>CLACHIE-BRIDGE</t>
  </si>
  <si>
    <t>WELLSGREEN</t>
  </si>
  <si>
    <t>HURLET</t>
  </si>
  <si>
    <t>MARYHILL</t>
  </si>
  <si>
    <t>LADY_VICT</t>
  </si>
  <si>
    <t>CAMERON</t>
  </si>
  <si>
    <t>GLENROTH</t>
  </si>
  <si>
    <t>MONKTONHALL</t>
  </si>
  <si>
    <t>SEAFIELD</t>
  </si>
  <si>
    <t>AUCHENNIDY</t>
  </si>
  <si>
    <t>FRANCES</t>
  </si>
  <si>
    <t>THORNTON_BRIDGE</t>
  </si>
  <si>
    <t>THORNTON_FARM</t>
  </si>
  <si>
    <t>SALSBURGH</t>
  </si>
  <si>
    <t>MACKIES_MILL</t>
  </si>
  <si>
    <t>LOCHHEAD</t>
  </si>
  <si>
    <t>MONKTONHOUSEBORE37</t>
  </si>
  <si>
    <t>EASTHOUSES</t>
  </si>
  <si>
    <t>PUMPHERSTON</t>
  </si>
  <si>
    <t>SHERIFFALL</t>
  </si>
  <si>
    <t>RANDOLPH</t>
  </si>
  <si>
    <t>QUEENSLIE</t>
  </si>
  <si>
    <t>BILSTON_GLEN</t>
  </si>
  <si>
    <t>BORELAND</t>
  </si>
  <si>
    <t>Watson et al 2020</t>
  </si>
  <si>
    <t>Watson and Westaway (2020)</t>
  </si>
  <si>
    <t>Heat capacity</t>
  </si>
  <si>
    <t>Heat conductivity (W/°Cm)</t>
  </si>
  <si>
    <t>UPPER/MIDDLE COAL MEASURES</t>
  </si>
  <si>
    <t>LOWER COAL MEASURES</t>
  </si>
  <si>
    <t>PASSAGE FORMATION</t>
  </si>
  <si>
    <t>LOWER LIMESTONE</t>
  </si>
  <si>
    <t>Thickness (m)</t>
  </si>
  <si>
    <t>Seatrock</t>
  </si>
  <si>
    <t>Weighted averages</t>
  </si>
  <si>
    <t>Heat conductivity (Busby, 2019)</t>
  </si>
  <si>
    <t>Total</t>
  </si>
  <si>
    <t>HEAT CAPACITY (J/kg.K)</t>
  </si>
  <si>
    <t>CONDUCTIVITY (W/°C.K)</t>
  </si>
  <si>
    <r>
      <t>DENSITY (kg/m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</si>
  <si>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r>
      <t>RHP (µW/m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</si>
  <si>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t>RHP (µW/m3)</t>
  </si>
  <si>
    <t>WEIGHTED QVERQGES</t>
  </si>
  <si>
    <t>Heat Conductivity</t>
  </si>
  <si>
    <t>Heat Diffusivity</t>
  </si>
  <si>
    <t>Sandstone (blaes)</t>
  </si>
  <si>
    <t>Conglomerate/Breccia</t>
  </si>
  <si>
    <t>Limestone (cemenstone)</t>
  </si>
  <si>
    <t>Clay (seatclay, rib)</t>
  </si>
  <si>
    <t>Sand/soil/gravel</t>
  </si>
  <si>
    <t>Clayrock</t>
  </si>
  <si>
    <t>rhoc</t>
  </si>
  <si>
    <t>Heat Conductivity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</si>
</sst>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E+00"/>
    <numFmt numFmtId="165" formatCode="0.000"/>
    <numFmt numFmtId="166" formatCode="0.0"/>
    <numFmt numFmtId="167" formatCode="0.0000000000E+00"/>
    <numFmt numFmtId="168" formatCode="0.00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25" fillId="0" borderId="0" applyNumberFormat="0" applyFill="0" applyBorder="0" applyAlignment="0" applyProtection="0"/>
  </cellStyleXfs>
  <cellXfs count="5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0" fontId="0" fillId="3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14" xfId="1" applyFont="1" applyBorder="1" applyAlignment="1"/>
    <xf numFmtId="0" fontId="7" fillId="0" borderId="25" xfId="1" applyFont="1" applyBorder="1" applyAlignment="1"/>
    <xf numFmtId="0" fontId="7" fillId="0" borderId="26" xfId="1" applyFont="1" applyBorder="1" applyAlignment="1"/>
    <xf numFmtId="0" fontId="7" fillId="0" borderId="27" xfId="1" applyFont="1" applyBorder="1" applyAlignment="1"/>
    <xf numFmtId="0" fontId="6" fillId="0" borderId="15" xfId="1" applyFont="1" applyBorder="1" applyAlignment="1"/>
    <xf numFmtId="0" fontId="6" fillId="0" borderId="16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6" fillId="0" borderId="19" xfId="1" applyFont="1" applyBorder="1" applyAlignment="1"/>
    <xf numFmtId="0" fontId="4" fillId="0" borderId="0" xfId="1" applyFont="1"/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/>
    </xf>
    <xf numFmtId="0" fontId="7" fillId="0" borderId="26" xfId="2" applyFont="1" applyFill="1" applyBorder="1"/>
    <xf numFmtId="0" fontId="7" fillId="0" borderId="27" xfId="2" applyFont="1" applyFill="1" applyBorder="1"/>
    <xf numFmtId="0" fontId="9" fillId="0" borderId="15" xfId="2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/>
    <xf numFmtId="0" fontId="9" fillId="0" borderId="15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9" fillId="0" borderId="17" xfId="2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/>
    </xf>
    <xf numFmtId="0" fontId="8" fillId="0" borderId="15" xfId="0" applyNumberFormat="1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9" fillId="0" borderId="25" xfId="0" applyFont="1" applyFill="1" applyBorder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2" borderId="2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right"/>
    </xf>
    <xf numFmtId="0" fontId="10" fillId="0" borderId="0" xfId="0" applyFont="1"/>
    <xf numFmtId="0" fontId="0" fillId="0" borderId="39" xfId="0" applyBorder="1"/>
    <xf numFmtId="0" fontId="0" fillId="0" borderId="40" xfId="0" applyBorder="1"/>
    <xf numFmtId="0" fontId="10" fillId="0" borderId="40" xfId="0" applyFont="1" applyBorder="1"/>
    <xf numFmtId="0" fontId="0" fillId="0" borderId="40" xfId="0" applyBorder="1" applyAlignment="1">
      <alignment wrapText="1"/>
    </xf>
    <xf numFmtId="0" fontId="11" fillId="0" borderId="40" xfId="0" applyFont="1" applyBorder="1"/>
    <xf numFmtId="0" fontId="10" fillId="0" borderId="41" xfId="0" applyFont="1" applyBorder="1"/>
    <xf numFmtId="0" fontId="0" fillId="0" borderId="36" xfId="0" applyBorder="1"/>
    <xf numFmtId="0" fontId="0" fillId="0" borderId="37" xfId="0" applyBorder="1"/>
    <xf numFmtId="0" fontId="8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9" fontId="0" fillId="6" borderId="0" xfId="0" applyNumberFormat="1" applyFill="1" applyBorder="1" applyAlignment="1">
      <alignment horizontal="right"/>
    </xf>
    <xf numFmtId="1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4" xfId="0" applyFill="1" applyBorder="1" applyAlignment="1">
      <alignment horizontal="center" vertical="center" wrapText="1"/>
    </xf>
    <xf numFmtId="11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0" xfId="0" applyNumberFormat="1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1" fontId="1" fillId="6" borderId="9" xfId="0" applyNumberFormat="1" applyFont="1" applyFill="1" applyBorder="1"/>
    <xf numFmtId="9" fontId="1" fillId="6" borderId="9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1" fontId="0" fillId="5" borderId="9" xfId="0" applyNumberFormat="1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/>
    <xf numFmtId="9" fontId="0" fillId="6" borderId="7" xfId="0" applyNumberFormat="1" applyFill="1" applyBorder="1" applyAlignment="1">
      <alignment horizontal="right"/>
    </xf>
    <xf numFmtId="0" fontId="0" fillId="6" borderId="7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right"/>
    </xf>
    <xf numFmtId="0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" fillId="5" borderId="9" xfId="0" applyNumberFormat="1" applyFont="1" applyFill="1" applyBorder="1" applyAlignment="1">
      <alignment horizontal="right"/>
    </xf>
    <xf numFmtId="164" fontId="1" fillId="5" borderId="10" xfId="0" applyNumberFormat="1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1" fillId="5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8" fillId="0" borderId="34" xfId="0" applyFont="1" applyFill="1" applyBorder="1" applyAlignment="1">
      <alignment horizontal="center" vertical="center"/>
    </xf>
    <xf numFmtId="0" fontId="8" fillId="3" borderId="0" xfId="0" applyFont="1" applyFill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9" fillId="0" borderId="37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11" fontId="8" fillId="0" borderId="0" xfId="0" applyNumberFormat="1" applyFont="1" applyFill="1"/>
    <xf numFmtId="0" fontId="8" fillId="3" borderId="0" xfId="0" applyFont="1" applyFill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0" xfId="0" applyFont="1"/>
    <xf numFmtId="0" fontId="8" fillId="3" borderId="45" xfId="0" applyFont="1" applyFill="1" applyBorder="1" applyAlignment="1">
      <alignment horizontal="right" vertical="center"/>
    </xf>
    <xf numFmtId="0" fontId="8" fillId="3" borderId="40" xfId="0" applyFont="1" applyFill="1" applyBorder="1" applyAlignment="1">
      <alignment horizontal="right" vertical="center"/>
    </xf>
    <xf numFmtId="0" fontId="8" fillId="3" borderId="41" xfId="0" applyFont="1" applyFill="1" applyBorder="1" applyAlignment="1">
      <alignment horizontal="right" vertical="center"/>
    </xf>
    <xf numFmtId="165" fontId="8" fillId="3" borderId="44" xfId="0" applyNumberFormat="1" applyFont="1" applyFill="1" applyBorder="1" applyAlignment="1">
      <alignment horizontal="right"/>
    </xf>
    <xf numFmtId="165" fontId="8" fillId="3" borderId="37" xfId="0" applyNumberFormat="1" applyFont="1" applyFill="1" applyBorder="1" applyAlignment="1">
      <alignment horizontal="right"/>
    </xf>
    <xf numFmtId="165" fontId="8" fillId="3" borderId="38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>
      <alignment horizontal="right"/>
    </xf>
    <xf numFmtId="1" fontId="8" fillId="3" borderId="37" xfId="0" applyNumberFormat="1" applyFont="1" applyFill="1" applyBorder="1" applyAlignment="1">
      <alignment horizontal="right"/>
    </xf>
    <xf numFmtId="1" fontId="8" fillId="3" borderId="38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6" fontId="8" fillId="3" borderId="43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11" fontId="0" fillId="0" borderId="0" xfId="0" applyNumberFormat="1"/>
    <xf numFmtId="0" fontId="8" fillId="3" borderId="10" xfId="0" applyFont="1" applyFill="1" applyBorder="1"/>
    <xf numFmtId="0" fontId="9" fillId="0" borderId="32" xfId="0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8" fillId="3" borderId="11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4" fillId="0" borderId="0" xfId="0" applyFont="1" applyAlignment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vertical="center" wrapText="1"/>
    </xf>
    <xf numFmtId="0" fontId="8" fillId="0" borderId="28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8" fillId="0" borderId="40" xfId="0" applyNumberFormat="1" applyFont="1" applyFill="1" applyBorder="1" applyAlignment="1">
      <alignment horizontal="center" wrapText="1"/>
    </xf>
    <xf numFmtId="0" fontId="8" fillId="11" borderId="15" xfId="0" applyFont="1" applyFill="1" applyBorder="1" applyAlignment="1">
      <alignment horizontal="center" vertical="center"/>
    </xf>
    <xf numFmtId="165" fontId="8" fillId="0" borderId="40" xfId="0" applyNumberFormat="1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65" fontId="8" fillId="0" borderId="41" xfId="0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167" fontId="0" fillId="0" borderId="0" xfId="0" applyNumberFormat="1"/>
    <xf numFmtId="0" fontId="25" fillId="0" borderId="37" xfId="3" applyBorder="1"/>
    <xf numFmtId="0" fontId="0" fillId="0" borderId="38" xfId="0" applyBorder="1"/>
    <xf numFmtId="0" fontId="1" fillId="0" borderId="36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5" xfId="0" applyFont="1" applyBorder="1"/>
    <xf numFmtId="0" fontId="22" fillId="0" borderId="4" xfId="0" applyFont="1" applyBorder="1"/>
    <xf numFmtId="0" fontId="1" fillId="0" borderId="0" xfId="0" applyFont="1" applyBorder="1"/>
    <xf numFmtId="0" fontId="27" fillId="0" borderId="0" xfId="0" applyFont="1" applyBorder="1"/>
    <xf numFmtId="0" fontId="20" fillId="0" borderId="4" xfId="0" applyFont="1" applyBorder="1"/>
    <xf numFmtId="0" fontId="19" fillId="0" borderId="0" xfId="0" applyFont="1" applyBorder="1"/>
    <xf numFmtId="0" fontId="19" fillId="0" borderId="5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7" xfId="0" applyBorder="1"/>
    <xf numFmtId="0" fontId="0" fillId="0" borderId="43" xfId="0" applyBorder="1"/>
    <xf numFmtId="0" fontId="23" fillId="0" borderId="0" xfId="0" applyFont="1" applyBorder="1"/>
    <xf numFmtId="0" fontId="19" fillId="0" borderId="7" xfId="0" applyFont="1" applyBorder="1"/>
    <xf numFmtId="0" fontId="0" fillId="0" borderId="0" xfId="0" applyBorder="1" applyAlignment="1">
      <alignment horizontal="right"/>
    </xf>
    <xf numFmtId="0" fontId="4" fillId="0" borderId="5" xfId="0" applyFont="1" applyBorder="1" applyAlignment="1"/>
    <xf numFmtId="0" fontId="1" fillId="0" borderId="5" xfId="0" applyFont="1" applyBorder="1"/>
    <xf numFmtId="0" fontId="19" fillId="0" borderId="0" xfId="0" applyFont="1" applyBorder="1" applyAlignment="1">
      <alignment horizontal="right"/>
    </xf>
    <xf numFmtId="0" fontId="20" fillId="0" borderId="5" xfId="0" applyFont="1" applyBorder="1"/>
    <xf numFmtId="0" fontId="4" fillId="0" borderId="43" xfId="0" applyFont="1" applyBorder="1" applyAlignment="1"/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14" fillId="0" borderId="0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 applyFill="1"/>
    <xf numFmtId="0" fontId="29" fillId="0" borderId="0" xfId="0" applyFont="1"/>
    <xf numFmtId="0" fontId="30" fillId="0" borderId="0" xfId="0" applyFont="1"/>
    <xf numFmtId="0" fontId="31" fillId="2" borderId="2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17" fillId="0" borderId="0" xfId="0" applyFont="1" applyFill="1"/>
    <xf numFmtId="0" fontId="31" fillId="3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 vertical="center"/>
    </xf>
    <xf numFmtId="0" fontId="24" fillId="3" borderId="36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2" fillId="0" borderId="0" xfId="0" applyFont="1" applyFill="1" applyBorder="1"/>
    <xf numFmtId="0" fontId="12" fillId="0" borderId="0" xfId="0" applyFont="1" applyFill="1"/>
    <xf numFmtId="0" fontId="33" fillId="0" borderId="50" xfId="0" applyFont="1" applyFill="1" applyBorder="1" applyAlignment="1">
      <alignment horizontal="center" vertical="center"/>
    </xf>
    <xf numFmtId="0" fontId="33" fillId="0" borderId="0" xfId="0" applyFont="1" applyFill="1"/>
    <xf numFmtId="0" fontId="24" fillId="2" borderId="22" xfId="0" applyFont="1" applyFill="1" applyBorder="1" applyAlignment="1">
      <alignment horizontal="center"/>
    </xf>
    <xf numFmtId="0" fontId="24" fillId="0" borderId="0" xfId="0" applyFont="1" applyFill="1"/>
    <xf numFmtId="0" fontId="24" fillId="2" borderId="23" xfId="0" applyFont="1" applyFill="1" applyBorder="1" applyAlignment="1">
      <alignment horizontal="center"/>
    </xf>
    <xf numFmtId="0" fontId="15" fillId="0" borderId="0" xfId="0" applyFont="1" applyFill="1"/>
    <xf numFmtId="0" fontId="15" fillId="2" borderId="4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0" borderId="0" xfId="0" applyFont="1" applyFill="1"/>
    <xf numFmtId="0" fontId="13" fillId="2" borderId="3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2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0" xfId="3"/>
    <xf numFmtId="2" fontId="0" fillId="0" borderId="0" xfId="0" applyNumberFormat="1"/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2" borderId="3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0" fillId="0" borderId="42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34" fillId="0" borderId="0" xfId="0" applyFont="1" applyFill="1"/>
    <xf numFmtId="0" fontId="35" fillId="0" borderId="0" xfId="0" applyFont="1"/>
    <xf numFmtId="0" fontId="36" fillId="0" borderId="0" xfId="0" applyFont="1" applyFill="1"/>
    <xf numFmtId="165" fontId="8" fillId="0" borderId="25" xfId="0" applyNumberFormat="1" applyFont="1" applyFill="1" applyBorder="1" applyAlignment="1">
      <alignment horizontal="center" vertical="center"/>
    </xf>
    <xf numFmtId="0" fontId="9" fillId="13" borderId="0" xfId="0" applyFont="1" applyFill="1"/>
    <xf numFmtId="0" fontId="8" fillId="12" borderId="0" xfId="0" applyFont="1" applyFill="1"/>
    <xf numFmtId="0" fontId="24" fillId="0" borderId="0" xfId="0" applyFont="1" applyFill="1" applyBorder="1" applyAlignment="1">
      <alignment horizontal="left" vertical="center"/>
    </xf>
    <xf numFmtId="0" fontId="34" fillId="0" borderId="0" xfId="0" applyFont="1" applyFill="1" applyBorder="1"/>
    <xf numFmtId="0" fontId="23" fillId="0" borderId="0" xfId="0" applyFont="1" applyFill="1" applyBorder="1"/>
    <xf numFmtId="0" fontId="8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39" fillId="0" borderId="0" xfId="0" applyFont="1"/>
    <xf numFmtId="0" fontId="39" fillId="0" borderId="0" xfId="0" applyFont="1" applyAlignment="1">
      <alignment horizontal="right"/>
    </xf>
    <xf numFmtId="0" fontId="0" fillId="0" borderId="2" xfId="0" applyFill="1" applyBorder="1"/>
    <xf numFmtId="0" fontId="8" fillId="0" borderId="42" xfId="0" applyFont="1" applyFill="1" applyBorder="1"/>
    <xf numFmtId="0" fontId="8" fillId="0" borderId="2" xfId="0" applyFont="1" applyFill="1" applyBorder="1"/>
    <xf numFmtId="0" fontId="34" fillId="0" borderId="3" xfId="0" applyFont="1" applyFill="1" applyBorder="1"/>
    <xf numFmtId="0" fontId="0" fillId="0" borderId="1" xfId="0" applyFill="1" applyBorder="1"/>
    <xf numFmtId="0" fontId="0" fillId="0" borderId="1" xfId="0" applyBorder="1"/>
    <xf numFmtId="0" fontId="0" fillId="12" borderId="3" xfId="0" applyFill="1" applyBorder="1"/>
    <xf numFmtId="0" fontId="34" fillId="12" borderId="11" xfId="0" applyFont="1" applyFill="1" applyBorder="1"/>
    <xf numFmtId="0" fontId="8" fillId="12" borderId="4" xfId="0" applyFont="1" applyFill="1" applyBorder="1"/>
    <xf numFmtId="0" fontId="8" fillId="12" borderId="6" xfId="0" applyFont="1" applyFill="1" applyBorder="1"/>
    <xf numFmtId="0" fontId="8" fillId="12" borderId="11" xfId="0" applyFont="1" applyFill="1" applyBorder="1"/>
    <xf numFmtId="0" fontId="34" fillId="12" borderId="6" xfId="0" applyFont="1" applyFill="1" applyBorder="1"/>
    <xf numFmtId="0" fontId="8" fillId="12" borderId="42" xfId="0" applyFont="1" applyFill="1" applyBorder="1"/>
    <xf numFmtId="0" fontId="0" fillId="12" borderId="2" xfId="0" applyFill="1" applyBorder="1"/>
    <xf numFmtId="0" fontId="0" fillId="12" borderId="42" xfId="0" applyFill="1" applyBorder="1"/>
    <xf numFmtId="0" fontId="31" fillId="12" borderId="2" xfId="0" applyFont="1" applyFill="1" applyBorder="1"/>
    <xf numFmtId="0" fontId="34" fillId="12" borderId="0" xfId="0" applyFont="1" applyFill="1" applyBorder="1"/>
    <xf numFmtId="0" fontId="36" fillId="0" borderId="0" xfId="0" applyFont="1"/>
    <xf numFmtId="0" fontId="34" fillId="0" borderId="0" xfId="0" applyFont="1"/>
    <xf numFmtId="0" fontId="8" fillId="0" borderId="0" xfId="0" applyFont="1" applyBorder="1"/>
    <xf numFmtId="0" fontId="9" fillId="12" borderId="0" xfId="0" applyFont="1" applyFill="1"/>
    <xf numFmtId="0" fontId="8" fillId="12" borderId="0" xfId="0" applyFont="1" applyFill="1" applyBorder="1"/>
    <xf numFmtId="0" fontId="8" fillId="13" borderId="28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8" fillId="3" borderId="12" xfId="0" applyFont="1" applyFill="1" applyBorder="1"/>
    <xf numFmtId="0" fontId="8" fillId="0" borderId="51" xfId="0" applyFont="1" applyFill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/>
    </xf>
    <xf numFmtId="0" fontId="8" fillId="4" borderId="5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4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0" fontId="31" fillId="12" borderId="40" xfId="0" applyFont="1" applyFill="1" applyBorder="1" applyAlignment="1">
      <alignment horizontal="center" vertical="center"/>
    </xf>
    <xf numFmtId="0" fontId="8" fillId="11" borderId="41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41" fillId="3" borderId="48" xfId="0" applyFont="1" applyFill="1" applyBorder="1" applyAlignment="1">
      <alignment horizontal="center" vertical="center"/>
    </xf>
    <xf numFmtId="0" fontId="40" fillId="0" borderId="0" xfId="0" applyFont="1"/>
    <xf numFmtId="11" fontId="40" fillId="0" borderId="0" xfId="0" applyNumberFormat="1" applyFont="1"/>
    <xf numFmtId="0" fontId="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/>
    <xf numFmtId="0" fontId="20" fillId="0" borderId="0" xfId="0" applyFont="1" applyBorder="1"/>
    <xf numFmtId="0" fontId="1" fillId="0" borderId="0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8" fillId="15" borderId="1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/>
    </xf>
    <xf numFmtId="0" fontId="8" fillId="15" borderId="0" xfId="0" applyFont="1" applyFill="1"/>
    <xf numFmtId="0" fontId="31" fillId="15" borderId="14" xfId="0" applyFont="1" applyFill="1" applyBorder="1" applyAlignment="1">
      <alignment horizontal="center" vertical="center"/>
    </xf>
    <xf numFmtId="0" fontId="31" fillId="15" borderId="34" xfId="0" applyFont="1" applyFill="1" applyBorder="1" applyAlignment="1">
      <alignment horizontal="center" vertical="center"/>
    </xf>
    <xf numFmtId="0" fontId="31" fillId="15" borderId="40" xfId="0" applyFont="1" applyFill="1" applyBorder="1" applyAlignment="1">
      <alignment horizontal="center" vertical="center"/>
    </xf>
    <xf numFmtId="0" fontId="8" fillId="13" borderId="0" xfId="0" applyFont="1" applyFill="1"/>
    <xf numFmtId="0" fontId="0" fillId="13" borderId="0" xfId="0" applyFill="1"/>
    <xf numFmtId="0" fontId="8" fillId="16" borderId="0" xfId="0" applyFont="1" applyFill="1"/>
    <xf numFmtId="0" fontId="31" fillId="16" borderId="14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/>
    </xf>
    <xf numFmtId="0" fontId="31" fillId="16" borderId="40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17" borderId="4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8" fontId="8" fillId="0" borderId="0" xfId="0" applyNumberFormat="1" applyFont="1" applyFill="1"/>
    <xf numFmtId="0" fontId="31" fillId="3" borderId="27" xfId="0" applyFont="1" applyFill="1" applyBorder="1" applyAlignment="1">
      <alignment horizontal="center"/>
    </xf>
    <xf numFmtId="0" fontId="31" fillId="0" borderId="49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vertical="center"/>
    </xf>
    <xf numFmtId="0" fontId="31" fillId="0" borderId="50" xfId="0" applyFont="1" applyFill="1" applyBorder="1" applyAlignment="1">
      <alignment horizontal="center"/>
    </xf>
    <xf numFmtId="0" fontId="31" fillId="0" borderId="19" xfId="0" applyFont="1" applyFill="1" applyBorder="1" applyAlignment="1">
      <alignment horizontal="center" vertical="center"/>
    </xf>
    <xf numFmtId="0" fontId="23" fillId="0" borderId="0" xfId="0" applyFont="1"/>
    <xf numFmtId="166" fontId="31" fillId="0" borderId="0" xfId="0" applyNumberFormat="1" applyFont="1" applyFill="1"/>
    <xf numFmtId="0" fontId="9" fillId="3" borderId="8" xfId="0" applyFont="1" applyFill="1" applyBorder="1" applyAlignment="1">
      <alignment horizontal="right" vertical="center"/>
    </xf>
    <xf numFmtId="0" fontId="9" fillId="3" borderId="14" xfId="0" applyFont="1" applyFill="1" applyBorder="1" applyAlignment="1">
      <alignment horizontal="center"/>
    </xf>
    <xf numFmtId="0" fontId="31" fillId="3" borderId="57" xfId="0" applyFont="1" applyFill="1" applyBorder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wrapText="1"/>
    </xf>
    <xf numFmtId="0" fontId="9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right"/>
    </xf>
    <xf numFmtId="0" fontId="9" fillId="3" borderId="26" xfId="0" applyFont="1" applyFill="1" applyBorder="1" applyAlignment="1">
      <alignment horizontal="center"/>
    </xf>
    <xf numFmtId="0" fontId="9" fillId="3" borderId="5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right"/>
    </xf>
    <xf numFmtId="0" fontId="9" fillId="3" borderId="34" xfId="0" applyFont="1" applyFill="1" applyBorder="1" applyAlignment="1">
      <alignment horizontal="center"/>
    </xf>
    <xf numFmtId="0" fontId="24" fillId="3" borderId="14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right"/>
    </xf>
    <xf numFmtId="0" fontId="24" fillId="3" borderId="18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31" fillId="3" borderId="2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24" fillId="3" borderId="37" xfId="0" applyFont="1" applyFill="1" applyBorder="1" applyAlignment="1">
      <alignment horizontal="left" vertical="center"/>
    </xf>
    <xf numFmtId="0" fontId="31" fillId="3" borderId="55" xfId="0" applyFont="1" applyFill="1" applyBorder="1" applyAlignment="1">
      <alignment horizontal="center"/>
    </xf>
    <xf numFmtId="0" fontId="31" fillId="3" borderId="15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31" fillId="3" borderId="56" xfId="0" applyFont="1" applyFill="1" applyBorder="1" applyAlignment="1">
      <alignment horizontal="center"/>
    </xf>
    <xf numFmtId="0" fontId="31" fillId="3" borderId="17" xfId="0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9" fillId="3" borderId="22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/>
    </xf>
    <xf numFmtId="0" fontId="9" fillId="3" borderId="6" xfId="0" applyFont="1" applyFill="1" applyBorder="1"/>
    <xf numFmtId="0" fontId="9" fillId="0" borderId="0" xfId="0" applyFont="1" applyFill="1" applyBorder="1"/>
    <xf numFmtId="0" fontId="31" fillId="3" borderId="54" xfId="0" applyFont="1" applyFill="1" applyBorder="1" applyAlignment="1">
      <alignment horizontal="center" vertical="center"/>
    </xf>
    <xf numFmtId="0" fontId="31" fillId="3" borderId="34" xfId="0" applyFont="1" applyFill="1" applyBorder="1" applyAlignment="1">
      <alignment horizontal="center" vertical="center"/>
    </xf>
    <xf numFmtId="0" fontId="31" fillId="3" borderId="35" xfId="0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>
      <alignment horizontal="center" vertical="center"/>
    </xf>
    <xf numFmtId="1" fontId="8" fillId="3" borderId="26" xfId="0" applyNumberFormat="1" applyFont="1" applyFill="1" applyBorder="1" applyAlignment="1">
      <alignment horizontal="center" wrapText="1"/>
    </xf>
    <xf numFmtId="0" fontId="8" fillId="3" borderId="27" xfId="0" applyFont="1" applyFill="1" applyBorder="1"/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/>
    <xf numFmtId="0" fontId="8" fillId="3" borderId="19" xfId="0" applyFont="1" applyFill="1" applyBorder="1"/>
    <xf numFmtId="2" fontId="42" fillId="3" borderId="63" xfId="0" applyNumberFormat="1" applyFont="1" applyFill="1" applyBorder="1" applyAlignment="1">
      <alignment horizontal="center" vertical="center"/>
    </xf>
    <xf numFmtId="1" fontId="42" fillId="3" borderId="61" xfId="0" applyNumberFormat="1" applyFont="1" applyFill="1" applyBorder="1" applyAlignment="1">
      <alignment horizontal="center" vertical="center"/>
    </xf>
    <xf numFmtId="1" fontId="8" fillId="3" borderId="18" xfId="0" applyNumberFormat="1" applyFont="1" applyFill="1" applyBorder="1" applyAlignment="1">
      <alignment horizontal="center" vertical="center"/>
    </xf>
    <xf numFmtId="1" fontId="8" fillId="3" borderId="18" xfId="0" applyNumberFormat="1" applyFont="1" applyFill="1" applyBorder="1" applyAlignment="1">
      <alignment horizontal="center" wrapText="1"/>
    </xf>
    <xf numFmtId="168" fontId="42" fillId="3" borderId="59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29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43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63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25" fillId="0" borderId="0" xfId="3" applyFill="1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9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37</xdr:row>
      <xdr:rowOff>87086</xdr:rowOff>
    </xdr:from>
    <xdr:to>
      <xdr:col>4</xdr:col>
      <xdr:colOff>760747</xdr:colOff>
      <xdr:row>61</xdr:row>
      <xdr:rowOff>21772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7BC609-46FE-4345-874B-ECE2C9E4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08372"/>
          <a:ext cx="6105633" cy="4376057"/>
        </a:xfrm>
        <a:prstGeom prst="rect">
          <a:avLst/>
        </a:prstGeom>
      </xdr:spPr>
    </xdr:pic>
    <xdr:clientData/>
  </xdr:twoCellAnchor>
  <xdr:twoCellAnchor editAs="oneCell">
    <xdr:from>
      <xdr:col>9</xdr:col>
      <xdr:colOff>132261</xdr:colOff>
      <xdr:row>36</xdr:row>
      <xdr:rowOff>145324</xdr:rowOff>
    </xdr:from>
    <xdr:to>
      <xdr:col>14</xdr:col>
      <xdr:colOff>992994</xdr:colOff>
      <xdr:row>60</xdr:row>
      <xdr:rowOff>43544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C78C43-E7BE-4AA8-AF2A-CD6573A5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918" y="6981553"/>
          <a:ext cx="6008315" cy="4339591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247648</xdr:colOff>
      <xdr:row>58</xdr:row>
      <xdr:rowOff>163288</xdr:rowOff>
    </xdr:from>
    <xdr:to>
      <xdr:col>14</xdr:col>
      <xdr:colOff>884707</xdr:colOff>
      <xdr:row>78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468C071-DB26-471B-A68D-F7346CAA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505" y="11070774"/>
          <a:ext cx="6079916" cy="3690256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680359</xdr:colOff>
      <xdr:row>37</xdr:row>
      <xdr:rowOff>26127</xdr:rowOff>
    </xdr:from>
    <xdr:to>
      <xdr:col>9</xdr:col>
      <xdr:colOff>119744</xdr:colOff>
      <xdr:row>71</xdr:row>
      <xdr:rowOff>92801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D6E9CEF-AF5A-49F0-B5FA-CF206238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4845" y="7047413"/>
          <a:ext cx="3804556" cy="63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479444</xdr:colOff>
      <xdr:row>16</xdr:row>
      <xdr:rowOff>180367</xdr:rowOff>
    </xdr:from>
    <xdr:to>
      <xdr:col>10</xdr:col>
      <xdr:colOff>2405744</xdr:colOff>
      <xdr:row>23</xdr:row>
      <xdr:rowOff>91044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1101" y="3696453"/>
          <a:ext cx="6922843" cy="1227848"/>
        </a:xfrm>
        <a:prstGeom prst="rect">
          <a:avLst/>
        </a:prstGeom>
      </xdr:spPr>
    </xdr:pic>
    <xdr:clientData/>
  </xdr:twoCellAnchor>
  <xdr:twoCellAnchor editAs="oneCell">
    <xdr:from>
      <xdr:col>6</xdr:col>
      <xdr:colOff>16827</xdr:colOff>
      <xdr:row>0</xdr:row>
      <xdr:rowOff>152400</xdr:rowOff>
    </xdr:from>
    <xdr:to>
      <xdr:col>10</xdr:col>
      <xdr:colOff>2386716</xdr:colOff>
      <xdr:row>15</xdr:row>
      <xdr:rowOff>28522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0970" y="152400"/>
          <a:ext cx="5983946" cy="3207151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1096985</xdr:colOff>
      <xdr:row>46</xdr:row>
      <xdr:rowOff>179119</xdr:rowOff>
    </xdr:from>
    <xdr:to>
      <xdr:col>15</xdr:col>
      <xdr:colOff>67332</xdr:colOff>
      <xdr:row>66</xdr:row>
      <xdr:rowOff>142952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0414" y="9105405"/>
          <a:ext cx="7624490" cy="3860919"/>
        </a:xfrm>
        <a:prstGeom prst="rect">
          <a:avLst/>
        </a:prstGeom>
      </xdr:spPr>
    </xdr:pic>
    <xdr:clientData/>
  </xdr:twoCellAnchor>
  <xdr:oneCellAnchor>
    <xdr:from>
      <xdr:col>11</xdr:col>
      <xdr:colOff>166256</xdr:colOff>
      <xdr:row>0</xdr:row>
      <xdr:rowOff>41564</xdr:rowOff>
    </xdr:from>
    <xdr:ext cx="3048000" cy="43072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1" y="41564"/>
          <a:ext cx="3048000" cy="4307229"/>
        </a:xfrm>
        <a:prstGeom prst="rect">
          <a:avLst/>
        </a:prstGeom>
      </xdr:spPr>
    </xdr:pic>
    <xdr:clientData/>
  </xdr:oneCellAnchor>
  <xdr:twoCellAnchor editAs="oneCell">
    <xdr:from>
      <xdr:col>4</xdr:col>
      <xdr:colOff>202677</xdr:colOff>
      <xdr:row>23</xdr:row>
      <xdr:rowOff>79630</xdr:rowOff>
    </xdr:from>
    <xdr:to>
      <xdr:col>11</xdr:col>
      <xdr:colOff>506187</xdr:colOff>
      <xdr:row>53</xdr:row>
      <xdr:rowOff>172532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627" y="5013580"/>
          <a:ext cx="8979424" cy="59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1052744</xdr:colOff>
      <xdr:row>21</xdr:row>
      <xdr:rowOff>174745</xdr:rowOff>
    </xdr:from>
    <xdr:to>
      <xdr:col>14</xdr:col>
      <xdr:colOff>475227</xdr:colOff>
      <xdr:row>43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6173" y="4616116"/>
          <a:ext cx="7467026" cy="4005370"/>
        </a:xfrm>
        <a:prstGeom prst="rect">
          <a:avLst/>
        </a:prstGeom>
      </xdr:spPr>
    </xdr:pic>
    <xdr:clientData/>
  </xdr:twoCellAnchor>
  <xdr:twoCellAnchor editAs="oneCell">
    <xdr:from>
      <xdr:col>4</xdr:col>
      <xdr:colOff>345973</xdr:colOff>
      <xdr:row>69</xdr:row>
      <xdr:rowOff>166098</xdr:rowOff>
    </xdr:from>
    <xdr:to>
      <xdr:col>10</xdr:col>
      <xdr:colOff>1466678</xdr:colOff>
      <xdr:row>87</xdr:row>
      <xdr:rowOff>10888</xdr:rowOff>
    </xdr:to>
    <xdr:pic>
      <xdr:nvPicPr>
        <xdr:cNvPr id="8" name="Imag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9316" y="13740584"/>
          <a:ext cx="7325562" cy="3175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776152</xdr:colOff>
      <xdr:row>22</xdr:row>
      <xdr:rowOff>81643</xdr:rowOff>
    </xdr:from>
    <xdr:to>
      <xdr:col>16</xdr:col>
      <xdr:colOff>126587</xdr:colOff>
      <xdr:row>69</xdr:row>
      <xdr:rowOff>171996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8552" y="4468586"/>
          <a:ext cx="6219321" cy="8788039"/>
        </a:xfrm>
        <a:prstGeom prst="rect">
          <a:avLst/>
        </a:prstGeom>
      </xdr:spPr>
    </xdr:pic>
    <xdr:clientData/>
  </xdr:twoCellAnchor>
  <xdr:oneCellAnchor>
    <xdr:from>
      <xdr:col>15</xdr:col>
      <xdr:colOff>459179</xdr:colOff>
      <xdr:row>84</xdr:row>
      <xdr:rowOff>84115</xdr:rowOff>
    </xdr:from>
    <xdr:ext cx="6011982" cy="2557154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325" r="23256" b="56279"/>
        <a:stretch/>
      </xdr:blipFill>
      <xdr:spPr>
        <a:xfrm>
          <a:off x="14186385" y="16377468"/>
          <a:ext cx="6011982" cy="2557154"/>
        </a:xfrm>
        <a:prstGeom prst="rect">
          <a:avLst/>
        </a:prstGeom>
      </xdr:spPr>
    </xdr:pic>
    <xdr:clientData/>
  </xdr:oneCellAnchor>
  <xdr:twoCellAnchor editAs="oneCell">
    <xdr:from>
      <xdr:col>20</xdr:col>
      <xdr:colOff>440353</xdr:colOff>
      <xdr:row>36</xdr:row>
      <xdr:rowOff>112802</xdr:rowOff>
    </xdr:from>
    <xdr:to>
      <xdr:col>27</xdr:col>
      <xdr:colOff>528089</xdr:colOff>
      <xdr:row>43</xdr:row>
      <xdr:rowOff>50693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96559" y="7262155"/>
          <a:ext cx="6811265" cy="1271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gs.ac.uk/lexicon/lex_list.cfm?desc=gullane&amp;pub=%25&amp;map=&amp;status=%25&amp;age=%25&amp;SUBMIT=Submit+Query" TargetMode="External"/><Relationship Id="rId1" Type="http://schemas.openxmlformats.org/officeDocument/2006/relationships/hyperlink" Target="http://earthwise.bgs.ac.uk/index.php/Westphalian_Coal_Measures,_Carboniferous,_Northern_Engla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cans.bgs.ac.uk/sobi_scans/boreholes/971520/images/12416155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zoomScale="55" zoomScaleNormal="55" workbookViewId="0">
      <selection activeCell="C4" sqref="C4"/>
    </sheetView>
  </sheetViews>
  <sheetFormatPr defaultColWidth="11.42578125" defaultRowHeight="15" x14ac:dyDescent="0.25"/>
  <cols>
    <col min="2" max="2" width="22.85546875" style="1" customWidth="1"/>
    <col min="3" max="3" width="30.5703125" style="1" customWidth="1"/>
    <col min="4" max="4" width="21.85546875" customWidth="1"/>
    <col min="5" max="5" width="12.140625" style="2" bestFit="1" customWidth="1"/>
    <col min="6" max="6" width="17.28515625" style="3" bestFit="1" customWidth="1"/>
    <col min="7" max="7" width="14.28515625" bestFit="1" customWidth="1"/>
    <col min="8" max="8" width="15.5703125" customWidth="1"/>
    <col min="9" max="9" width="4.42578125" customWidth="1"/>
    <col min="10" max="10" width="12" bestFit="1" customWidth="1"/>
    <col min="11" max="11" width="13.28515625" bestFit="1" customWidth="1"/>
    <col min="12" max="12" width="9.28515625" customWidth="1"/>
    <col min="14" max="14" width="28.7109375" bestFit="1" customWidth="1"/>
    <col min="15" max="15" width="14.85546875" bestFit="1" customWidth="1"/>
    <col min="16" max="16" width="14.42578125" bestFit="1" customWidth="1"/>
    <col min="17" max="17" width="13.85546875" bestFit="1" customWidth="1"/>
    <col min="18" max="18" width="14" bestFit="1" customWidth="1"/>
    <col min="19" max="19" width="18.28515625" bestFit="1" customWidth="1"/>
    <col min="20" max="20" width="32.140625" bestFit="1" customWidth="1"/>
    <col min="21" max="21" width="21.140625" bestFit="1" customWidth="1"/>
  </cols>
  <sheetData>
    <row r="1" spans="2:33" ht="15.75" thickBot="1" x14ac:dyDescent="0.3">
      <c r="D1" t="s">
        <v>297</v>
      </c>
    </row>
    <row r="2" spans="2:33" x14ac:dyDescent="0.25">
      <c r="B2" s="4" t="s">
        <v>36</v>
      </c>
      <c r="C2" s="5">
        <f>9*$G$3*1000</f>
        <v>14484.06</v>
      </c>
      <c r="D2" s="6"/>
      <c r="E2" s="7"/>
      <c r="F2" s="5" t="s">
        <v>41</v>
      </c>
      <c r="G2" s="6">
        <v>0.30480000000000002</v>
      </c>
      <c r="H2" s="126" t="s">
        <v>19</v>
      </c>
      <c r="I2" s="511" t="s">
        <v>167</v>
      </c>
      <c r="J2" s="512"/>
      <c r="K2" s="512"/>
      <c r="L2" s="513"/>
      <c r="N2" s="24"/>
      <c r="O2" s="47" t="s">
        <v>35</v>
      </c>
      <c r="P2" s="25" t="s">
        <v>22</v>
      </c>
      <c r="Q2" s="25" t="s">
        <v>23</v>
      </c>
      <c r="R2" s="48" t="s">
        <v>75</v>
      </c>
      <c r="S2" s="25" t="s">
        <v>31</v>
      </c>
      <c r="T2" s="25" t="s">
        <v>34</v>
      </c>
      <c r="U2" s="25" t="s">
        <v>32</v>
      </c>
      <c r="V2" s="49" t="s">
        <v>72</v>
      </c>
      <c r="W2" s="50" t="s">
        <v>115</v>
      </c>
      <c r="Y2" s="72" t="s">
        <v>113</v>
      </c>
      <c r="Z2" s="504" t="s">
        <v>118</v>
      </c>
      <c r="AA2" s="505"/>
      <c r="AB2" s="505"/>
      <c r="AC2" s="505"/>
      <c r="AD2" s="505"/>
      <c r="AE2" s="505"/>
      <c r="AF2" s="505"/>
      <c r="AG2" s="506"/>
    </row>
    <row r="3" spans="2:33" ht="15.75" thickBot="1" x14ac:dyDescent="0.3">
      <c r="B3" s="8" t="s">
        <v>52</v>
      </c>
      <c r="C3" s="9">
        <f>3.5*$G$3*1000</f>
        <v>5632.6900000000005</v>
      </c>
      <c r="D3" s="10"/>
      <c r="E3" s="11"/>
      <c r="F3" s="9" t="s">
        <v>42</v>
      </c>
      <c r="G3" s="10">
        <v>1.60934</v>
      </c>
      <c r="H3" s="127" t="s">
        <v>20</v>
      </c>
      <c r="I3" s="514"/>
      <c r="J3" s="515"/>
      <c r="K3" s="515"/>
      <c r="L3" s="516"/>
      <c r="N3" s="26" t="s">
        <v>33</v>
      </c>
      <c r="O3" s="21"/>
      <c r="P3" s="22"/>
      <c r="Q3" s="22"/>
      <c r="R3" s="23"/>
      <c r="S3" s="22">
        <v>250</v>
      </c>
      <c r="T3" s="228">
        <f>330</f>
        <v>330</v>
      </c>
      <c r="U3" s="22"/>
      <c r="V3" s="41"/>
      <c r="W3" s="43"/>
      <c r="Y3" s="73"/>
      <c r="Z3" s="74" t="s">
        <v>33</v>
      </c>
      <c r="AA3" s="75" t="s">
        <v>24</v>
      </c>
      <c r="AB3" s="75" t="s">
        <v>25</v>
      </c>
      <c r="AC3" s="75" t="s">
        <v>26</v>
      </c>
      <c r="AD3" s="75" t="s">
        <v>27</v>
      </c>
      <c r="AE3" s="75" t="s">
        <v>28</v>
      </c>
      <c r="AF3" s="75" t="s">
        <v>29</v>
      </c>
      <c r="AG3" s="76" t="s">
        <v>30</v>
      </c>
    </row>
    <row r="4" spans="2:33" ht="15.75" thickBot="1" x14ac:dyDescent="0.3">
      <c r="B4" s="8" t="s">
        <v>53</v>
      </c>
      <c r="C4" s="9">
        <f>C2*C3</f>
        <v>81584219.921400011</v>
      </c>
      <c r="D4" s="10"/>
      <c r="E4" s="11"/>
      <c r="F4" s="13"/>
      <c r="G4" s="10"/>
      <c r="H4" s="12"/>
      <c r="I4" s="517"/>
      <c r="J4" s="518"/>
      <c r="K4" s="518"/>
      <c r="L4" s="519"/>
      <c r="N4" s="26" t="s">
        <v>24</v>
      </c>
      <c r="O4" s="21"/>
      <c r="P4" s="22"/>
      <c r="Q4" s="22"/>
      <c r="R4" s="23"/>
      <c r="S4" s="22">
        <f>460-S3</f>
        <v>210</v>
      </c>
      <c r="T4" s="22">
        <f>520-T3</f>
        <v>190</v>
      </c>
      <c r="U4" s="22"/>
      <c r="V4" s="41"/>
      <c r="W4" s="43"/>
      <c r="Y4" s="78" t="s">
        <v>31</v>
      </c>
      <c r="Z4" s="227">
        <v>250</v>
      </c>
      <c r="AA4" s="79">
        <f>460-Z4</f>
        <v>210</v>
      </c>
      <c r="AB4" s="79">
        <f>625-(AA4+Z4)</f>
        <v>165</v>
      </c>
      <c r="AC4" s="79">
        <f>800-(AB4+AA4+Z4)</f>
        <v>175</v>
      </c>
      <c r="AD4" s="79">
        <f>885-(AC4+AB4+AA4+Z4)</f>
        <v>85</v>
      </c>
      <c r="AE4" s="79">
        <v>492</v>
      </c>
      <c r="AF4" s="70" t="s">
        <v>67</v>
      </c>
      <c r="AG4" s="71"/>
    </row>
    <row r="5" spans="2:33" s="1" customFormat="1" ht="15.75" thickBot="1" x14ac:dyDescent="0.3">
      <c r="B5" s="141" t="s">
        <v>5</v>
      </c>
      <c r="C5" s="142" t="s">
        <v>43</v>
      </c>
      <c r="D5" s="143" t="s">
        <v>6</v>
      </c>
      <c r="E5" s="144" t="s">
        <v>7</v>
      </c>
      <c r="F5" s="145" t="s">
        <v>43</v>
      </c>
      <c r="G5" s="146" t="s">
        <v>18</v>
      </c>
      <c r="H5" s="146" t="s">
        <v>55</v>
      </c>
      <c r="I5" s="144" t="s">
        <v>8</v>
      </c>
      <c r="J5" s="144" t="s">
        <v>54</v>
      </c>
      <c r="K5" s="509" t="s">
        <v>16</v>
      </c>
      <c r="L5" s="510"/>
      <c r="N5" s="26" t="s">
        <v>25</v>
      </c>
      <c r="O5" s="21"/>
      <c r="P5" s="22"/>
      <c r="Q5" s="22"/>
      <c r="R5" s="23"/>
      <c r="S5" s="22">
        <f>625-(S4+S3)</f>
        <v>165</v>
      </c>
      <c r="T5" s="22">
        <f>790-SUM(T3:T4)</f>
        <v>270</v>
      </c>
      <c r="U5" s="22"/>
      <c r="V5" s="21"/>
      <c r="W5" s="44"/>
      <c r="Y5" s="54" t="s">
        <v>23</v>
      </c>
      <c r="Z5" s="66"/>
      <c r="AA5" s="52"/>
      <c r="AB5" s="52"/>
      <c r="AC5" s="52"/>
      <c r="AD5" s="52">
        <v>70</v>
      </c>
      <c r="AE5" s="52">
        <v>283</v>
      </c>
      <c r="AF5" s="52" t="s">
        <v>68</v>
      </c>
      <c r="AG5" s="55"/>
    </row>
    <row r="6" spans="2:33" x14ac:dyDescent="0.25">
      <c r="B6" s="497" t="s">
        <v>0</v>
      </c>
      <c r="C6" s="95" t="s">
        <v>165</v>
      </c>
      <c r="D6" s="96" t="s">
        <v>45</v>
      </c>
      <c r="E6" s="97">
        <v>0.35</v>
      </c>
      <c r="F6" s="98">
        <f>E6*$C$12</f>
        <v>7138619243.1225004</v>
      </c>
      <c r="G6" s="99">
        <v>0.89600000000000002</v>
      </c>
      <c r="H6" s="100">
        <v>2400</v>
      </c>
      <c r="I6" s="101" t="s">
        <v>10</v>
      </c>
      <c r="J6" s="103">
        <f>0.0000000034</f>
        <v>3.3999999999999998E-9</v>
      </c>
      <c r="K6" s="103">
        <v>9.19</v>
      </c>
      <c r="L6" s="99" t="s">
        <v>14</v>
      </c>
      <c r="N6" s="26" t="s">
        <v>26</v>
      </c>
      <c r="O6" s="21"/>
      <c r="P6" s="22"/>
      <c r="Q6" s="22"/>
      <c r="R6" s="23"/>
      <c r="S6" s="22">
        <f>800-(S5+S4+S3)</f>
        <v>175</v>
      </c>
      <c r="T6" s="22" t="s">
        <v>117</v>
      </c>
      <c r="U6" s="22"/>
      <c r="V6" s="41"/>
      <c r="W6" s="43">
        <v>215</v>
      </c>
      <c r="Y6" s="56" t="s">
        <v>75</v>
      </c>
      <c r="Z6" s="67"/>
      <c r="AA6" s="57"/>
      <c r="AB6" s="57"/>
      <c r="AC6" s="57"/>
      <c r="AD6" s="57"/>
      <c r="AE6" s="57">
        <v>479</v>
      </c>
      <c r="AF6" s="57" t="s">
        <v>69</v>
      </c>
      <c r="AG6" s="58"/>
    </row>
    <row r="7" spans="2:33" x14ac:dyDescent="0.25">
      <c r="B7" s="497"/>
      <c r="C7" s="95">
        <f>1500*$G$2</f>
        <v>457.20000000000005</v>
      </c>
      <c r="D7" s="96" t="s">
        <v>46</v>
      </c>
      <c r="E7" s="97">
        <v>0.6</v>
      </c>
      <c r="F7" s="98">
        <f>E7*$C$12</f>
        <v>12237632988.210001</v>
      </c>
      <c r="G7" s="99">
        <v>1.3919999999999999</v>
      </c>
      <c r="H7" s="100">
        <v>2400</v>
      </c>
      <c r="I7" s="101" t="s">
        <v>11</v>
      </c>
      <c r="J7" s="103">
        <f>0.000026368</f>
        <v>2.6367999999999999E-5</v>
      </c>
      <c r="K7" s="103">
        <v>8.9999999999999993E-3</v>
      </c>
      <c r="L7" s="99" t="s">
        <v>15</v>
      </c>
      <c r="N7" s="26" t="s">
        <v>27</v>
      </c>
      <c r="O7" s="21">
        <v>55</v>
      </c>
      <c r="P7" s="22">
        <v>50</v>
      </c>
      <c r="Q7" s="22">
        <v>70</v>
      </c>
      <c r="R7" s="23"/>
      <c r="S7" s="22">
        <f>885-(S6+S5+S4+S3)</f>
        <v>85</v>
      </c>
      <c r="T7" s="22"/>
      <c r="U7" s="22"/>
      <c r="V7" s="41"/>
      <c r="W7" s="43" t="s">
        <v>116</v>
      </c>
      <c r="Y7" s="51" t="s">
        <v>115</v>
      </c>
      <c r="Z7" s="66"/>
      <c r="AA7" s="52"/>
      <c r="AB7" s="59"/>
      <c r="AC7" s="52">
        <v>215</v>
      </c>
      <c r="AD7" s="52" t="s">
        <v>116</v>
      </c>
      <c r="AE7" s="52"/>
      <c r="AF7" s="52"/>
      <c r="AG7" s="55"/>
    </row>
    <row r="8" spans="2:33" x14ac:dyDescent="0.25">
      <c r="B8" s="497"/>
      <c r="C8" s="102"/>
      <c r="D8" s="96" t="s">
        <v>51</v>
      </c>
      <c r="E8" s="97">
        <v>0</v>
      </c>
      <c r="F8" s="98">
        <v>0</v>
      </c>
      <c r="G8" s="99">
        <v>2.0659999999999998</v>
      </c>
      <c r="H8" s="100">
        <v>2789</v>
      </c>
      <c r="I8" s="101" t="s">
        <v>12</v>
      </c>
      <c r="J8" s="103">
        <v>9.8313999999999994E-5</v>
      </c>
      <c r="K8" s="103">
        <v>0.22600000000000001</v>
      </c>
      <c r="L8" s="99" t="s">
        <v>15</v>
      </c>
      <c r="N8" s="26" t="s">
        <v>28</v>
      </c>
      <c r="O8" s="21">
        <v>481</v>
      </c>
      <c r="P8" s="22">
        <v>447</v>
      </c>
      <c r="Q8" s="22">
        <v>283</v>
      </c>
      <c r="R8" s="23">
        <v>479</v>
      </c>
      <c r="S8" s="22">
        <v>492</v>
      </c>
      <c r="T8" s="22"/>
      <c r="U8" s="22">
        <f>130-20</f>
        <v>110</v>
      </c>
      <c r="V8" s="42"/>
      <c r="W8" s="43"/>
      <c r="Y8" s="60" t="s">
        <v>35</v>
      </c>
      <c r="Z8" s="65"/>
      <c r="AA8" s="59"/>
      <c r="AB8" s="59"/>
      <c r="AC8" s="59"/>
      <c r="AD8" s="59">
        <v>55</v>
      </c>
      <c r="AE8" s="59">
        <v>481</v>
      </c>
      <c r="AF8" s="81" t="s">
        <v>70</v>
      </c>
      <c r="AG8" s="80">
        <f>1030-960</f>
        <v>70</v>
      </c>
    </row>
    <row r="9" spans="2:33" x14ac:dyDescent="0.25">
      <c r="B9" s="497"/>
      <c r="C9" s="102" t="s">
        <v>166</v>
      </c>
      <c r="D9" s="96" t="s">
        <v>47</v>
      </c>
      <c r="E9" s="97">
        <v>0.05</v>
      </c>
      <c r="F9" s="98">
        <f>E9*$C$12</f>
        <v>1019802749.0175002</v>
      </c>
      <c r="G9" s="99">
        <v>0.5</v>
      </c>
      <c r="H9" s="100">
        <v>1200</v>
      </c>
      <c r="I9" s="101" t="s">
        <v>60</v>
      </c>
      <c r="J9" s="103">
        <v>0.35830000000000001</v>
      </c>
      <c r="K9" s="103">
        <v>1.8</v>
      </c>
      <c r="L9" s="99" t="s">
        <v>15</v>
      </c>
      <c r="N9" s="26" t="s">
        <v>29</v>
      </c>
      <c r="O9" s="21" t="s">
        <v>70</v>
      </c>
      <c r="P9" s="22" t="s">
        <v>71</v>
      </c>
      <c r="Q9" s="22" t="s">
        <v>68</v>
      </c>
      <c r="R9" s="23" t="s">
        <v>69</v>
      </c>
      <c r="S9" s="22" t="s">
        <v>67</v>
      </c>
      <c r="T9" s="22"/>
      <c r="U9" s="22">
        <v>159</v>
      </c>
      <c r="V9" s="42" t="s">
        <v>73</v>
      </c>
      <c r="W9" s="43"/>
      <c r="Y9" s="54" t="s">
        <v>34</v>
      </c>
      <c r="Z9" s="66">
        <f>330</f>
        <v>330</v>
      </c>
      <c r="AA9" s="52">
        <f>520-Z9</f>
        <v>190</v>
      </c>
      <c r="AB9" s="52">
        <f>790-SUM(Z9:AA9)</f>
        <v>270</v>
      </c>
      <c r="AC9" s="52" t="s">
        <v>117</v>
      </c>
      <c r="AD9" s="52"/>
      <c r="AE9" s="52"/>
      <c r="AF9" s="52"/>
      <c r="AG9" s="55"/>
    </row>
    <row r="10" spans="2:33" ht="15.75" thickBot="1" x14ac:dyDescent="0.3">
      <c r="B10" s="120" t="s">
        <v>21</v>
      </c>
      <c r="C10" s="102">
        <f>S3</f>
        <v>250</v>
      </c>
      <c r="D10" s="96" t="s">
        <v>48</v>
      </c>
      <c r="E10" s="97">
        <v>0.01</v>
      </c>
      <c r="F10" s="98">
        <f>E10*$C$12</f>
        <v>203960549.80350003</v>
      </c>
      <c r="G10" s="99">
        <v>0.7</v>
      </c>
      <c r="H10" s="100">
        <v>2650</v>
      </c>
      <c r="I10" s="101" t="s">
        <v>59</v>
      </c>
      <c r="J10" s="103">
        <v>3.6499999999999998E-2</v>
      </c>
      <c r="K10" s="103">
        <v>1220</v>
      </c>
      <c r="L10" s="99" t="s">
        <v>15</v>
      </c>
      <c r="N10" s="27" t="s">
        <v>30</v>
      </c>
      <c r="O10" s="28">
        <f>1030-960</f>
        <v>70</v>
      </c>
      <c r="P10" s="29"/>
      <c r="Q10" s="29"/>
      <c r="R10" s="30"/>
      <c r="S10" s="29"/>
      <c r="T10" s="29"/>
      <c r="U10" s="29"/>
      <c r="V10" s="45"/>
      <c r="W10" s="46"/>
      <c r="Y10" s="54" t="s">
        <v>32</v>
      </c>
      <c r="Z10" s="66"/>
      <c r="AA10" s="52"/>
      <c r="AB10" s="52"/>
      <c r="AC10" s="52"/>
      <c r="AD10" s="52"/>
      <c r="AE10" s="52">
        <f>130-20</f>
        <v>110</v>
      </c>
      <c r="AF10" s="52">
        <v>159</v>
      </c>
      <c r="AG10" s="55"/>
    </row>
    <row r="11" spans="2:33" ht="15.75" thickBot="1" x14ac:dyDescent="0.3">
      <c r="B11" s="120"/>
      <c r="C11" s="102"/>
      <c r="D11" s="96"/>
      <c r="E11" s="104"/>
      <c r="F11" s="98"/>
      <c r="G11" s="99"/>
      <c r="H11" s="100"/>
      <c r="I11" s="101" t="s">
        <v>62</v>
      </c>
      <c r="J11" s="103"/>
      <c r="K11" s="103">
        <v>23.6</v>
      </c>
      <c r="L11" s="99" t="s">
        <v>14</v>
      </c>
      <c r="N11" s="503" t="s">
        <v>74</v>
      </c>
      <c r="O11" s="503"/>
      <c r="P11" s="503"/>
      <c r="Q11" s="503"/>
      <c r="R11" s="503"/>
      <c r="S11" s="503"/>
      <c r="T11" s="503"/>
      <c r="U11" s="503"/>
      <c r="Y11" s="54" t="s">
        <v>22</v>
      </c>
      <c r="Z11" s="66"/>
      <c r="AA11" s="52"/>
      <c r="AB11" s="52"/>
      <c r="AC11" s="52"/>
      <c r="AD11" s="52">
        <v>50</v>
      </c>
      <c r="AE11" s="52">
        <v>447</v>
      </c>
      <c r="AF11" s="52" t="s">
        <v>71</v>
      </c>
      <c r="AG11" s="55"/>
    </row>
    <row r="12" spans="2:33" ht="15.75" thickBot="1" x14ac:dyDescent="0.3">
      <c r="B12" s="121"/>
      <c r="C12" s="125">
        <f>$C$4*C10</f>
        <v>20396054980.350002</v>
      </c>
      <c r="D12" s="134" t="s">
        <v>160</v>
      </c>
      <c r="E12" s="135">
        <f>E6*G6+E7*G7+E8*G8+E9*G9+E10*G10</f>
        <v>1.1807999999999998</v>
      </c>
      <c r="F12" s="136" t="s">
        <v>161</v>
      </c>
      <c r="G12" s="137">
        <f>(F6*G6+G7*F7+F8*G8+G9*F9+G10*F10)/1000000</f>
        <v>24083.661720797278</v>
      </c>
      <c r="H12" s="113"/>
      <c r="I12" s="115" t="s">
        <v>17</v>
      </c>
      <c r="J12" s="115"/>
      <c r="K12" s="123">
        <f>0.0001*H6*(9.52*K8+2.56*K7+3.48*K6)</f>
        <v>8.1973824000000004</v>
      </c>
      <c r="L12" s="116" t="s">
        <v>57</v>
      </c>
      <c r="Y12" s="63" t="s">
        <v>72</v>
      </c>
      <c r="Z12" s="68"/>
      <c r="AA12" s="64"/>
      <c r="AB12" s="61"/>
      <c r="AC12" s="64"/>
      <c r="AD12" s="64"/>
      <c r="AE12" s="64"/>
      <c r="AF12" s="64" t="s">
        <v>73</v>
      </c>
      <c r="AG12" s="69"/>
    </row>
    <row r="13" spans="2:33" ht="15.75" thickBot="1" x14ac:dyDescent="0.3">
      <c r="B13" s="497" t="s">
        <v>1</v>
      </c>
      <c r="C13" s="102"/>
      <c r="D13" s="96" t="s">
        <v>45</v>
      </c>
      <c r="E13" s="97">
        <v>0.9</v>
      </c>
      <c r="F13" s="98">
        <f>E13*$C$18</f>
        <v>15419417565.144602</v>
      </c>
      <c r="G13" s="99">
        <v>0.89600000000000002</v>
      </c>
      <c r="H13" s="100">
        <v>2400</v>
      </c>
      <c r="I13" s="101"/>
      <c r="J13" s="101"/>
      <c r="K13" s="101"/>
      <c r="L13" s="99"/>
      <c r="O13" t="s">
        <v>64</v>
      </c>
    </row>
    <row r="14" spans="2:33" x14ac:dyDescent="0.25">
      <c r="B14" s="497"/>
      <c r="C14" s="102"/>
      <c r="D14" s="96" t="s">
        <v>46</v>
      </c>
      <c r="E14" s="97">
        <v>0.1</v>
      </c>
      <c r="F14" s="98">
        <f>E14*$C$18</f>
        <v>1713268618.3494003</v>
      </c>
      <c r="G14" s="99">
        <v>1.3919999999999999</v>
      </c>
      <c r="H14" s="100">
        <v>2400</v>
      </c>
      <c r="I14" s="101"/>
      <c r="J14" s="101"/>
      <c r="K14" s="101"/>
      <c r="L14" s="99"/>
      <c r="N14" s="32" t="s">
        <v>76</v>
      </c>
      <c r="O14" s="33" t="s">
        <v>77</v>
      </c>
      <c r="P14" s="33" t="s">
        <v>78</v>
      </c>
      <c r="Q14" s="33" t="s">
        <v>79</v>
      </c>
      <c r="R14" s="33" t="s">
        <v>80</v>
      </c>
      <c r="S14" s="33" t="s">
        <v>81</v>
      </c>
      <c r="T14" s="33" t="s">
        <v>82</v>
      </c>
      <c r="U14" s="33" t="s">
        <v>83</v>
      </c>
      <c r="V14" s="33" t="s">
        <v>84</v>
      </c>
      <c r="W14" s="33" t="s">
        <v>85</v>
      </c>
      <c r="X14" s="33" t="s">
        <v>86</v>
      </c>
      <c r="Y14" s="33" t="s">
        <v>87</v>
      </c>
      <c r="Z14" s="33" t="s">
        <v>88</v>
      </c>
      <c r="AA14" s="34" t="s">
        <v>89</v>
      </c>
    </row>
    <row r="15" spans="2:33" x14ac:dyDescent="0.25">
      <c r="B15" s="497"/>
      <c r="C15" s="102"/>
      <c r="D15" s="96" t="s">
        <v>51</v>
      </c>
      <c r="E15" s="97">
        <v>0</v>
      </c>
      <c r="F15" s="107">
        <f>E15*$C$18</f>
        <v>0</v>
      </c>
      <c r="G15" s="99">
        <v>2.0659999999999998</v>
      </c>
      <c r="H15" s="100">
        <v>2789</v>
      </c>
      <c r="I15" s="101"/>
      <c r="J15" s="101"/>
      <c r="K15" s="101"/>
      <c r="L15" s="99"/>
      <c r="N15" s="35" t="s">
        <v>90</v>
      </c>
      <c r="O15" s="31">
        <v>110</v>
      </c>
      <c r="P15" s="31" t="s">
        <v>91</v>
      </c>
      <c r="Q15" s="31" t="s">
        <v>92</v>
      </c>
      <c r="R15" s="31">
        <v>36.5</v>
      </c>
      <c r="S15" s="31"/>
      <c r="T15" s="31" t="s">
        <v>93</v>
      </c>
      <c r="U15" s="31">
        <v>35.799999999999997</v>
      </c>
      <c r="V15" s="31">
        <v>11.6</v>
      </c>
      <c r="W15" s="31"/>
      <c r="X15" s="31"/>
      <c r="Y15" s="31">
        <v>4.5999999999999996</v>
      </c>
      <c r="Z15" s="31">
        <v>9.4</v>
      </c>
      <c r="AA15" s="36">
        <v>1.8</v>
      </c>
    </row>
    <row r="16" spans="2:33" x14ac:dyDescent="0.25">
      <c r="B16" s="497"/>
      <c r="C16" s="102" t="s">
        <v>166</v>
      </c>
      <c r="D16" s="96" t="s">
        <v>47</v>
      </c>
      <c r="E16" s="97">
        <v>0</v>
      </c>
      <c r="F16" s="107">
        <v>0</v>
      </c>
      <c r="G16" s="99">
        <v>0.5</v>
      </c>
      <c r="H16" s="100">
        <v>1200</v>
      </c>
      <c r="I16" s="101"/>
      <c r="J16" s="101"/>
      <c r="K16" s="101"/>
      <c r="L16" s="99"/>
      <c r="N16" s="35" t="s">
        <v>94</v>
      </c>
      <c r="O16" s="31">
        <v>2836.5</v>
      </c>
      <c r="P16" s="31" t="s">
        <v>95</v>
      </c>
      <c r="Q16" s="31" t="s">
        <v>96</v>
      </c>
      <c r="R16" s="31">
        <v>24.8</v>
      </c>
      <c r="S16" s="31"/>
      <c r="T16" s="31"/>
      <c r="U16" s="31">
        <v>46.6</v>
      </c>
      <c r="V16" s="31">
        <v>10.199999999999999</v>
      </c>
      <c r="W16" s="31">
        <v>2</v>
      </c>
      <c r="X16" s="31"/>
      <c r="Y16" s="31"/>
      <c r="Z16" s="31">
        <v>16.399999999999999</v>
      </c>
      <c r="AA16" s="36"/>
    </row>
    <row r="17" spans="2:27" ht="15.75" thickBot="1" x14ac:dyDescent="0.3">
      <c r="B17" s="120" t="s">
        <v>21</v>
      </c>
      <c r="C17" s="102">
        <f>S4</f>
        <v>210</v>
      </c>
      <c r="D17" s="96" t="s">
        <v>48</v>
      </c>
      <c r="E17" s="97">
        <v>0</v>
      </c>
      <c r="F17" s="107">
        <v>0</v>
      </c>
      <c r="G17" s="99">
        <v>0.7</v>
      </c>
      <c r="H17" s="100">
        <v>2650</v>
      </c>
      <c r="I17" s="101"/>
      <c r="J17" s="101"/>
      <c r="K17" s="101"/>
      <c r="L17" s="99"/>
      <c r="N17" s="35"/>
      <c r="O17" s="31">
        <v>3036.75</v>
      </c>
      <c r="P17" s="31" t="s">
        <v>97</v>
      </c>
      <c r="Q17" s="31"/>
      <c r="R17" s="31">
        <v>23.4</v>
      </c>
      <c r="S17" s="31"/>
      <c r="T17" s="31"/>
      <c r="U17" s="31">
        <v>39.5</v>
      </c>
      <c r="V17" s="31">
        <v>27.7</v>
      </c>
      <c r="W17" s="31">
        <v>1</v>
      </c>
      <c r="X17" s="31"/>
      <c r="Y17" s="31"/>
      <c r="Z17" s="31">
        <v>8.6999999999999993</v>
      </c>
      <c r="AA17" s="36"/>
    </row>
    <row r="18" spans="2:27" ht="15.75" thickBot="1" x14ac:dyDescent="0.3">
      <c r="B18" s="121"/>
      <c r="C18" s="125">
        <f>$C$4*C17</f>
        <v>17132686183.494001</v>
      </c>
      <c r="D18" s="138" t="s">
        <v>160</v>
      </c>
      <c r="E18" s="135">
        <f>E13*G13+E14*G14+E15*G15+E16*G16</f>
        <v>0.9456</v>
      </c>
      <c r="F18" s="136" t="s">
        <v>161</v>
      </c>
      <c r="G18" s="137">
        <f>(F13*G13+G14*F14+F15*G15+G16*F16+G17*F17)/1000000</f>
        <v>16200.66805511193</v>
      </c>
      <c r="H18" s="113"/>
      <c r="I18" s="115" t="s">
        <v>17</v>
      </c>
      <c r="J18" s="115"/>
      <c r="K18" s="115"/>
      <c r="L18" s="116"/>
      <c r="N18" s="35"/>
      <c r="O18" s="31">
        <v>3066</v>
      </c>
      <c r="P18" s="31" t="s">
        <v>98</v>
      </c>
      <c r="Q18" s="31"/>
      <c r="R18" s="31">
        <v>10.9</v>
      </c>
      <c r="S18" s="31"/>
      <c r="T18" s="31"/>
      <c r="U18" s="31">
        <v>42.5</v>
      </c>
      <c r="V18" s="31">
        <v>28.5</v>
      </c>
      <c r="W18" s="31">
        <v>3.6</v>
      </c>
      <c r="X18" s="31"/>
      <c r="Y18" s="31"/>
      <c r="Z18" s="31">
        <v>14.5</v>
      </c>
      <c r="AA18" s="36"/>
    </row>
    <row r="19" spans="2:27" x14ac:dyDescent="0.25">
      <c r="B19" s="497" t="s">
        <v>4</v>
      </c>
      <c r="C19" s="95" t="s">
        <v>37</v>
      </c>
      <c r="D19" s="96" t="s">
        <v>45</v>
      </c>
      <c r="E19" s="97">
        <v>0.35</v>
      </c>
      <c r="F19" s="98">
        <f>E19*$C$25</f>
        <v>12135652713.30825</v>
      </c>
      <c r="G19" s="99">
        <v>0.89600000000000002</v>
      </c>
      <c r="H19" s="100">
        <v>2400</v>
      </c>
      <c r="I19" s="101" t="s">
        <v>10</v>
      </c>
      <c r="J19" s="103">
        <v>3.3999999999999998E-9</v>
      </c>
      <c r="K19" s="103">
        <v>3.08</v>
      </c>
      <c r="L19" s="99" t="s">
        <v>14</v>
      </c>
      <c r="N19" s="35" t="s">
        <v>99</v>
      </c>
      <c r="O19" s="31">
        <v>3708</v>
      </c>
      <c r="P19" s="31" t="s">
        <v>100</v>
      </c>
      <c r="Q19" s="31" t="s">
        <v>92</v>
      </c>
      <c r="R19" s="31">
        <v>38.5</v>
      </c>
      <c r="S19" s="31"/>
      <c r="T19" s="31"/>
      <c r="U19" s="31">
        <v>44.2</v>
      </c>
      <c r="V19" s="31">
        <v>17.3</v>
      </c>
      <c r="W19" s="31"/>
      <c r="X19" s="31"/>
      <c r="Y19" s="31"/>
      <c r="Z19" s="31"/>
      <c r="AA19" s="36"/>
    </row>
    <row r="20" spans="2:27" x14ac:dyDescent="0.25">
      <c r="B20" s="497"/>
      <c r="C20" s="102">
        <f>S5</f>
        <v>165</v>
      </c>
      <c r="D20" s="96" t="s">
        <v>46</v>
      </c>
      <c r="E20" s="97">
        <v>0.4</v>
      </c>
      <c r="F20" s="98">
        <f>E20*$C$25</f>
        <v>13869317386.638</v>
      </c>
      <c r="G20" s="99">
        <v>1.3919999999999999</v>
      </c>
      <c r="H20" s="100">
        <v>2400</v>
      </c>
      <c r="I20" s="101" t="s">
        <v>11</v>
      </c>
      <c r="J20" s="103">
        <v>2.6367999999999999E-5</v>
      </c>
      <c r="K20" s="103">
        <v>2.2799999999999999E-3</v>
      </c>
      <c r="L20" s="99" t="s">
        <v>15</v>
      </c>
      <c r="N20" s="35"/>
      <c r="O20" s="31">
        <v>3760</v>
      </c>
      <c r="P20" s="31" t="s">
        <v>101</v>
      </c>
      <c r="Q20" s="31"/>
      <c r="R20" s="31">
        <v>52.8</v>
      </c>
      <c r="S20" s="31"/>
      <c r="T20" s="31"/>
      <c r="U20" s="31">
        <v>32.4</v>
      </c>
      <c r="V20" s="31">
        <v>14.8</v>
      </c>
      <c r="W20" s="31"/>
      <c r="X20" s="31"/>
      <c r="Y20" s="31"/>
      <c r="Z20" s="31"/>
      <c r="AA20" s="36"/>
    </row>
    <row r="21" spans="2:27" x14ac:dyDescent="0.25">
      <c r="B21" s="122" t="s">
        <v>2</v>
      </c>
      <c r="C21" s="95" t="s">
        <v>38</v>
      </c>
      <c r="D21" s="96" t="s">
        <v>51</v>
      </c>
      <c r="E21" s="97">
        <v>0.2</v>
      </c>
      <c r="F21" s="98">
        <f>E21*$C$25</f>
        <v>6934658693.3190002</v>
      </c>
      <c r="G21" s="99">
        <v>2.0659999999999998</v>
      </c>
      <c r="H21" s="100">
        <v>2789</v>
      </c>
      <c r="I21" s="101" t="s">
        <v>12</v>
      </c>
      <c r="J21" s="103">
        <v>9.8313999999999994E-5</v>
      </c>
      <c r="K21" s="103">
        <v>0.04</v>
      </c>
      <c r="L21" s="99" t="s">
        <v>15</v>
      </c>
      <c r="N21" s="35" t="s">
        <v>102</v>
      </c>
      <c r="O21" s="31">
        <v>1429</v>
      </c>
      <c r="P21" s="31" t="s">
        <v>103</v>
      </c>
      <c r="Q21" s="31" t="s">
        <v>104</v>
      </c>
      <c r="R21" s="31">
        <v>3702</v>
      </c>
      <c r="S21" s="31"/>
      <c r="T21" s="31" t="s">
        <v>93</v>
      </c>
      <c r="U21" s="31">
        <v>40.6</v>
      </c>
      <c r="V21" s="31">
        <v>17.3</v>
      </c>
      <c r="W21" s="31">
        <v>2.9</v>
      </c>
      <c r="X21" s="31"/>
      <c r="Y21" s="31"/>
      <c r="Z21" s="31">
        <v>1.8</v>
      </c>
      <c r="AA21" s="36"/>
    </row>
    <row r="22" spans="2:27" x14ac:dyDescent="0.25">
      <c r="B22" s="497" t="s">
        <v>3</v>
      </c>
      <c r="C22" s="102">
        <f>S6</f>
        <v>175</v>
      </c>
      <c r="D22" s="96" t="s">
        <v>47</v>
      </c>
      <c r="E22" s="97">
        <v>0.05</v>
      </c>
      <c r="F22" s="98">
        <f>E22*$C$25</f>
        <v>1733664673.3297501</v>
      </c>
      <c r="G22" s="99">
        <v>0.5</v>
      </c>
      <c r="H22" s="100">
        <v>1200</v>
      </c>
      <c r="I22" s="101" t="s">
        <v>60</v>
      </c>
      <c r="J22" s="103">
        <v>0.35830000000000001</v>
      </c>
      <c r="K22" s="103">
        <v>4</v>
      </c>
      <c r="L22" s="99" t="s">
        <v>15</v>
      </c>
      <c r="N22" s="35"/>
      <c r="O22" s="31">
        <v>1908</v>
      </c>
      <c r="P22" s="31" t="s">
        <v>105</v>
      </c>
      <c r="Q22" s="31"/>
      <c r="R22" s="31">
        <v>52.1</v>
      </c>
      <c r="S22" s="31"/>
      <c r="T22" s="31" t="s">
        <v>93</v>
      </c>
      <c r="U22" s="31">
        <v>34</v>
      </c>
      <c r="V22" s="31">
        <v>6.9</v>
      </c>
      <c r="W22" s="31"/>
      <c r="X22" s="31">
        <v>2.2000000000000002</v>
      </c>
      <c r="Y22" s="31"/>
      <c r="Z22" s="31">
        <v>2.6</v>
      </c>
      <c r="AA22" s="36"/>
    </row>
    <row r="23" spans="2:27" x14ac:dyDescent="0.25">
      <c r="B23" s="497"/>
      <c r="C23" s="102">
        <f>S7</f>
        <v>85</v>
      </c>
      <c r="D23" s="96" t="s">
        <v>48</v>
      </c>
      <c r="E23" s="97">
        <v>0</v>
      </c>
      <c r="F23" s="107">
        <v>0</v>
      </c>
      <c r="G23" s="99">
        <v>0.7</v>
      </c>
      <c r="H23" s="100">
        <v>2650</v>
      </c>
      <c r="I23" s="101" t="s">
        <v>59</v>
      </c>
      <c r="J23" s="103">
        <v>3.6499999999999998E-2</v>
      </c>
      <c r="K23" s="103">
        <v>322</v>
      </c>
      <c r="L23" s="99" t="s">
        <v>15</v>
      </c>
      <c r="N23" s="35" t="s">
        <v>106</v>
      </c>
      <c r="O23" s="31">
        <v>800</v>
      </c>
      <c r="P23" s="31" t="s">
        <v>107</v>
      </c>
      <c r="Q23" s="31" t="s">
        <v>108</v>
      </c>
      <c r="R23" s="31">
        <v>27.4</v>
      </c>
      <c r="S23" s="31">
        <v>2.2000000000000002</v>
      </c>
      <c r="T23" s="31"/>
      <c r="U23" s="31">
        <v>54.1</v>
      </c>
      <c r="V23" s="31">
        <v>8</v>
      </c>
      <c r="W23" s="31">
        <v>8.1</v>
      </c>
      <c r="X23" s="31" t="s">
        <v>93</v>
      </c>
      <c r="Y23" s="31"/>
      <c r="Z23" s="31"/>
      <c r="AA23" s="36"/>
    </row>
    <row r="24" spans="2:27" ht="15.75" thickBot="1" x14ac:dyDescent="0.3">
      <c r="B24" s="497"/>
      <c r="C24" s="128"/>
      <c r="D24" s="96"/>
      <c r="E24" s="104"/>
      <c r="F24" s="107"/>
      <c r="G24" s="99"/>
      <c r="H24" s="99"/>
      <c r="I24" s="101" t="s">
        <v>63</v>
      </c>
      <c r="J24" s="103"/>
      <c r="K24" s="103">
        <v>48.5</v>
      </c>
      <c r="L24" s="99" t="s">
        <v>14</v>
      </c>
      <c r="N24" s="35"/>
      <c r="O24" s="31">
        <v>1550</v>
      </c>
      <c r="P24" s="31" t="s">
        <v>109</v>
      </c>
      <c r="Q24" s="31"/>
      <c r="R24" s="31">
        <v>32.6</v>
      </c>
      <c r="S24" s="31"/>
      <c r="T24" s="31"/>
      <c r="U24" s="31">
        <v>55.6</v>
      </c>
      <c r="V24" s="31">
        <v>8.6999999999999993</v>
      </c>
      <c r="W24" s="31">
        <v>2.9</v>
      </c>
      <c r="X24" s="31"/>
      <c r="Y24" s="31"/>
      <c r="Z24" s="31"/>
      <c r="AA24" s="36"/>
    </row>
    <row r="25" spans="2:27" ht="15.75" thickBot="1" x14ac:dyDescent="0.3">
      <c r="B25" s="121"/>
      <c r="C25" s="125">
        <f>C4*(C20+C22+C23)</f>
        <v>34673293466.595001</v>
      </c>
      <c r="D25" s="138" t="s">
        <v>160</v>
      </c>
      <c r="E25" s="135">
        <f>E19*G19+E20*G20+E21*G21+E22*G22+E23*G23</f>
        <v>1.3085999999999998</v>
      </c>
      <c r="F25" s="136" t="s">
        <v>161</v>
      </c>
      <c r="G25" s="139">
        <f>(F19*G19+G20*F20+F21*G21+G22*F22+G23*F23)/1000000</f>
        <v>45373.471830386217</v>
      </c>
      <c r="H25" s="117"/>
      <c r="I25" s="115" t="s">
        <v>17</v>
      </c>
      <c r="J25" s="115"/>
      <c r="K25" s="123">
        <f>0.0001*H19*(9.52*K21+2.56*K20+3.48*K19)</f>
        <v>2.6652088320000002</v>
      </c>
      <c r="L25" s="116" t="s">
        <v>57</v>
      </c>
      <c r="N25" s="35"/>
      <c r="O25" s="31">
        <v>2480</v>
      </c>
      <c r="P25" s="31" t="s">
        <v>110</v>
      </c>
      <c r="Q25" s="31"/>
      <c r="R25" s="31">
        <v>22.7</v>
      </c>
      <c r="S25" s="31">
        <v>1.1000000000000001</v>
      </c>
      <c r="T25" s="31"/>
      <c r="U25" s="31">
        <v>63.7</v>
      </c>
      <c r="V25" s="31">
        <v>2</v>
      </c>
      <c r="W25" s="31"/>
      <c r="X25" s="31" t="s">
        <v>93</v>
      </c>
      <c r="Y25" s="31"/>
      <c r="Z25" s="31"/>
      <c r="AA25" s="36"/>
    </row>
    <row r="26" spans="2:27" x14ac:dyDescent="0.25">
      <c r="B26" s="497" t="s">
        <v>39</v>
      </c>
      <c r="C26" s="102"/>
      <c r="D26" s="96" t="s">
        <v>49</v>
      </c>
      <c r="E26" s="97" t="s">
        <v>13</v>
      </c>
      <c r="F26" s="97" t="s">
        <v>9</v>
      </c>
      <c r="G26" s="107">
        <v>2.827</v>
      </c>
      <c r="H26" s="108">
        <v>2650</v>
      </c>
      <c r="I26" s="101"/>
      <c r="J26" s="101"/>
      <c r="K26" s="101"/>
      <c r="L26" s="99"/>
      <c r="N26" s="35"/>
      <c r="O26" s="31">
        <v>3104.5</v>
      </c>
      <c r="P26" s="31" t="s">
        <v>111</v>
      </c>
      <c r="Q26" s="31"/>
      <c r="R26" s="31">
        <v>22</v>
      </c>
      <c r="S26" s="31">
        <v>1</v>
      </c>
      <c r="T26" s="31"/>
      <c r="U26" s="31">
        <v>66.599999999999994</v>
      </c>
      <c r="V26" s="31">
        <v>7</v>
      </c>
      <c r="W26" s="31">
        <v>2.8</v>
      </c>
      <c r="X26" s="31">
        <v>0.7</v>
      </c>
      <c r="Y26" s="31"/>
      <c r="Z26" s="31"/>
      <c r="AA26" s="36"/>
    </row>
    <row r="27" spans="2:27" ht="15.75" thickBot="1" x14ac:dyDescent="0.3">
      <c r="B27" s="497"/>
      <c r="C27" s="102"/>
      <c r="D27" s="96" t="s">
        <v>50</v>
      </c>
      <c r="E27" s="97" t="s">
        <v>13</v>
      </c>
      <c r="F27" s="97" t="s">
        <v>9</v>
      </c>
      <c r="G27" s="107">
        <v>0.35799999999999998</v>
      </c>
      <c r="H27" s="108">
        <v>2750</v>
      </c>
      <c r="I27" s="101" t="s">
        <v>58</v>
      </c>
      <c r="J27" s="101"/>
      <c r="K27" s="101"/>
      <c r="L27" s="99"/>
      <c r="N27" s="37"/>
      <c r="O27" s="38">
        <v>3839</v>
      </c>
      <c r="P27" s="38" t="s">
        <v>112</v>
      </c>
      <c r="Q27" s="38"/>
      <c r="R27" s="38">
        <v>27</v>
      </c>
      <c r="S27" s="38"/>
      <c r="T27" s="38"/>
      <c r="U27" s="38">
        <v>47.8</v>
      </c>
      <c r="V27" s="38">
        <v>204</v>
      </c>
      <c r="W27" s="38"/>
      <c r="X27" s="38">
        <v>4.0999999999999996</v>
      </c>
      <c r="Y27" s="38"/>
      <c r="Z27" s="38" t="s">
        <v>93</v>
      </c>
      <c r="AA27" s="39">
        <v>1.7</v>
      </c>
    </row>
    <row r="28" spans="2:27" x14ac:dyDescent="0.25">
      <c r="B28" s="497"/>
      <c r="C28" s="102"/>
      <c r="D28" s="96" t="s">
        <v>45</v>
      </c>
      <c r="E28" s="97">
        <v>0.3</v>
      </c>
      <c r="F28" s="97" t="s">
        <v>9</v>
      </c>
      <c r="G28" s="107">
        <v>0.89600000000000002</v>
      </c>
      <c r="H28" s="108">
        <v>2400</v>
      </c>
      <c r="I28" s="101" t="s">
        <v>12</v>
      </c>
      <c r="J28" s="103">
        <v>9.8313999999999994E-5</v>
      </c>
      <c r="K28" s="103">
        <v>0.78</v>
      </c>
      <c r="L28" s="99" t="s">
        <v>15</v>
      </c>
    </row>
    <row r="29" spans="2:27" x14ac:dyDescent="0.25">
      <c r="B29" s="497"/>
      <c r="C29" s="102">
        <f>3800*G2-(C10+C17+C20+C22+C23)+600</f>
        <v>873.24</v>
      </c>
      <c r="D29" s="96" t="s">
        <v>46</v>
      </c>
      <c r="E29" s="97">
        <v>0.5</v>
      </c>
      <c r="F29" s="97" t="s">
        <v>9</v>
      </c>
      <c r="G29" s="107">
        <v>1.3919999999999999</v>
      </c>
      <c r="H29" s="108">
        <v>2400</v>
      </c>
      <c r="I29" s="101" t="s">
        <v>10</v>
      </c>
      <c r="J29" s="103">
        <v>3.3999999999999998E-9</v>
      </c>
      <c r="K29" s="103">
        <v>19.899999999999999</v>
      </c>
      <c r="L29" s="99" t="s">
        <v>14</v>
      </c>
    </row>
    <row r="30" spans="2:27" x14ac:dyDescent="0.25">
      <c r="B30" s="497"/>
      <c r="C30" s="102"/>
      <c r="D30" s="96" t="s">
        <v>51</v>
      </c>
      <c r="E30" s="97">
        <v>0.2</v>
      </c>
      <c r="F30" s="97" t="s">
        <v>9</v>
      </c>
      <c r="G30" s="107">
        <v>2.0659999999999998</v>
      </c>
      <c r="H30" s="108">
        <v>2789</v>
      </c>
      <c r="I30" s="101" t="s">
        <v>59</v>
      </c>
      <c r="J30" s="103">
        <v>3.6499999999999998E-2</v>
      </c>
      <c r="K30" s="103">
        <v>3280</v>
      </c>
      <c r="L30" s="99" t="s">
        <v>15</v>
      </c>
    </row>
    <row r="31" spans="2:27" x14ac:dyDescent="0.25">
      <c r="B31" s="497"/>
      <c r="C31" s="102"/>
      <c r="D31" s="96" t="s">
        <v>47</v>
      </c>
      <c r="E31" s="97">
        <v>0</v>
      </c>
      <c r="F31" s="97">
        <v>0</v>
      </c>
      <c r="G31" s="107">
        <v>0.5</v>
      </c>
      <c r="H31" s="108">
        <v>1200</v>
      </c>
      <c r="I31" s="101" t="s">
        <v>60</v>
      </c>
      <c r="J31" s="103">
        <v>0.35830000000000001</v>
      </c>
      <c r="K31" s="103">
        <v>13</v>
      </c>
      <c r="L31" s="99" t="s">
        <v>15</v>
      </c>
    </row>
    <row r="32" spans="2:27" ht="15.75" thickBot="1" x14ac:dyDescent="0.3">
      <c r="B32" s="498"/>
      <c r="C32" s="129"/>
      <c r="D32" s="130" t="s">
        <v>48</v>
      </c>
      <c r="E32" s="131">
        <v>0</v>
      </c>
      <c r="F32" s="131">
        <v>0</v>
      </c>
      <c r="G32" s="132">
        <v>0.7</v>
      </c>
      <c r="H32" s="133">
        <v>2650</v>
      </c>
      <c r="I32" s="101" t="s">
        <v>62</v>
      </c>
      <c r="J32" s="103"/>
      <c r="K32" s="103">
        <v>456</v>
      </c>
      <c r="L32" s="99" t="s">
        <v>14</v>
      </c>
    </row>
    <row r="33" spans="2:33" ht="15.75" thickBot="1" x14ac:dyDescent="0.3">
      <c r="B33" s="118"/>
      <c r="C33" s="124">
        <f>C4*C29</f>
        <v>71242604204.163345</v>
      </c>
      <c r="D33" s="138" t="s">
        <v>160</v>
      </c>
      <c r="E33" s="140">
        <f>E28*G28+E29*G29+E30*G30+E31*G31</f>
        <v>1.3779999999999999</v>
      </c>
      <c r="F33" s="140" t="s">
        <v>161</v>
      </c>
      <c r="G33" s="140"/>
      <c r="H33" s="119"/>
      <c r="I33" s="114" t="s">
        <v>17</v>
      </c>
      <c r="J33" s="115"/>
      <c r="K33" s="123">
        <f>0.0001*H27*(9.52*K28+3.48*K9)</f>
        <v>3.7646400000000004</v>
      </c>
      <c r="L33" s="116" t="s">
        <v>57</v>
      </c>
    </row>
    <row r="34" spans="2:33" ht="15.75" thickBot="1" x14ac:dyDescent="0.3">
      <c r="B34" s="109" t="s">
        <v>44</v>
      </c>
      <c r="C34" s="110"/>
      <c r="D34" s="507" t="s">
        <v>56</v>
      </c>
      <c r="E34" s="508"/>
      <c r="F34" s="508"/>
      <c r="G34" s="111">
        <f>G12+G18+G25</f>
        <v>85657.801606295427</v>
      </c>
      <c r="H34" s="112" t="s">
        <v>40</v>
      </c>
      <c r="I34" s="105"/>
      <c r="J34" s="105"/>
      <c r="K34" s="105"/>
      <c r="L34" s="106"/>
    </row>
    <row r="35" spans="2:33" x14ac:dyDescent="0.25">
      <c r="B35" s="14" t="s">
        <v>61</v>
      </c>
      <c r="C35" s="15"/>
      <c r="D35" s="16"/>
      <c r="E35" s="17"/>
      <c r="F35" s="18"/>
      <c r="G35" s="16"/>
      <c r="H35" s="16"/>
      <c r="I35" s="16"/>
      <c r="J35" s="16"/>
      <c r="K35" s="16"/>
      <c r="L35" s="16"/>
    </row>
    <row r="37" spans="2:33" x14ac:dyDescent="0.25">
      <c r="J37" s="20"/>
    </row>
    <row r="38" spans="2:33" x14ac:dyDescent="0.25">
      <c r="J38" s="19"/>
    </row>
    <row r="40" spans="2:33" x14ac:dyDescent="0.25"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6"/>
    </row>
    <row r="41" spans="2:33" ht="15.75" thickBot="1" x14ac:dyDescent="0.3">
      <c r="V41" s="156"/>
      <c r="W41" s="173"/>
      <c r="X41" s="173"/>
      <c r="Y41" s="166"/>
      <c r="Z41" s="166"/>
      <c r="AA41" s="166"/>
      <c r="AB41" s="166"/>
      <c r="AC41" s="166"/>
      <c r="AD41" s="166"/>
      <c r="AE41" s="166"/>
      <c r="AF41" s="166"/>
      <c r="AG41" s="166"/>
    </row>
    <row r="42" spans="2:33" ht="15.75" thickBot="1" x14ac:dyDescent="0.3">
      <c r="V42" s="156"/>
      <c r="W42" s="173"/>
      <c r="X42" s="173"/>
      <c r="Y42" s="156"/>
      <c r="Z42" s="147" t="s">
        <v>154</v>
      </c>
      <c r="AA42" s="148" t="s">
        <v>155</v>
      </c>
      <c r="AB42" s="149" t="s">
        <v>168</v>
      </c>
      <c r="AC42" s="149" t="s">
        <v>169</v>
      </c>
      <c r="AD42" s="148" t="s">
        <v>163</v>
      </c>
      <c r="AE42" s="149" t="s">
        <v>122</v>
      </c>
      <c r="AF42" s="150" t="s">
        <v>170</v>
      </c>
      <c r="AG42" s="16"/>
    </row>
    <row r="43" spans="2:33" ht="15.75" thickBot="1" x14ac:dyDescent="0.3">
      <c r="V43" s="156"/>
      <c r="W43" s="188" t="s">
        <v>53</v>
      </c>
      <c r="X43" s="189">
        <v>81584220</v>
      </c>
      <c r="Y43" s="190" t="s">
        <v>18</v>
      </c>
      <c r="Z43" s="157">
        <v>0.89600000000000002</v>
      </c>
      <c r="AA43" s="158">
        <v>0.89600000000000002</v>
      </c>
      <c r="AB43" s="158">
        <v>1.3919999999999999</v>
      </c>
      <c r="AC43" s="158">
        <v>1.3919999999999999</v>
      </c>
      <c r="AD43" s="158">
        <v>2.0659999999999998</v>
      </c>
      <c r="AE43" s="158">
        <v>0.7</v>
      </c>
      <c r="AF43" s="159">
        <v>0.5</v>
      </c>
      <c r="AG43" s="16"/>
    </row>
    <row r="44" spans="2:33" ht="15.75" thickBot="1" x14ac:dyDescent="0.3">
      <c r="V44" s="156"/>
      <c r="W44" s="177" t="s">
        <v>31</v>
      </c>
      <c r="X44" s="170" t="s">
        <v>119</v>
      </c>
      <c r="Y44" s="171" t="s">
        <v>175</v>
      </c>
      <c r="Z44" s="500" t="s">
        <v>159</v>
      </c>
      <c r="AA44" s="501"/>
      <c r="AB44" s="501"/>
      <c r="AC44" s="501"/>
      <c r="AD44" s="501"/>
      <c r="AE44" s="501"/>
      <c r="AF44" s="502"/>
      <c r="AG44" s="16"/>
    </row>
    <row r="45" spans="2:33" x14ac:dyDescent="0.25">
      <c r="V45" s="156"/>
      <c r="W45" s="178" t="s">
        <v>33</v>
      </c>
      <c r="X45" s="179">
        <v>250</v>
      </c>
      <c r="Y45" s="174">
        <f>$X$43*X45</f>
        <v>20396055000</v>
      </c>
      <c r="Z45" s="176">
        <v>35</v>
      </c>
      <c r="AA45" s="169"/>
      <c r="AB45" s="169">
        <v>30</v>
      </c>
      <c r="AC45" s="169">
        <v>30</v>
      </c>
      <c r="AD45" s="169"/>
      <c r="AE45" s="169">
        <v>1</v>
      </c>
      <c r="AF45" s="93">
        <v>5</v>
      </c>
      <c r="AG45" s="16"/>
    </row>
    <row r="46" spans="2:33" x14ac:dyDescent="0.25">
      <c r="V46" s="156"/>
      <c r="W46" s="180" t="s">
        <v>24</v>
      </c>
      <c r="X46" s="181">
        <f>460-X45</f>
        <v>210</v>
      </c>
      <c r="Y46" s="175">
        <f>$X$43*X46</f>
        <v>17132686200</v>
      </c>
      <c r="Z46" s="161"/>
      <c r="AA46" s="160">
        <v>90</v>
      </c>
      <c r="AB46" s="160">
        <v>5</v>
      </c>
      <c r="AC46" s="160">
        <v>5</v>
      </c>
      <c r="AD46" s="160"/>
      <c r="AE46" s="160"/>
      <c r="AF46" s="94"/>
      <c r="AG46" s="16"/>
    </row>
    <row r="47" spans="2:33" x14ac:dyDescent="0.25">
      <c r="V47" s="156"/>
      <c r="W47" s="180" t="s">
        <v>25</v>
      </c>
      <c r="X47" s="181">
        <f>625-(X46+X45)</f>
        <v>165</v>
      </c>
      <c r="Y47" s="175">
        <f>$X$43*X47</f>
        <v>13461396300</v>
      </c>
      <c r="Z47" s="161">
        <v>39</v>
      </c>
      <c r="AA47" s="160"/>
      <c r="AB47" s="160">
        <v>20</v>
      </c>
      <c r="AC47" s="160">
        <v>20</v>
      </c>
      <c r="AD47" s="160">
        <v>20</v>
      </c>
      <c r="AE47" s="160"/>
      <c r="AF47" s="94">
        <v>1</v>
      </c>
      <c r="AG47" s="16"/>
    </row>
    <row r="48" spans="2:33" x14ac:dyDescent="0.25">
      <c r="V48" s="156"/>
      <c r="W48" s="180" t="s">
        <v>26</v>
      </c>
      <c r="X48" s="181">
        <f>800-(X47+X46+X45)</f>
        <v>175</v>
      </c>
      <c r="Y48" s="175">
        <f>$X$43*X48</f>
        <v>14277238500</v>
      </c>
      <c r="Z48" s="161">
        <v>35</v>
      </c>
      <c r="AA48" s="160"/>
      <c r="AB48" s="160">
        <v>20</v>
      </c>
      <c r="AC48" s="160">
        <v>20</v>
      </c>
      <c r="AD48" s="160">
        <v>20</v>
      </c>
      <c r="AE48" s="160"/>
      <c r="AF48" s="94">
        <v>5</v>
      </c>
      <c r="AG48" s="16"/>
    </row>
    <row r="49" spans="22:33" ht="15.75" thickBot="1" x14ac:dyDescent="0.3">
      <c r="V49" s="156"/>
      <c r="W49" s="182" t="s">
        <v>27</v>
      </c>
      <c r="X49" s="183">
        <f>885-(X48+X47+X46+X45)</f>
        <v>85</v>
      </c>
      <c r="Y49" s="184">
        <f>$X$43*X49</f>
        <v>6934658700</v>
      </c>
      <c r="Z49" s="185">
        <v>39</v>
      </c>
      <c r="AA49" s="186"/>
      <c r="AB49" s="186">
        <v>20</v>
      </c>
      <c r="AC49" s="186">
        <v>20</v>
      </c>
      <c r="AD49" s="186">
        <v>20</v>
      </c>
      <c r="AE49" s="186"/>
      <c r="AF49" s="187">
        <v>1</v>
      </c>
      <c r="AG49" s="16"/>
    </row>
    <row r="50" spans="22:33" ht="15.75" thickBot="1" x14ac:dyDescent="0.3">
      <c r="V50" s="156"/>
      <c r="W50" s="156"/>
      <c r="X50" s="156"/>
      <c r="Y50" s="156"/>
      <c r="Z50" s="191"/>
      <c r="AA50" s="156"/>
      <c r="AB50" s="156"/>
      <c r="AC50" s="156"/>
      <c r="AD50" s="156"/>
      <c r="AE50" s="156"/>
      <c r="AF50" s="156"/>
      <c r="AG50" s="156"/>
    </row>
    <row r="51" spans="22:33" ht="15.75" thickBot="1" x14ac:dyDescent="0.3">
      <c r="V51" s="156"/>
      <c r="W51" s="163" t="s">
        <v>31</v>
      </c>
      <c r="X51" s="177" t="s">
        <v>171</v>
      </c>
      <c r="Y51" s="177" t="s">
        <v>178</v>
      </c>
      <c r="Z51" s="192" t="s">
        <v>120</v>
      </c>
      <c r="AA51" s="156"/>
      <c r="AB51" s="156"/>
      <c r="AC51" s="156"/>
      <c r="AD51" s="156"/>
      <c r="AE51" s="156"/>
      <c r="AF51" s="156"/>
      <c r="AG51" s="16"/>
    </row>
    <row r="52" spans="22:33" x14ac:dyDescent="0.25">
      <c r="V52" s="156"/>
      <c r="W52" s="178" t="s">
        <v>33</v>
      </c>
      <c r="X52" s="197">
        <f>SUMPRODUCT($Z$43:$AF$43,Z45:AF45)/100</f>
        <v>1.1808000000000001</v>
      </c>
      <c r="Y52" s="201">
        <f>X52*Y45/1000000</f>
        <v>24083.661744000001</v>
      </c>
      <c r="Z52" s="194">
        <v>1.9</v>
      </c>
      <c r="AA52" s="156"/>
      <c r="AB52" s="156"/>
      <c r="AC52" s="156"/>
      <c r="AD52" s="156"/>
      <c r="AE52" s="156"/>
      <c r="AF52" s="156"/>
      <c r="AG52" s="16"/>
    </row>
    <row r="53" spans="22:33" x14ac:dyDescent="0.25">
      <c r="V53" s="156"/>
      <c r="W53" s="180" t="s">
        <v>24</v>
      </c>
      <c r="X53" s="198">
        <f>SUMPRODUCT($Z$43:$AF$43,Z46:AF46)/100</f>
        <v>0.94559999999999989</v>
      </c>
      <c r="Y53" s="202">
        <f>X53*Y46/1000000</f>
        <v>16200.668070719998</v>
      </c>
      <c r="Z53" s="195">
        <v>2.91</v>
      </c>
      <c r="AA53" s="156"/>
      <c r="AB53" s="156"/>
      <c r="AC53" s="156"/>
      <c r="AD53" s="156"/>
      <c r="AE53" s="156"/>
      <c r="AF53" s="156"/>
      <c r="AG53" s="16"/>
    </row>
    <row r="54" spans="22:33" x14ac:dyDescent="0.25">
      <c r="V54" s="156"/>
      <c r="W54" s="180" t="s">
        <v>25</v>
      </c>
      <c r="X54" s="198">
        <f>SUMPRODUCT($Z$43:$AF$43,Z47:AF47)/100</f>
        <v>1.3244399999999998</v>
      </c>
      <c r="Y54" s="202">
        <f>X54*Y47/1000000</f>
        <v>17828.811715571999</v>
      </c>
      <c r="Z54" s="195">
        <v>2.25</v>
      </c>
      <c r="AA54" s="156"/>
      <c r="AB54" s="156"/>
      <c r="AC54" s="156"/>
      <c r="AD54" s="156"/>
      <c r="AE54" s="156"/>
      <c r="AF54" s="156"/>
      <c r="AG54" s="16"/>
    </row>
    <row r="55" spans="22:33" x14ac:dyDescent="0.25">
      <c r="V55" s="156"/>
      <c r="W55" s="180" t="s">
        <v>26</v>
      </c>
      <c r="X55" s="198">
        <f>SUMPRODUCT($Z$43:$AF$43,Z48:AF48)/100</f>
        <v>1.3085999999999998</v>
      </c>
      <c r="Y55" s="202">
        <f>X55*Y48/1000000</f>
        <v>18683.194301099997</v>
      </c>
      <c r="Z55" s="195">
        <v>2.2400000000000002</v>
      </c>
      <c r="AA55" s="156"/>
      <c r="AB55" s="156"/>
      <c r="AC55" s="156"/>
      <c r="AD55" s="156"/>
      <c r="AE55" s="156"/>
      <c r="AF55" s="156"/>
      <c r="AG55" s="16"/>
    </row>
    <row r="56" spans="22:33" ht="15.75" thickBot="1" x14ac:dyDescent="0.3">
      <c r="V56" s="156"/>
      <c r="W56" s="182" t="s">
        <v>27</v>
      </c>
      <c r="X56" s="199">
        <f>SUMPRODUCT($Z$43:$AF$43,Z49:AF49)/100</f>
        <v>1.3244399999999998</v>
      </c>
      <c r="Y56" s="203">
        <f>X56*Y49/1000000</f>
        <v>9184.5393686279986</v>
      </c>
      <c r="Z56" s="196">
        <v>1.88</v>
      </c>
      <c r="AA56" s="156"/>
      <c r="AB56" s="156"/>
      <c r="AC56" s="156"/>
      <c r="AD56" s="156"/>
      <c r="AE56" s="156"/>
      <c r="AF56" s="156"/>
      <c r="AG56" s="16"/>
    </row>
    <row r="57" spans="22:33" ht="15.75" thickBot="1" x14ac:dyDescent="0.3">
      <c r="V57" s="156"/>
      <c r="W57" s="172" t="s">
        <v>176</v>
      </c>
      <c r="X57" s="200">
        <f>AVERAGE(X52:X56)</f>
        <v>1.2167759999999999</v>
      </c>
      <c r="Y57" s="204">
        <f>SUM(Y52:Y56)</f>
        <v>85980.875200019989</v>
      </c>
      <c r="Z57" s="205">
        <f>AVERAGE(Z52:Z56)</f>
        <v>2.2359999999999998</v>
      </c>
      <c r="AA57" s="156"/>
      <c r="AB57" s="156"/>
      <c r="AC57" s="156"/>
      <c r="AD57" s="156"/>
      <c r="AE57" s="156"/>
      <c r="AF57" s="156"/>
      <c r="AG57" s="16"/>
    </row>
    <row r="58" spans="22:33" x14ac:dyDescent="0.25">
      <c r="V58" s="156"/>
      <c r="W58" s="156"/>
      <c r="X58" s="168"/>
      <c r="Y58" s="168"/>
      <c r="Z58" s="168"/>
      <c r="AA58" s="156"/>
      <c r="AB58" s="156"/>
      <c r="AC58" s="156"/>
      <c r="AD58" s="156"/>
      <c r="AE58" s="156"/>
      <c r="AF58" s="156"/>
      <c r="AG58" s="16"/>
    </row>
    <row r="59" spans="22:33" x14ac:dyDescent="0.25">
      <c r="V59" s="156"/>
      <c r="W59" s="499" t="s">
        <v>177</v>
      </c>
      <c r="X59" s="499"/>
      <c r="Y59" s="499"/>
      <c r="Z59" s="499"/>
      <c r="AA59" s="499"/>
      <c r="AB59" s="499"/>
      <c r="AC59" s="499"/>
      <c r="AD59" s="499"/>
      <c r="AE59" s="499"/>
      <c r="AF59" s="156"/>
      <c r="AG59" s="16"/>
    </row>
    <row r="60" spans="22:33" x14ac:dyDescent="0.25">
      <c r="V60" s="156"/>
      <c r="W60" s="193"/>
      <c r="X60" s="193"/>
      <c r="Y60" s="193"/>
      <c r="Z60" s="193"/>
      <c r="AA60" s="193"/>
      <c r="AB60" s="193"/>
      <c r="AC60" s="193"/>
      <c r="AD60" s="193"/>
      <c r="AE60" s="193"/>
      <c r="AF60" s="156"/>
      <c r="AG60" s="16"/>
    </row>
    <row r="61" spans="22:33" x14ac:dyDescent="0.25">
      <c r="V61" s="156"/>
      <c r="W61" s="156"/>
      <c r="X61" s="156">
        <f>X57/1000000</f>
        <v>1.2167759999999999E-6</v>
      </c>
      <c r="Y61" s="156" t="s">
        <v>179</v>
      </c>
      <c r="Z61" s="156"/>
      <c r="AA61" s="156"/>
      <c r="AB61" s="156"/>
      <c r="AC61" s="156"/>
      <c r="AD61" s="156"/>
      <c r="AE61" s="156"/>
      <c r="AF61" s="156"/>
      <c r="AG61" s="16"/>
    </row>
    <row r="62" spans="22:33" x14ac:dyDescent="0.25">
      <c r="V62" s="156"/>
      <c r="W62" s="156"/>
      <c r="X62" s="156">
        <f>1000*2200</f>
        <v>2200000</v>
      </c>
      <c r="Y62" s="156" t="s">
        <v>164</v>
      </c>
      <c r="Z62" s="156"/>
      <c r="AA62" s="156"/>
      <c r="AB62" s="156"/>
      <c r="AC62" s="156"/>
      <c r="AD62" s="156"/>
      <c r="AE62" s="156"/>
      <c r="AF62" s="156"/>
      <c r="AG62" s="16"/>
    </row>
    <row r="63" spans="22:33" x14ac:dyDescent="0.25">
      <c r="V63" s="16"/>
      <c r="W63" s="16"/>
      <c r="X63" s="16">
        <f>X62*X61</f>
        <v>2.6769071999999996</v>
      </c>
      <c r="Y63" s="16" t="s">
        <v>40</v>
      </c>
      <c r="Z63" s="16"/>
      <c r="AA63" s="16"/>
      <c r="AB63" s="16"/>
      <c r="AC63" s="16"/>
      <c r="AD63" s="16"/>
      <c r="AE63" s="16"/>
      <c r="AF63" s="16"/>
      <c r="AG63" s="16"/>
    </row>
    <row r="64" spans="22:33" x14ac:dyDescent="0.25"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5:33" x14ac:dyDescent="0.25"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5:33" x14ac:dyDescent="0.25"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5:33" x14ac:dyDescent="0.25"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76" spans="5:33" x14ac:dyDescent="0.25">
      <c r="E76"/>
    </row>
  </sheetData>
  <mergeCells count="12">
    <mergeCell ref="W59:AE59"/>
    <mergeCell ref="Z44:AF44"/>
    <mergeCell ref="N11:U11"/>
    <mergeCell ref="Z2:AG2"/>
    <mergeCell ref="D34:F34"/>
    <mergeCell ref="K5:L5"/>
    <mergeCell ref="I2:L4"/>
    <mergeCell ref="B19:B20"/>
    <mergeCell ref="B22:B24"/>
    <mergeCell ref="B26:B32"/>
    <mergeCell ref="B6:B9"/>
    <mergeCell ref="B13:B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zoomScale="70" zoomScaleNormal="70" workbookViewId="0">
      <selection activeCell="B15" sqref="B15"/>
    </sheetView>
  </sheetViews>
  <sheetFormatPr defaultRowHeight="15" x14ac:dyDescent="0.25"/>
  <cols>
    <col min="1" max="1" width="18.28515625" customWidth="1"/>
    <col min="2" max="2" width="79.140625" customWidth="1"/>
    <col min="4" max="4" width="77.7109375" bestFit="1" customWidth="1"/>
    <col min="13" max="14" width="17.28515625" bestFit="1" customWidth="1"/>
    <col min="18" max="19" width="20.28515625" style="242" bestFit="1" customWidth="1"/>
  </cols>
  <sheetData>
    <row r="1" spans="1:4" ht="15.75" thickBot="1" x14ac:dyDescent="0.3">
      <c r="B1" s="246" t="s">
        <v>298</v>
      </c>
      <c r="D1" s="245" t="s">
        <v>299</v>
      </c>
    </row>
    <row r="2" spans="1:4" x14ac:dyDescent="0.25">
      <c r="A2" s="91" t="s">
        <v>153</v>
      </c>
      <c r="B2" s="85" t="s">
        <v>152</v>
      </c>
      <c r="D2" s="92" t="s">
        <v>300</v>
      </c>
    </row>
    <row r="3" spans="1:4" x14ac:dyDescent="0.25">
      <c r="A3" s="92" t="s">
        <v>0</v>
      </c>
      <c r="B3" s="86" t="s">
        <v>151</v>
      </c>
      <c r="D3" s="92" t="s">
        <v>301</v>
      </c>
    </row>
    <row r="4" spans="1:4" x14ac:dyDescent="0.25">
      <c r="A4" s="520" t="s">
        <v>150</v>
      </c>
      <c r="B4" s="86" t="s">
        <v>149</v>
      </c>
      <c r="D4" s="92" t="s">
        <v>302</v>
      </c>
    </row>
    <row r="5" spans="1:4" x14ac:dyDescent="0.25">
      <c r="A5" s="520"/>
      <c r="B5" s="86" t="s">
        <v>148</v>
      </c>
      <c r="D5" s="243" t="s">
        <v>303</v>
      </c>
    </row>
    <row r="6" spans="1:4" ht="15.75" thickBot="1" x14ac:dyDescent="0.3">
      <c r="A6" s="520"/>
      <c r="B6" s="86" t="s">
        <v>65</v>
      </c>
      <c r="D6" s="244" t="s">
        <v>304</v>
      </c>
    </row>
    <row r="7" spans="1:4" x14ac:dyDescent="0.25">
      <c r="A7" s="520"/>
      <c r="B7" s="86" t="s">
        <v>66</v>
      </c>
    </row>
    <row r="8" spans="1:4" x14ac:dyDescent="0.25">
      <c r="A8" s="520"/>
      <c r="B8" s="87" t="s">
        <v>147</v>
      </c>
    </row>
    <row r="9" spans="1:4" x14ac:dyDescent="0.25">
      <c r="A9" s="521" t="s">
        <v>146</v>
      </c>
      <c r="B9" s="88" t="s">
        <v>145</v>
      </c>
    </row>
    <row r="10" spans="1:4" ht="30" x14ac:dyDescent="0.25">
      <c r="A10" s="521"/>
      <c r="B10" s="88" t="s">
        <v>157</v>
      </c>
    </row>
    <row r="11" spans="1:4" x14ac:dyDescent="0.25">
      <c r="A11" s="521"/>
      <c r="B11" s="89" t="s">
        <v>144</v>
      </c>
    </row>
    <row r="12" spans="1:4" x14ac:dyDescent="0.25">
      <c r="A12" s="521"/>
      <c r="B12" s="87" t="s">
        <v>156</v>
      </c>
    </row>
    <row r="13" spans="1:4" x14ac:dyDescent="0.25">
      <c r="A13" s="521"/>
      <c r="B13" s="87" t="s">
        <v>143</v>
      </c>
    </row>
    <row r="14" spans="1:4" x14ac:dyDescent="0.25">
      <c r="A14" s="521" t="s">
        <v>142</v>
      </c>
      <c r="B14" s="87" t="s">
        <v>141</v>
      </c>
    </row>
    <row r="15" spans="1:4" x14ac:dyDescent="0.25">
      <c r="A15" s="521"/>
      <c r="B15" s="86" t="s">
        <v>140</v>
      </c>
    </row>
    <row r="16" spans="1:4" x14ac:dyDescent="0.25">
      <c r="A16" s="521"/>
      <c r="B16" s="86" t="s">
        <v>139</v>
      </c>
    </row>
    <row r="17" spans="1:2" x14ac:dyDescent="0.25">
      <c r="A17" s="521" t="s">
        <v>138</v>
      </c>
      <c r="B17" s="87" t="s">
        <v>137</v>
      </c>
    </row>
    <row r="18" spans="1:2" x14ac:dyDescent="0.25">
      <c r="A18" s="521"/>
      <c r="B18" s="87" t="s">
        <v>136</v>
      </c>
    </row>
    <row r="19" spans="1:2" x14ac:dyDescent="0.25">
      <c r="A19" s="521"/>
      <c r="B19" s="87" t="s">
        <v>135</v>
      </c>
    </row>
    <row r="20" spans="1:2" x14ac:dyDescent="0.25">
      <c r="A20" s="521"/>
      <c r="B20" s="87" t="s">
        <v>134</v>
      </c>
    </row>
    <row r="21" spans="1:2" x14ac:dyDescent="0.25">
      <c r="A21" s="521"/>
      <c r="B21" s="87"/>
    </row>
    <row r="22" spans="1:2" x14ac:dyDescent="0.25">
      <c r="A22" s="521"/>
      <c r="B22" s="87" t="s">
        <v>133</v>
      </c>
    </row>
    <row r="23" spans="1:2" x14ac:dyDescent="0.25">
      <c r="A23" s="521"/>
      <c r="B23" s="87" t="s">
        <v>132</v>
      </c>
    </row>
    <row r="24" spans="1:2" x14ac:dyDescent="0.25">
      <c r="A24" s="521"/>
      <c r="B24" s="87" t="s">
        <v>131</v>
      </c>
    </row>
    <row r="25" spans="1:2" x14ac:dyDescent="0.25">
      <c r="A25" s="521"/>
      <c r="B25" s="87" t="s">
        <v>130</v>
      </c>
    </row>
    <row r="26" spans="1:2" x14ac:dyDescent="0.25">
      <c r="A26" s="521"/>
      <c r="B26" s="87" t="s">
        <v>129</v>
      </c>
    </row>
    <row r="27" spans="1:2" x14ac:dyDescent="0.25">
      <c r="A27" s="521"/>
      <c r="B27" s="87" t="s">
        <v>128</v>
      </c>
    </row>
    <row r="28" spans="1:2" x14ac:dyDescent="0.25">
      <c r="A28" s="521"/>
      <c r="B28" s="87" t="s">
        <v>127</v>
      </c>
    </row>
    <row r="29" spans="1:2" x14ac:dyDescent="0.25">
      <c r="A29" s="521"/>
      <c r="B29" s="87" t="s">
        <v>126</v>
      </c>
    </row>
    <row r="30" spans="1:2" x14ac:dyDescent="0.25">
      <c r="A30" s="521"/>
      <c r="B30" s="87" t="s">
        <v>125</v>
      </c>
    </row>
    <row r="31" spans="1:2" ht="15.75" thickBot="1" x14ac:dyDescent="0.3">
      <c r="A31" s="522"/>
      <c r="B31" s="90" t="s">
        <v>124</v>
      </c>
    </row>
    <row r="32" spans="1:2" x14ac:dyDescent="0.25">
      <c r="A32" s="318" t="s">
        <v>158</v>
      </c>
      <c r="B32" s="84"/>
    </row>
    <row r="36" spans="3:3" x14ac:dyDescent="0.25">
      <c r="C36" s="53"/>
    </row>
    <row r="37" spans="3:3" x14ac:dyDescent="0.25">
      <c r="C37" s="53"/>
    </row>
    <row r="38" spans="3:3" x14ac:dyDescent="0.25">
      <c r="C38" s="53"/>
    </row>
    <row r="39" spans="3:3" ht="15.6" customHeight="1" x14ac:dyDescent="0.25">
      <c r="C39" s="53"/>
    </row>
    <row r="40" spans="3:3" x14ac:dyDescent="0.25">
      <c r="C40" s="53"/>
    </row>
    <row r="41" spans="3:3" x14ac:dyDescent="0.25">
      <c r="C41" s="53"/>
    </row>
    <row r="42" spans="3:3" x14ac:dyDescent="0.25">
      <c r="C42" s="53"/>
    </row>
    <row r="43" spans="3:3" x14ac:dyDescent="0.25">
      <c r="C43" s="53"/>
    </row>
    <row r="44" spans="3:3" x14ac:dyDescent="0.25">
      <c r="C44" s="53"/>
    </row>
    <row r="45" spans="3:3" x14ac:dyDescent="0.25">
      <c r="C45" s="53"/>
    </row>
    <row r="47" spans="3:3" x14ac:dyDescent="0.25">
      <c r="C47" s="53"/>
    </row>
    <row r="48" spans="3:3" x14ac:dyDescent="0.25">
      <c r="C48" s="53"/>
    </row>
    <row r="49" spans="3:3" x14ac:dyDescent="0.25">
      <c r="C49" s="53"/>
    </row>
    <row r="50" spans="3:3" x14ac:dyDescent="0.25">
      <c r="C50" s="53"/>
    </row>
    <row r="51" spans="3:3" x14ac:dyDescent="0.25">
      <c r="C51" s="53"/>
    </row>
    <row r="52" spans="3:3" x14ac:dyDescent="0.25">
      <c r="C52" s="53"/>
    </row>
    <row r="172" spans="2:2" x14ac:dyDescent="0.25">
      <c r="B172" t="s">
        <v>64</v>
      </c>
    </row>
  </sheetData>
  <mergeCells count="4">
    <mergeCell ref="A4:A8"/>
    <mergeCell ref="A17:A31"/>
    <mergeCell ref="A14:A16"/>
    <mergeCell ref="A9:A13"/>
  </mergeCells>
  <hyperlinks>
    <hyperlink ref="D5" r:id="rId1" display="http://earthwise.bgs.ac.uk/index.php/Westphalian_Coal_Measures,_Carboniferous,_Northern_England"/>
    <hyperlink ref="A32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5"/>
  <sheetViews>
    <sheetView topLeftCell="A10" zoomScale="85" zoomScaleNormal="85" workbookViewId="0">
      <selection activeCell="G66" sqref="G66"/>
    </sheetView>
  </sheetViews>
  <sheetFormatPr defaultRowHeight="15" x14ac:dyDescent="0.25"/>
  <cols>
    <col min="1" max="1" width="25.28515625" bestFit="1" customWidth="1"/>
    <col min="2" max="2" width="13.7109375" customWidth="1"/>
    <col min="3" max="3" width="13.140625" bestFit="1" customWidth="1"/>
    <col min="4" max="4" width="9.7109375" bestFit="1" customWidth="1"/>
  </cols>
  <sheetData>
    <row r="1" spans="1:27" x14ac:dyDescent="0.25">
      <c r="A1" s="222" t="s">
        <v>329</v>
      </c>
      <c r="F1" s="222" t="s">
        <v>328</v>
      </c>
      <c r="K1" s="367" t="s">
        <v>381</v>
      </c>
      <c r="L1" s="337" t="s">
        <v>362</v>
      </c>
      <c r="M1" s="368" t="s">
        <v>360</v>
      </c>
      <c r="N1" s="368" t="s">
        <v>361</v>
      </c>
    </row>
    <row r="2" spans="1:27" ht="15.75" thickBot="1" x14ac:dyDescent="0.3">
      <c r="A2" s="222" t="s">
        <v>328</v>
      </c>
      <c r="B2" s="284" t="s">
        <v>327</v>
      </c>
      <c r="C2" s="284" t="s">
        <v>326</v>
      </c>
      <c r="D2" s="222" t="s">
        <v>325</v>
      </c>
      <c r="F2" s="222" t="s">
        <v>325</v>
      </c>
      <c r="G2" t="s">
        <v>363</v>
      </c>
      <c r="K2" s="193"/>
      <c r="L2" s="233" t="s">
        <v>395</v>
      </c>
      <c r="M2" s="320">
        <v>0</v>
      </c>
      <c r="N2" s="320">
        <v>0</v>
      </c>
    </row>
    <row r="3" spans="1:27" x14ac:dyDescent="0.25">
      <c r="A3" s="53" t="s">
        <v>271</v>
      </c>
      <c r="B3" s="53">
        <v>8.3000000000000007</v>
      </c>
      <c r="C3" s="53">
        <v>12.5</v>
      </c>
      <c r="D3">
        <v>10</v>
      </c>
      <c r="F3">
        <f>AVERAGE(B3:C3)</f>
        <v>10.4</v>
      </c>
      <c r="G3" s="328">
        <v>10.5</v>
      </c>
      <c r="K3" s="193"/>
      <c r="L3" s="152" t="s">
        <v>271</v>
      </c>
      <c r="M3" s="321">
        <v>1</v>
      </c>
      <c r="N3" s="321">
        <v>0.5</v>
      </c>
    </row>
    <row r="4" spans="1:27" x14ac:dyDescent="0.25">
      <c r="A4" s="53" t="s">
        <v>277</v>
      </c>
      <c r="B4" s="53">
        <v>0.6</v>
      </c>
      <c r="C4" s="53">
        <v>1.3</v>
      </c>
      <c r="D4">
        <v>1</v>
      </c>
      <c r="F4">
        <f t="shared" ref="F4:F11" si="0">AVERAGE(B4:C4)</f>
        <v>0.95</v>
      </c>
      <c r="G4" s="329">
        <v>1</v>
      </c>
      <c r="K4" s="193"/>
      <c r="L4" s="152" t="s">
        <v>122</v>
      </c>
      <c r="M4" s="321">
        <v>1</v>
      </c>
      <c r="N4" s="321">
        <v>0.5</v>
      </c>
    </row>
    <row r="5" spans="1:27" x14ac:dyDescent="0.25">
      <c r="A5" s="53" t="s">
        <v>280</v>
      </c>
      <c r="B5" s="53">
        <v>13.2</v>
      </c>
      <c r="C5" s="53">
        <v>19.399999999999999</v>
      </c>
      <c r="D5">
        <v>16</v>
      </c>
      <c r="F5">
        <f t="shared" si="0"/>
        <v>16.299999999999997</v>
      </c>
      <c r="G5" s="329">
        <v>16</v>
      </c>
      <c r="K5" s="193"/>
      <c r="L5" s="152" t="s">
        <v>396</v>
      </c>
      <c r="M5" s="321">
        <v>1</v>
      </c>
      <c r="N5" s="321">
        <v>1.5</v>
      </c>
    </row>
    <row r="6" spans="1:27" x14ac:dyDescent="0.25">
      <c r="A6" s="53" t="s">
        <v>281</v>
      </c>
      <c r="B6" s="53">
        <v>1.4</v>
      </c>
      <c r="F6">
        <f t="shared" si="0"/>
        <v>1.4</v>
      </c>
      <c r="G6" s="329">
        <v>1</v>
      </c>
      <c r="K6" s="193"/>
      <c r="L6" s="152" t="s">
        <v>354</v>
      </c>
      <c r="M6" s="321">
        <v>50</v>
      </c>
      <c r="N6" s="321">
        <v>56.5</v>
      </c>
    </row>
    <row r="7" spans="1:27" x14ac:dyDescent="0.25">
      <c r="A7" s="53" t="s">
        <v>284</v>
      </c>
      <c r="B7" s="53">
        <v>51.6</v>
      </c>
      <c r="C7" s="53">
        <v>56.5</v>
      </c>
      <c r="D7">
        <v>55</v>
      </c>
      <c r="F7">
        <f t="shared" si="0"/>
        <v>54.05</v>
      </c>
      <c r="G7" s="329">
        <v>54</v>
      </c>
      <c r="K7" s="193"/>
      <c r="L7" s="152" t="s">
        <v>355</v>
      </c>
      <c r="M7" s="321">
        <v>14</v>
      </c>
      <c r="N7" s="321">
        <v>17</v>
      </c>
    </row>
    <row r="8" spans="1:27" x14ac:dyDescent="0.25">
      <c r="A8" s="53" t="s">
        <v>285</v>
      </c>
      <c r="B8" s="53">
        <v>4.4000000000000004</v>
      </c>
      <c r="C8" s="53">
        <v>1</v>
      </c>
      <c r="D8">
        <v>3</v>
      </c>
      <c r="F8">
        <f t="shared" si="0"/>
        <v>2.7</v>
      </c>
      <c r="G8" s="329">
        <v>2.5</v>
      </c>
      <c r="K8" s="193"/>
      <c r="L8" s="152" t="s">
        <v>356</v>
      </c>
      <c r="M8" s="321">
        <v>26.5</v>
      </c>
      <c r="N8" s="321">
        <v>14</v>
      </c>
    </row>
    <row r="9" spans="1:27" x14ac:dyDescent="0.25">
      <c r="A9" s="53" t="s">
        <v>173</v>
      </c>
      <c r="B9" s="53">
        <v>3.7</v>
      </c>
      <c r="C9" s="53">
        <v>0.5</v>
      </c>
      <c r="D9">
        <v>1</v>
      </c>
      <c r="F9">
        <f>AVERAGE(B9:C9)</f>
        <v>2.1</v>
      </c>
      <c r="G9" s="329">
        <v>2</v>
      </c>
      <c r="K9" s="193"/>
      <c r="L9" s="152" t="s">
        <v>357</v>
      </c>
      <c r="M9" s="321">
        <v>1</v>
      </c>
      <c r="N9" s="321">
        <v>0</v>
      </c>
    </row>
    <row r="10" spans="1:27" x14ac:dyDescent="0.25">
      <c r="A10" s="53" t="s">
        <v>288</v>
      </c>
      <c r="B10" s="53">
        <v>16.8</v>
      </c>
      <c r="C10" s="53">
        <v>8.5</v>
      </c>
      <c r="D10">
        <v>14</v>
      </c>
      <c r="F10">
        <f t="shared" si="0"/>
        <v>12.65</v>
      </c>
      <c r="G10" s="329">
        <v>12.5</v>
      </c>
      <c r="K10" s="193"/>
      <c r="L10" s="152" t="s">
        <v>358</v>
      </c>
      <c r="M10" s="321">
        <v>5.5</v>
      </c>
      <c r="N10" s="321">
        <v>10</v>
      </c>
      <c r="R10" s="248"/>
      <c r="S10" s="248"/>
      <c r="T10" s="248"/>
      <c r="U10" s="248"/>
      <c r="V10" s="248"/>
      <c r="W10" s="248"/>
      <c r="X10" s="248"/>
      <c r="Y10" s="248"/>
      <c r="Z10" s="248"/>
      <c r="AA10" s="248"/>
    </row>
    <row r="11" spans="1:27" x14ac:dyDescent="0.25">
      <c r="A11" s="53" t="s">
        <v>163</v>
      </c>
      <c r="C11" s="53">
        <v>0.3</v>
      </c>
      <c r="D11">
        <v>0</v>
      </c>
      <c r="F11">
        <f t="shared" si="0"/>
        <v>0.3</v>
      </c>
      <c r="G11" s="329">
        <v>0.5</v>
      </c>
      <c r="K11" s="193"/>
      <c r="L11" s="321"/>
      <c r="M11" s="321">
        <f>SUM(M2:M10)</f>
        <v>100</v>
      </c>
      <c r="N11" s="321">
        <f>SUM(N2:N10)</f>
        <v>100</v>
      </c>
      <c r="R11" s="248"/>
      <c r="S11" s="248"/>
      <c r="T11" s="248"/>
      <c r="U11" s="248"/>
      <c r="V11" s="248"/>
      <c r="W11" s="248"/>
      <c r="X11" s="248"/>
      <c r="Y11" s="248"/>
      <c r="Z11" s="248"/>
      <c r="AA11" s="248"/>
    </row>
    <row r="12" spans="1:27" ht="15.75" thickBot="1" x14ac:dyDescent="0.3">
      <c r="D12">
        <f>SUM(D3:D11)</f>
        <v>100</v>
      </c>
      <c r="F12">
        <f>SUM(F3:F11)</f>
        <v>100.85</v>
      </c>
      <c r="G12" s="330">
        <f>SUM(G3:G11)</f>
        <v>100</v>
      </c>
      <c r="R12" s="248"/>
      <c r="S12" s="248"/>
      <c r="T12" s="248"/>
      <c r="U12" s="248"/>
      <c r="V12" s="248"/>
      <c r="W12" s="248"/>
      <c r="X12" s="248"/>
      <c r="Y12" s="248"/>
      <c r="Z12" s="248"/>
      <c r="AA12" s="248"/>
    </row>
    <row r="13" spans="1:27" x14ac:dyDescent="0.25">
      <c r="R13" s="248"/>
      <c r="S13" s="248"/>
      <c r="T13" s="248"/>
      <c r="U13" s="248"/>
      <c r="V13" s="248"/>
      <c r="W13" s="248"/>
      <c r="X13" s="248"/>
      <c r="Y13" s="248"/>
      <c r="Z13" s="248"/>
      <c r="AA13" s="248"/>
    </row>
    <row r="14" spans="1:27" x14ac:dyDescent="0.25">
      <c r="R14" s="248"/>
      <c r="S14" s="248"/>
      <c r="T14" s="248"/>
      <c r="U14" s="248"/>
      <c r="V14" s="248"/>
      <c r="W14" s="248"/>
      <c r="X14" s="248"/>
      <c r="Y14" s="248"/>
      <c r="Z14" s="248"/>
      <c r="AA14" s="248"/>
    </row>
    <row r="15" spans="1:27" x14ac:dyDescent="0.25">
      <c r="A15" s="222" t="s">
        <v>214</v>
      </c>
      <c r="B15" s="222" t="s">
        <v>324</v>
      </c>
      <c r="C15" s="222" t="s">
        <v>323</v>
      </c>
      <c r="D15" s="222" t="s">
        <v>322</v>
      </c>
      <c r="E15" s="222" t="s">
        <v>314</v>
      </c>
      <c r="F15" s="222" t="s">
        <v>313</v>
      </c>
      <c r="G15" s="222" t="s">
        <v>312</v>
      </c>
      <c r="H15" s="222" t="s">
        <v>325</v>
      </c>
      <c r="I15" s="222"/>
      <c r="J15" s="222"/>
      <c r="K15" s="222" t="s">
        <v>214</v>
      </c>
      <c r="L15" s="222" t="s">
        <v>324</v>
      </c>
      <c r="M15" s="222" t="s">
        <v>323</v>
      </c>
      <c r="N15" s="222" t="s">
        <v>322</v>
      </c>
      <c r="O15" s="222" t="s">
        <v>314</v>
      </c>
      <c r="P15" s="222" t="s">
        <v>313</v>
      </c>
      <c r="Q15" s="222" t="s">
        <v>312</v>
      </c>
      <c r="R15" s="253"/>
      <c r="S15" s="248"/>
      <c r="T15" s="248"/>
      <c r="U15" s="253" t="s">
        <v>214</v>
      </c>
      <c r="V15" s="248"/>
      <c r="W15" s="248"/>
      <c r="X15" s="248"/>
      <c r="Y15" s="248"/>
      <c r="Z15" s="248"/>
      <c r="AA15" s="248"/>
    </row>
    <row r="16" spans="1:27" x14ac:dyDescent="0.25">
      <c r="A16" s="222"/>
      <c r="B16" s="222"/>
      <c r="C16" s="222"/>
      <c r="D16" s="286" t="s">
        <v>321</v>
      </c>
      <c r="E16" s="286">
        <v>62.179200000000002</v>
      </c>
      <c r="F16" s="286">
        <v>133.0198</v>
      </c>
      <c r="G16" s="286">
        <v>50.622199999999999</v>
      </c>
      <c r="H16" s="286"/>
      <c r="I16" s="286"/>
      <c r="J16" s="286"/>
      <c r="K16" s="222"/>
      <c r="L16" s="222"/>
      <c r="M16" s="222"/>
      <c r="N16" s="222"/>
      <c r="O16" s="222"/>
      <c r="P16" s="222"/>
      <c r="Q16" s="222"/>
      <c r="R16" s="253"/>
      <c r="S16" s="248"/>
      <c r="T16" s="248"/>
      <c r="U16" s="253"/>
      <c r="V16" s="248" t="s">
        <v>325</v>
      </c>
      <c r="W16" s="248" t="s">
        <v>367</v>
      </c>
      <c r="X16" s="248" t="s">
        <v>363</v>
      </c>
      <c r="Y16" s="248"/>
      <c r="Z16" s="248"/>
      <c r="AA16" s="248"/>
    </row>
    <row r="17" spans="1:30" x14ac:dyDescent="0.25">
      <c r="A17" t="s">
        <v>287</v>
      </c>
      <c r="B17">
        <v>0.1</v>
      </c>
      <c r="C17">
        <v>6.6</v>
      </c>
      <c r="D17">
        <v>14</v>
      </c>
      <c r="E17">
        <v>41.5</v>
      </c>
      <c r="F17">
        <v>62.1</v>
      </c>
      <c r="G17">
        <v>42.1</v>
      </c>
      <c r="H17">
        <f>AVERAGE(B17:G17)</f>
        <v>27.733333333333334</v>
      </c>
      <c r="K17" t="s">
        <v>320</v>
      </c>
      <c r="L17">
        <v>3.5</v>
      </c>
      <c r="M17">
        <v>8.1999999999999993</v>
      </c>
      <c r="N17">
        <v>20</v>
      </c>
      <c r="O17">
        <v>41.5</v>
      </c>
      <c r="P17">
        <v>62.1</v>
      </c>
      <c r="Q17">
        <v>42.1</v>
      </c>
      <c r="R17" s="248">
        <v>30</v>
      </c>
      <c r="S17" s="248"/>
      <c r="T17" s="248"/>
      <c r="U17" s="248" t="s">
        <v>287</v>
      </c>
      <c r="V17" s="248">
        <v>27.733333333333334</v>
      </c>
      <c r="W17" s="248">
        <f>100*V17/164.85</f>
        <v>16.823374785158226</v>
      </c>
      <c r="X17" s="248">
        <v>17</v>
      </c>
      <c r="Y17" s="248"/>
      <c r="Z17" s="248"/>
      <c r="AA17" s="248"/>
    </row>
    <row r="18" spans="1:30" x14ac:dyDescent="0.25">
      <c r="A18" t="s">
        <v>277</v>
      </c>
      <c r="B18">
        <v>0.2</v>
      </c>
      <c r="C18">
        <v>49.4</v>
      </c>
      <c r="H18">
        <f t="shared" ref="H18:H30" si="1">AVERAGE(B18:G18)</f>
        <v>24.8</v>
      </c>
      <c r="K18" t="s">
        <v>319</v>
      </c>
      <c r="L18">
        <v>0.2</v>
      </c>
      <c r="N18">
        <v>0.4</v>
      </c>
      <c r="O18">
        <v>1.2</v>
      </c>
      <c r="P18">
        <v>1.8</v>
      </c>
      <c r="Q18">
        <v>0.6</v>
      </c>
      <c r="R18" s="248">
        <v>1</v>
      </c>
      <c r="S18" s="248"/>
      <c r="T18" s="248"/>
      <c r="U18" s="248" t="s">
        <v>277</v>
      </c>
      <c r="V18" s="248">
        <v>24.8</v>
      </c>
      <c r="W18" s="248">
        <f t="shared" ref="W18:W24" si="2">100*V18/164.85</f>
        <v>15.043979375189567</v>
      </c>
      <c r="X18" s="248">
        <v>15</v>
      </c>
      <c r="Y18" s="248"/>
      <c r="Z18" s="248"/>
      <c r="AA18" s="248"/>
    </row>
    <row r="19" spans="1:30" x14ac:dyDescent="0.25">
      <c r="A19" t="s">
        <v>270</v>
      </c>
      <c r="B19">
        <v>0.2</v>
      </c>
      <c r="C19">
        <v>1.6</v>
      </c>
      <c r="F19">
        <v>3.3</v>
      </c>
      <c r="H19">
        <f t="shared" si="1"/>
        <v>1.7</v>
      </c>
      <c r="K19" t="s">
        <v>271</v>
      </c>
      <c r="L19">
        <v>2</v>
      </c>
      <c r="M19">
        <v>6.5</v>
      </c>
      <c r="N19">
        <v>4.7</v>
      </c>
      <c r="O19">
        <v>2</v>
      </c>
      <c r="P19">
        <v>5.0999999999999996</v>
      </c>
      <c r="Q19">
        <v>7.7</v>
      </c>
      <c r="R19" s="248">
        <v>6</v>
      </c>
      <c r="S19" s="248"/>
      <c r="T19" s="248"/>
      <c r="U19" s="248" t="s">
        <v>365</v>
      </c>
      <c r="V19" s="248">
        <f>1.7+1+4.6</f>
        <v>7.3</v>
      </c>
      <c r="W19" s="248">
        <f t="shared" si="2"/>
        <v>4.4282681225356386</v>
      </c>
      <c r="X19" s="248">
        <v>4</v>
      </c>
      <c r="Y19" s="248"/>
      <c r="Z19" s="248"/>
      <c r="AA19" s="248"/>
    </row>
    <row r="20" spans="1:30" x14ac:dyDescent="0.25">
      <c r="A20" t="s">
        <v>266</v>
      </c>
      <c r="B20">
        <v>1.3</v>
      </c>
      <c r="H20">
        <f t="shared" si="1"/>
        <v>1.3</v>
      </c>
      <c r="K20" t="s">
        <v>310</v>
      </c>
      <c r="L20">
        <v>14.2</v>
      </c>
      <c r="N20">
        <v>23</v>
      </c>
      <c r="O20">
        <v>0.6</v>
      </c>
      <c r="P20">
        <v>0.2</v>
      </c>
      <c r="R20" s="248">
        <v>10</v>
      </c>
      <c r="S20" s="248"/>
      <c r="T20" s="248"/>
      <c r="U20" s="248" t="s">
        <v>271</v>
      </c>
      <c r="V20" s="248">
        <v>4.6666666666666661</v>
      </c>
      <c r="W20" s="248">
        <f t="shared" si="2"/>
        <v>2.8308563340410471</v>
      </c>
      <c r="X20" s="248">
        <v>3</v>
      </c>
      <c r="Y20" s="248"/>
      <c r="Z20" s="248"/>
      <c r="AA20" s="248"/>
    </row>
    <row r="21" spans="1:30" x14ac:dyDescent="0.25">
      <c r="A21" t="s">
        <v>271</v>
      </c>
      <c r="B21">
        <v>2</v>
      </c>
      <c r="C21">
        <v>6.5</v>
      </c>
      <c r="D21">
        <v>4.7</v>
      </c>
      <c r="E21">
        <v>2</v>
      </c>
      <c r="F21">
        <v>5.0999999999999996</v>
      </c>
      <c r="G21">
        <v>7.7</v>
      </c>
      <c r="H21">
        <f t="shared" si="1"/>
        <v>4.6666666666666661</v>
      </c>
      <c r="K21" t="s">
        <v>280</v>
      </c>
      <c r="L21">
        <v>14.8</v>
      </c>
      <c r="N21">
        <v>15.2</v>
      </c>
      <c r="O21">
        <v>8.1</v>
      </c>
      <c r="Q21">
        <v>12.5</v>
      </c>
      <c r="R21" s="248">
        <v>13</v>
      </c>
      <c r="S21" s="248"/>
      <c r="T21" s="248"/>
      <c r="U21" s="248" t="s">
        <v>288</v>
      </c>
      <c r="V21" s="248">
        <v>12.600000000000001</v>
      </c>
      <c r="W21" s="248">
        <f t="shared" si="2"/>
        <v>7.6433121019108299</v>
      </c>
      <c r="X21" s="248">
        <v>8</v>
      </c>
      <c r="Y21" s="248"/>
      <c r="Z21" s="248"/>
      <c r="AA21" s="248"/>
    </row>
    <row r="22" spans="1:30" x14ac:dyDescent="0.25">
      <c r="A22" t="s">
        <v>286</v>
      </c>
      <c r="B22">
        <v>3.2</v>
      </c>
      <c r="D22">
        <v>6</v>
      </c>
      <c r="H22">
        <f t="shared" si="1"/>
        <v>4.5999999999999996</v>
      </c>
      <c r="K22" t="s">
        <v>318</v>
      </c>
      <c r="L22">
        <v>25.4</v>
      </c>
      <c r="M22">
        <v>30.2</v>
      </c>
      <c r="N22">
        <v>36.700000000000003</v>
      </c>
      <c r="O22">
        <v>46.6</v>
      </c>
      <c r="P22">
        <v>27.5</v>
      </c>
      <c r="Q22">
        <v>37.1</v>
      </c>
      <c r="R22" s="248">
        <v>40</v>
      </c>
      <c r="S22" s="248"/>
      <c r="T22" s="248"/>
      <c r="U22" s="248" t="s">
        <v>280</v>
      </c>
      <c r="V22" s="248">
        <v>12.65</v>
      </c>
      <c r="W22" s="248">
        <f t="shared" si="2"/>
        <v>7.67364270548984</v>
      </c>
      <c r="X22" s="248">
        <v>8</v>
      </c>
      <c r="Y22" s="248"/>
      <c r="Z22" s="248"/>
      <c r="AA22" s="248"/>
    </row>
    <row r="23" spans="1:30" x14ac:dyDescent="0.25">
      <c r="A23" t="s">
        <v>274</v>
      </c>
      <c r="B23">
        <v>5.4</v>
      </c>
      <c r="H23">
        <f t="shared" si="1"/>
        <v>5.4</v>
      </c>
      <c r="R23" s="248"/>
      <c r="S23" s="248"/>
      <c r="T23" s="248"/>
      <c r="U23" s="248" t="s">
        <v>366</v>
      </c>
      <c r="V23" s="248">
        <v>35.200000000000003</v>
      </c>
      <c r="W23" s="248">
        <f t="shared" si="2"/>
        <v>21.352744919623905</v>
      </c>
      <c r="X23" s="248">
        <v>21</v>
      </c>
      <c r="Y23" s="248"/>
      <c r="Z23" s="248"/>
      <c r="AA23" s="248"/>
      <c r="AB23" s="284" t="s">
        <v>380</v>
      </c>
      <c r="AC23" s="336" t="s">
        <v>393</v>
      </c>
      <c r="AD23" s="336" t="s">
        <v>394</v>
      </c>
    </row>
    <row r="24" spans="1:30" x14ac:dyDescent="0.25">
      <c r="A24" t="s">
        <v>288</v>
      </c>
      <c r="B24">
        <v>14.2</v>
      </c>
      <c r="D24">
        <v>23</v>
      </c>
      <c r="E24">
        <v>0.6</v>
      </c>
      <c r="H24">
        <f t="shared" si="1"/>
        <v>12.600000000000001</v>
      </c>
      <c r="R24" s="248"/>
      <c r="S24" s="248"/>
      <c r="T24" s="248"/>
      <c r="U24" s="248" t="s">
        <v>364</v>
      </c>
      <c r="V24" s="248">
        <f>34.5+5.4</f>
        <v>39.9</v>
      </c>
      <c r="W24" s="248">
        <f t="shared" si="2"/>
        <v>24.203821656050955</v>
      </c>
      <c r="X24" s="248">
        <v>24</v>
      </c>
      <c r="Y24" s="248"/>
      <c r="Z24" s="248"/>
      <c r="AA24" s="248"/>
      <c r="AB24" s="193" t="s">
        <v>287</v>
      </c>
      <c r="AC24" s="193">
        <v>17</v>
      </c>
      <c r="AD24" s="193">
        <v>19</v>
      </c>
    </row>
    <row r="25" spans="1:30" x14ac:dyDescent="0.25">
      <c r="A25" t="s">
        <v>280</v>
      </c>
      <c r="B25">
        <v>14.8</v>
      </c>
      <c r="D25">
        <v>15.2</v>
      </c>
      <c r="E25">
        <v>8.1</v>
      </c>
      <c r="G25">
        <v>12.5</v>
      </c>
      <c r="H25">
        <f t="shared" si="1"/>
        <v>12.65</v>
      </c>
      <c r="R25" s="248"/>
      <c r="S25" s="248"/>
      <c r="T25" s="248"/>
      <c r="U25" s="248"/>
      <c r="V25" s="248">
        <f>SUM(V17:V24)</f>
        <v>164.85</v>
      </c>
      <c r="W25" s="248">
        <f>SUM(W17:W24)</f>
        <v>100</v>
      </c>
      <c r="X25" s="248">
        <f>SUM(X17:X24)</f>
        <v>100</v>
      </c>
      <c r="Y25" s="248"/>
      <c r="Z25" s="248"/>
      <c r="AA25" s="248"/>
      <c r="AB25" s="193" t="s">
        <v>277</v>
      </c>
      <c r="AC25" s="193">
        <v>15</v>
      </c>
      <c r="AD25" s="193">
        <v>14</v>
      </c>
    </row>
    <row r="26" spans="1:30" x14ac:dyDescent="0.25">
      <c r="A26" t="s">
        <v>284</v>
      </c>
      <c r="B26">
        <v>24.1</v>
      </c>
      <c r="C26">
        <v>30.2</v>
      </c>
      <c r="D26">
        <v>36.700000000000003</v>
      </c>
      <c r="E26">
        <v>46.6</v>
      </c>
      <c r="F26">
        <v>27.5</v>
      </c>
      <c r="G26">
        <v>37.1</v>
      </c>
      <c r="H26">
        <f t="shared" si="1"/>
        <v>33.699999999999996</v>
      </c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193" t="s">
        <v>365</v>
      </c>
      <c r="AC26" s="193">
        <v>4</v>
      </c>
      <c r="AD26" s="193">
        <v>2.9</v>
      </c>
    </row>
    <row r="27" spans="1:30" x14ac:dyDescent="0.25">
      <c r="A27" t="s">
        <v>278</v>
      </c>
      <c r="B27">
        <v>34.5</v>
      </c>
      <c r="H27">
        <f t="shared" si="1"/>
        <v>34.5</v>
      </c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193" t="s">
        <v>271</v>
      </c>
      <c r="AC27" s="193">
        <v>3</v>
      </c>
      <c r="AD27" s="193">
        <v>3</v>
      </c>
    </row>
    <row r="28" spans="1:30" x14ac:dyDescent="0.25">
      <c r="A28" t="s">
        <v>273</v>
      </c>
      <c r="C28">
        <v>5.7</v>
      </c>
      <c r="H28">
        <f t="shared" si="1"/>
        <v>5.7</v>
      </c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193" t="s">
        <v>288</v>
      </c>
      <c r="AC28" s="193">
        <v>8</v>
      </c>
      <c r="AD28" s="193">
        <v>5</v>
      </c>
    </row>
    <row r="29" spans="1:30" x14ac:dyDescent="0.25">
      <c r="A29" t="s">
        <v>174</v>
      </c>
      <c r="D29">
        <v>0.4</v>
      </c>
      <c r="E29">
        <v>1.2</v>
      </c>
      <c r="F29">
        <v>1.8</v>
      </c>
      <c r="G29">
        <v>0.6</v>
      </c>
      <c r="H29">
        <f t="shared" si="1"/>
        <v>1</v>
      </c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193" t="s">
        <v>280</v>
      </c>
      <c r="AC29" s="193">
        <v>8</v>
      </c>
      <c r="AD29" s="193">
        <v>27</v>
      </c>
    </row>
    <row r="30" spans="1:30" x14ac:dyDescent="0.25">
      <c r="A30" t="s">
        <v>289</v>
      </c>
      <c r="F30">
        <v>0.2</v>
      </c>
      <c r="H30">
        <f t="shared" si="1"/>
        <v>0.2</v>
      </c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193" t="s">
        <v>366</v>
      </c>
      <c r="AC30" s="193">
        <v>21</v>
      </c>
      <c r="AD30" s="193">
        <v>29</v>
      </c>
    </row>
    <row r="31" spans="1:30" x14ac:dyDescent="0.25"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193" t="s">
        <v>364</v>
      </c>
      <c r="AC31" s="193">
        <v>24</v>
      </c>
      <c r="AD31" s="193"/>
    </row>
    <row r="32" spans="1:30" x14ac:dyDescent="0.25">
      <c r="R32" s="248"/>
      <c r="S32" s="248"/>
      <c r="T32" s="248"/>
      <c r="U32" s="472" t="s">
        <v>317</v>
      </c>
      <c r="V32" s="248"/>
      <c r="W32" s="248"/>
      <c r="X32" s="248"/>
      <c r="Y32" s="248"/>
      <c r="Z32" s="248"/>
      <c r="AA32" s="248"/>
      <c r="AB32" s="193" t="s">
        <v>273</v>
      </c>
      <c r="AC32" s="193"/>
      <c r="AD32" s="193">
        <v>0.1</v>
      </c>
    </row>
    <row r="33" spans="1:27" x14ac:dyDescent="0.25">
      <c r="A33" s="284" t="s">
        <v>317</v>
      </c>
      <c r="B33" s="222" t="s">
        <v>316</v>
      </c>
      <c r="C33" s="222" t="s">
        <v>315</v>
      </c>
      <c r="D33" s="222" t="s">
        <v>314</v>
      </c>
      <c r="E33" s="222" t="s">
        <v>313</v>
      </c>
      <c r="F33" s="222" t="s">
        <v>312</v>
      </c>
      <c r="G33" s="222" t="s">
        <v>325</v>
      </c>
      <c r="H33" s="222"/>
      <c r="I33" s="222"/>
      <c r="J33" s="222"/>
      <c r="K33" s="284" t="s">
        <v>317</v>
      </c>
      <c r="L33" s="222" t="s">
        <v>316</v>
      </c>
      <c r="M33" s="222" t="s">
        <v>315</v>
      </c>
      <c r="N33" s="222" t="s">
        <v>314</v>
      </c>
      <c r="O33" s="222" t="s">
        <v>313</v>
      </c>
      <c r="P33" s="222" t="s">
        <v>312</v>
      </c>
      <c r="Q33" s="222"/>
      <c r="R33" s="248"/>
      <c r="S33" s="248"/>
      <c r="T33" s="248"/>
      <c r="U33" s="248" t="s">
        <v>325</v>
      </c>
      <c r="V33" s="248" t="s">
        <v>367</v>
      </c>
      <c r="W33" s="248" t="s">
        <v>363</v>
      </c>
      <c r="X33" s="248"/>
      <c r="Y33" s="248"/>
      <c r="Z33" s="248"/>
      <c r="AA33" s="248"/>
    </row>
    <row r="34" spans="1:27" x14ac:dyDescent="0.25">
      <c r="A34" s="284"/>
      <c r="B34" s="222"/>
      <c r="C34" s="285" t="s">
        <v>311</v>
      </c>
      <c r="D34" s="285">
        <v>62.179200000000002</v>
      </c>
      <c r="E34" s="285">
        <v>133.0198</v>
      </c>
      <c r="F34" s="285">
        <v>50.622199999999999</v>
      </c>
      <c r="G34" s="285" t="s">
        <v>19</v>
      </c>
      <c r="H34" s="222"/>
      <c r="I34" s="222"/>
      <c r="J34" s="222"/>
      <c r="K34" s="284"/>
      <c r="L34" s="222"/>
      <c r="M34" s="222"/>
      <c r="N34" s="222"/>
      <c r="O34" s="222"/>
      <c r="P34" s="222"/>
      <c r="Q34" s="222"/>
      <c r="R34" s="248"/>
      <c r="S34" s="248"/>
      <c r="T34" s="248" t="s">
        <v>271</v>
      </c>
      <c r="U34" s="248">
        <v>4.2</v>
      </c>
      <c r="V34" s="248">
        <f t="shared" ref="V34:V41" si="3">100*U34/141.68</f>
        <v>2.9644268774703555</v>
      </c>
      <c r="W34" s="248">
        <v>3</v>
      </c>
      <c r="X34" s="248"/>
      <c r="Y34" s="248"/>
      <c r="Z34" s="248"/>
      <c r="AA34" s="248"/>
    </row>
    <row r="35" spans="1:27" x14ac:dyDescent="0.25">
      <c r="A35" t="s">
        <v>271</v>
      </c>
      <c r="B35">
        <v>4</v>
      </c>
      <c r="C35">
        <v>5</v>
      </c>
      <c r="D35">
        <v>5.0999999999999996</v>
      </c>
      <c r="E35">
        <v>3.1</v>
      </c>
      <c r="F35">
        <v>3.8</v>
      </c>
      <c r="G35">
        <f>AVERAGE(B35:F35)</f>
        <v>4.2</v>
      </c>
      <c r="K35" t="s">
        <v>271</v>
      </c>
      <c r="L35">
        <v>4</v>
      </c>
      <c r="M35">
        <v>5</v>
      </c>
      <c r="N35">
        <v>5.0999999999999996</v>
      </c>
      <c r="O35">
        <v>3.1</v>
      </c>
      <c r="P35">
        <v>3.8</v>
      </c>
      <c r="Q35">
        <v>5</v>
      </c>
      <c r="R35" s="248"/>
      <c r="S35" s="248"/>
      <c r="T35" s="248" t="s">
        <v>273</v>
      </c>
      <c r="U35" s="248">
        <v>0.15</v>
      </c>
      <c r="V35" s="248">
        <f t="shared" si="3"/>
        <v>0.10587238848108413</v>
      </c>
      <c r="W35" s="248">
        <v>0.1</v>
      </c>
      <c r="X35" s="248"/>
      <c r="Y35" s="248"/>
      <c r="Z35" s="248"/>
      <c r="AA35" s="248"/>
    </row>
    <row r="36" spans="1:27" x14ac:dyDescent="0.25">
      <c r="A36" t="s">
        <v>273</v>
      </c>
      <c r="B36">
        <v>0</v>
      </c>
      <c r="C36">
        <v>0.3</v>
      </c>
      <c r="G36">
        <f t="shared" ref="G36:G44" si="4">AVERAGE(B36:F36)</f>
        <v>0.15</v>
      </c>
      <c r="K36" s="53" t="s">
        <v>310</v>
      </c>
      <c r="L36">
        <v>1</v>
      </c>
      <c r="M36">
        <v>0.2</v>
      </c>
      <c r="N36">
        <v>3.1</v>
      </c>
      <c r="P36">
        <v>10.6</v>
      </c>
      <c r="Q36">
        <v>4</v>
      </c>
      <c r="R36" s="248"/>
      <c r="S36" s="248"/>
      <c r="T36" s="248" t="s">
        <v>369</v>
      </c>
      <c r="U36" s="248">
        <f>3+1.1</f>
        <v>4.0999999999999996</v>
      </c>
      <c r="V36" s="248">
        <f t="shared" si="3"/>
        <v>2.8938452851496326</v>
      </c>
      <c r="W36" s="248">
        <v>2.9</v>
      </c>
      <c r="X36" s="248"/>
      <c r="Y36" s="248"/>
      <c r="Z36" s="248"/>
      <c r="AA36" s="248"/>
    </row>
    <row r="37" spans="1:27" x14ac:dyDescent="0.25">
      <c r="A37" t="s">
        <v>174</v>
      </c>
      <c r="B37">
        <v>5</v>
      </c>
      <c r="C37">
        <v>1</v>
      </c>
      <c r="G37">
        <f t="shared" si="4"/>
        <v>3</v>
      </c>
      <c r="K37" t="s">
        <v>309</v>
      </c>
      <c r="L37">
        <v>5</v>
      </c>
      <c r="M37">
        <v>1</v>
      </c>
      <c r="N37">
        <v>30.2</v>
      </c>
      <c r="P37">
        <v>45.8</v>
      </c>
      <c r="Q37">
        <v>25</v>
      </c>
      <c r="R37" s="248"/>
      <c r="S37" s="248"/>
      <c r="T37" s="248" t="s">
        <v>277</v>
      </c>
      <c r="U37" s="248">
        <v>19.400000000000002</v>
      </c>
      <c r="V37" s="248">
        <f t="shared" si="3"/>
        <v>13.692828910220216</v>
      </c>
      <c r="W37" s="248">
        <v>14</v>
      </c>
      <c r="X37" s="248"/>
      <c r="Y37" s="248"/>
      <c r="Z37" s="248"/>
      <c r="AA37" s="248"/>
    </row>
    <row r="38" spans="1:27" x14ac:dyDescent="0.25">
      <c r="A38" t="s">
        <v>277</v>
      </c>
      <c r="B38">
        <v>0.2</v>
      </c>
      <c r="C38">
        <v>38.6</v>
      </c>
      <c r="G38">
        <f>AVERAGE(B38:F38)</f>
        <v>19.400000000000002</v>
      </c>
      <c r="K38" t="s">
        <v>277</v>
      </c>
      <c r="L38">
        <v>0.2</v>
      </c>
      <c r="M38">
        <v>38.6</v>
      </c>
      <c r="Q38">
        <v>1</v>
      </c>
      <c r="R38" s="248"/>
      <c r="S38" s="248"/>
      <c r="T38" s="248" t="s">
        <v>368</v>
      </c>
      <c r="U38" s="248">
        <f>40.94+0.6</f>
        <v>41.54</v>
      </c>
      <c r="V38" s="248">
        <f t="shared" si="3"/>
        <v>29.319593450028233</v>
      </c>
      <c r="W38" s="248">
        <v>29</v>
      </c>
      <c r="X38" s="248"/>
      <c r="Y38" s="248"/>
      <c r="Z38" s="248"/>
      <c r="AA38" s="248"/>
    </row>
    <row r="39" spans="1:27" x14ac:dyDescent="0.25">
      <c r="A39" t="s">
        <v>284</v>
      </c>
      <c r="B39">
        <v>46.2</v>
      </c>
      <c r="C39">
        <v>52.4</v>
      </c>
      <c r="D39">
        <v>55.5</v>
      </c>
      <c r="E39">
        <v>12.1</v>
      </c>
      <c r="F39">
        <v>38.5</v>
      </c>
      <c r="G39">
        <f t="shared" si="4"/>
        <v>40.94</v>
      </c>
      <c r="K39" t="s">
        <v>284</v>
      </c>
      <c r="L39">
        <v>46.2</v>
      </c>
      <c r="M39">
        <v>52.4</v>
      </c>
      <c r="N39">
        <v>55.5</v>
      </c>
      <c r="O39">
        <v>12.1</v>
      </c>
      <c r="P39">
        <v>38.5</v>
      </c>
      <c r="Q39">
        <v>40</v>
      </c>
      <c r="R39" s="248"/>
      <c r="S39" s="248"/>
      <c r="T39" s="248" t="s">
        <v>287</v>
      </c>
      <c r="U39" s="248">
        <v>27.440000000000005</v>
      </c>
      <c r="V39" s="248">
        <f t="shared" si="3"/>
        <v>19.367588932806328</v>
      </c>
      <c r="W39" s="248">
        <v>19</v>
      </c>
      <c r="X39" s="248"/>
      <c r="Y39" s="248"/>
      <c r="Z39" s="248"/>
      <c r="AA39" s="248"/>
    </row>
    <row r="40" spans="1:27" x14ac:dyDescent="0.25">
      <c r="A40" t="s">
        <v>287</v>
      </c>
      <c r="B40">
        <v>43.6</v>
      </c>
      <c r="C40">
        <v>2.5</v>
      </c>
      <c r="D40">
        <v>5</v>
      </c>
      <c r="E40">
        <v>84.8</v>
      </c>
      <c r="F40">
        <v>1.3</v>
      </c>
      <c r="G40">
        <f t="shared" si="4"/>
        <v>27.440000000000005</v>
      </c>
      <c r="K40" t="s">
        <v>287</v>
      </c>
      <c r="L40">
        <v>43.6</v>
      </c>
      <c r="M40">
        <v>2.5</v>
      </c>
      <c r="N40">
        <v>6.1</v>
      </c>
      <c r="O40">
        <v>84.8</v>
      </c>
      <c r="P40">
        <v>1.3</v>
      </c>
      <c r="Q40">
        <v>25</v>
      </c>
      <c r="R40" s="248"/>
      <c r="S40" s="248"/>
      <c r="T40" s="248" t="s">
        <v>280</v>
      </c>
      <c r="U40" s="248">
        <v>38</v>
      </c>
      <c r="V40" s="248">
        <f t="shared" si="3"/>
        <v>26.821005081874645</v>
      </c>
      <c r="W40" s="248">
        <v>27</v>
      </c>
      <c r="X40" s="248"/>
      <c r="Y40" s="248"/>
      <c r="Z40" s="248"/>
      <c r="AA40" s="248"/>
    </row>
    <row r="41" spans="1:27" x14ac:dyDescent="0.25">
      <c r="A41" t="s">
        <v>289</v>
      </c>
      <c r="B41">
        <v>1</v>
      </c>
      <c r="C41">
        <v>0.2</v>
      </c>
      <c r="G41">
        <f t="shared" si="4"/>
        <v>0.6</v>
      </c>
      <c r="R41" s="248"/>
      <c r="S41" s="248"/>
      <c r="T41" s="62" t="s">
        <v>288</v>
      </c>
      <c r="U41" s="248">
        <v>6.85</v>
      </c>
      <c r="V41" s="248">
        <f t="shared" si="3"/>
        <v>4.8348390739695084</v>
      </c>
      <c r="W41" s="248">
        <v>5</v>
      </c>
      <c r="X41" s="248"/>
      <c r="Y41" s="248"/>
      <c r="Z41" s="248"/>
      <c r="AA41" s="248"/>
    </row>
    <row r="42" spans="1:27" x14ac:dyDescent="0.25">
      <c r="A42" t="s">
        <v>280</v>
      </c>
      <c r="D42">
        <v>30.2</v>
      </c>
      <c r="F42">
        <v>45.8</v>
      </c>
      <c r="G42">
        <f t="shared" si="4"/>
        <v>38</v>
      </c>
      <c r="R42" s="248"/>
      <c r="S42" s="248"/>
      <c r="T42" s="248"/>
      <c r="U42" s="248">
        <f>SUM(U34:U41)</f>
        <v>141.68</v>
      </c>
      <c r="V42" s="248">
        <f>SUM(V34:V41)</f>
        <v>100</v>
      </c>
      <c r="W42" s="248">
        <f>SUM(W34:W41)</f>
        <v>100</v>
      </c>
      <c r="X42" s="248"/>
      <c r="Y42" s="248"/>
      <c r="Z42" s="248"/>
      <c r="AA42" s="248"/>
    </row>
    <row r="43" spans="1:27" x14ac:dyDescent="0.25">
      <c r="A43" t="s">
        <v>286</v>
      </c>
      <c r="D43">
        <v>1.1000000000000001</v>
      </c>
      <c r="G43">
        <f t="shared" si="4"/>
        <v>1.1000000000000001</v>
      </c>
      <c r="R43" s="248"/>
      <c r="S43" s="248"/>
      <c r="T43" s="248"/>
      <c r="U43" s="248"/>
      <c r="V43" s="248"/>
      <c r="W43" s="248"/>
      <c r="X43" s="248"/>
      <c r="Y43" s="248"/>
      <c r="Z43" s="248"/>
      <c r="AA43" s="248"/>
    </row>
    <row r="44" spans="1:27" x14ac:dyDescent="0.25">
      <c r="A44" s="53" t="s">
        <v>288</v>
      </c>
      <c r="B44" s="53"/>
      <c r="D44">
        <v>3.1</v>
      </c>
      <c r="F44">
        <v>10.6</v>
      </c>
      <c r="G44">
        <f t="shared" si="4"/>
        <v>6.85</v>
      </c>
      <c r="R44" s="248"/>
      <c r="S44" s="248"/>
      <c r="T44" s="248"/>
      <c r="U44" s="248"/>
      <c r="V44" s="248"/>
      <c r="W44" s="248"/>
      <c r="X44" s="248"/>
      <c r="Y44" s="248"/>
      <c r="Z44" s="248"/>
      <c r="AA44" s="248"/>
    </row>
    <row r="45" spans="1:27" x14ac:dyDescent="0.25">
      <c r="R45" s="248"/>
      <c r="S45" s="248"/>
      <c r="T45" s="248"/>
      <c r="U45" s="248"/>
      <c r="V45" s="248"/>
      <c r="W45" s="248"/>
      <c r="X45" s="248"/>
      <c r="Y45" s="248"/>
      <c r="Z45" s="248"/>
      <c r="AA45" s="248"/>
    </row>
    <row r="50" spans="1:6" ht="15.75" thickBot="1" x14ac:dyDescent="0.3">
      <c r="A50" t="s">
        <v>379</v>
      </c>
    </row>
    <row r="51" spans="1:6" ht="15.75" thickBot="1" x14ac:dyDescent="0.3">
      <c r="B51" s="348" t="s">
        <v>370</v>
      </c>
      <c r="C51" s="341" t="s">
        <v>374</v>
      </c>
      <c r="D51" s="351" t="s">
        <v>372</v>
      </c>
      <c r="E51" s="341" t="s">
        <v>377</v>
      </c>
      <c r="F51" s="341" t="s">
        <v>373</v>
      </c>
    </row>
    <row r="52" spans="1:6" ht="15.75" thickBot="1" x14ac:dyDescent="0.3">
      <c r="A52" s="338" t="s">
        <v>371</v>
      </c>
      <c r="B52" s="359">
        <v>330</v>
      </c>
      <c r="C52" s="62"/>
      <c r="F52" s="363">
        <v>150</v>
      </c>
    </row>
    <row r="53" spans="1:6" x14ac:dyDescent="0.25">
      <c r="A53" s="234" t="s">
        <v>24</v>
      </c>
      <c r="B53" s="349">
        <v>521</v>
      </c>
      <c r="C53" s="62"/>
      <c r="D53" s="361">
        <v>12</v>
      </c>
      <c r="F53" s="359">
        <v>430</v>
      </c>
    </row>
    <row r="54" spans="1:6" x14ac:dyDescent="0.25">
      <c r="A54" s="234" t="s">
        <v>383</v>
      </c>
      <c r="B54" s="349">
        <v>790</v>
      </c>
      <c r="C54" s="62"/>
      <c r="D54" s="360">
        <v>322</v>
      </c>
      <c r="E54" s="248"/>
      <c r="F54" s="360">
        <v>746</v>
      </c>
    </row>
    <row r="55" spans="1:6" ht="15.75" thickBot="1" x14ac:dyDescent="0.3">
      <c r="A55" s="234" t="s">
        <v>26</v>
      </c>
      <c r="B55" s="350">
        <v>995</v>
      </c>
      <c r="C55" s="339"/>
      <c r="D55" s="360">
        <v>526</v>
      </c>
      <c r="E55" s="82"/>
      <c r="F55" s="360">
        <v>981</v>
      </c>
    </row>
    <row r="56" spans="1:6" ht="15.75" thickBot="1" x14ac:dyDescent="0.3">
      <c r="A56" s="234" t="s">
        <v>27</v>
      </c>
      <c r="B56" s="62"/>
      <c r="C56" s="354">
        <v>22</v>
      </c>
      <c r="D56" s="360">
        <v>632</v>
      </c>
      <c r="E56" s="82"/>
      <c r="F56" s="353">
        <v>1095</v>
      </c>
    </row>
    <row r="57" spans="1:6" x14ac:dyDescent="0.25">
      <c r="A57" s="234" t="s">
        <v>28</v>
      </c>
      <c r="B57" s="62"/>
      <c r="C57" s="355">
        <v>128</v>
      </c>
      <c r="D57" s="360">
        <v>1113</v>
      </c>
      <c r="E57" s="361">
        <v>65</v>
      </c>
    </row>
    <row r="58" spans="1:6" ht="15.75" thickBot="1" x14ac:dyDescent="0.3">
      <c r="A58" s="234" t="s">
        <v>29</v>
      </c>
      <c r="B58" s="555" t="s">
        <v>382</v>
      </c>
      <c r="C58" s="356">
        <v>287</v>
      </c>
      <c r="D58" s="329" t="s">
        <v>13</v>
      </c>
      <c r="E58" s="362">
        <v>903</v>
      </c>
    </row>
    <row r="59" spans="1:6" ht="15.75" thickBot="1" x14ac:dyDescent="0.3">
      <c r="A59" s="234" t="s">
        <v>183</v>
      </c>
      <c r="B59" s="82"/>
      <c r="C59" s="357">
        <v>660</v>
      </c>
      <c r="D59" s="329">
        <v>1215</v>
      </c>
      <c r="E59" s="347" t="s">
        <v>384</v>
      </c>
      <c r="F59" s="352">
        <v>1250</v>
      </c>
    </row>
    <row r="60" spans="1:6" ht="15.75" thickBot="1" x14ac:dyDescent="0.3">
      <c r="A60" s="234" t="s">
        <v>375</v>
      </c>
      <c r="C60" s="358">
        <v>870</v>
      </c>
      <c r="D60" s="329" t="s">
        <v>13</v>
      </c>
      <c r="E60" s="350">
        <v>1175</v>
      </c>
    </row>
    <row r="61" spans="1:6" ht="15.75" thickBot="1" x14ac:dyDescent="0.3">
      <c r="A61" s="234" t="s">
        <v>376</v>
      </c>
      <c r="D61" s="353">
        <v>1300</v>
      </c>
      <c r="E61" s="282"/>
    </row>
    <row r="62" spans="1:6" x14ac:dyDescent="0.25">
      <c r="A62" s="234" t="s">
        <v>378</v>
      </c>
    </row>
    <row r="65" spans="1:13" x14ac:dyDescent="0.25">
      <c r="A65" s="342"/>
      <c r="D65" s="331"/>
      <c r="H65" s="53"/>
      <c r="J65" s="333"/>
      <c r="K65" s="333"/>
      <c r="L65" s="334"/>
      <c r="M65" s="333"/>
    </row>
    <row r="66" spans="1:13" x14ac:dyDescent="0.25">
      <c r="A66" s="331"/>
      <c r="D66" s="193"/>
      <c r="I66" s="193"/>
      <c r="J66" s="364"/>
      <c r="K66" s="333"/>
      <c r="L66" s="334"/>
      <c r="M66" s="333"/>
    </row>
    <row r="67" spans="1:13" x14ac:dyDescent="0.25">
      <c r="A67" s="331" t="s">
        <v>386</v>
      </c>
      <c r="D67" s="193"/>
      <c r="I67" s="193"/>
      <c r="J67" s="365"/>
      <c r="K67" s="212"/>
      <c r="L67" s="212"/>
      <c r="M67" s="212"/>
    </row>
    <row r="68" spans="1:13" x14ac:dyDescent="0.25">
      <c r="A68" s="342" t="s">
        <v>387</v>
      </c>
      <c r="D68" s="193"/>
      <c r="I68" s="193"/>
      <c r="J68" s="365"/>
      <c r="K68" s="212"/>
      <c r="L68" s="332"/>
      <c r="M68" s="212"/>
    </row>
    <row r="69" spans="1:13" x14ac:dyDescent="0.25">
      <c r="A69" s="342" t="s">
        <v>392</v>
      </c>
      <c r="D69" s="193"/>
      <c r="I69" s="193"/>
      <c r="J69" s="365"/>
      <c r="K69" s="212"/>
      <c r="L69" s="212"/>
      <c r="M69" s="212"/>
    </row>
    <row r="70" spans="1:13" x14ac:dyDescent="0.25">
      <c r="A70" s="342" t="s">
        <v>389</v>
      </c>
      <c r="D70" s="193"/>
      <c r="I70" s="193"/>
      <c r="J70" s="365"/>
      <c r="K70" s="212"/>
      <c r="L70" s="212"/>
      <c r="M70" s="212"/>
    </row>
    <row r="71" spans="1:13" x14ac:dyDescent="0.25">
      <c r="D71" s="193"/>
      <c r="I71" s="193"/>
      <c r="J71" s="365"/>
      <c r="K71" s="212"/>
      <c r="L71" s="212"/>
      <c r="M71" s="212"/>
    </row>
    <row r="72" spans="1:13" x14ac:dyDescent="0.25">
      <c r="D72" s="193"/>
      <c r="I72" s="193"/>
      <c r="J72" s="365"/>
      <c r="K72" s="212"/>
      <c r="L72" s="212"/>
      <c r="M72" s="212"/>
    </row>
    <row r="73" spans="1:13" x14ac:dyDescent="0.25">
      <c r="D73" s="193"/>
      <c r="I73" s="193"/>
      <c r="J73" s="193"/>
    </row>
    <row r="74" spans="1:13" x14ac:dyDescent="0.25">
      <c r="D74" s="193"/>
      <c r="I74" s="193"/>
      <c r="J74" s="193"/>
    </row>
    <row r="75" spans="1:13" x14ac:dyDescent="0.25">
      <c r="A75" s="283" t="s">
        <v>180</v>
      </c>
      <c r="B75" s="283"/>
      <c r="D75" s="193"/>
      <c r="I75" s="193"/>
      <c r="J75" s="193"/>
    </row>
    <row r="76" spans="1:13" x14ac:dyDescent="0.25">
      <c r="A76" s="406" t="s">
        <v>405</v>
      </c>
      <c r="B76" s="406" t="s">
        <v>119</v>
      </c>
      <c r="C76" s="193"/>
      <c r="D76" s="193"/>
      <c r="I76" s="366"/>
      <c r="J76" s="193"/>
    </row>
    <row r="77" spans="1:13" x14ac:dyDescent="0.25">
      <c r="A77" s="193" t="s">
        <v>270</v>
      </c>
      <c r="B77" s="193">
        <v>0.57514757075828604</v>
      </c>
      <c r="C77" s="193"/>
      <c r="D77" s="193"/>
      <c r="E77" s="193"/>
      <c r="F77" s="193"/>
      <c r="G77" s="193"/>
      <c r="H77" s="193"/>
      <c r="I77" s="193"/>
      <c r="J77" s="193"/>
    </row>
    <row r="78" spans="1:13" x14ac:dyDescent="0.25">
      <c r="A78" t="s">
        <v>245</v>
      </c>
      <c r="B78">
        <v>1.51354623883759E-2</v>
      </c>
    </row>
    <row r="79" spans="1:13" x14ac:dyDescent="0.25">
      <c r="A79" t="s">
        <v>271</v>
      </c>
      <c r="B79">
        <v>4.2076585439685097</v>
      </c>
    </row>
    <row r="80" spans="1:13" x14ac:dyDescent="0.25">
      <c r="A80" t="s">
        <v>174</v>
      </c>
      <c r="B80">
        <v>8.7937036476464296</v>
      </c>
    </row>
    <row r="81" spans="1:19" x14ac:dyDescent="0.25">
      <c r="A81" t="s">
        <v>277</v>
      </c>
      <c r="B81">
        <v>1.36219161495383</v>
      </c>
      <c r="N81" t="s">
        <v>64</v>
      </c>
    </row>
    <row r="82" spans="1:19" x14ac:dyDescent="0.25">
      <c r="A82" t="s">
        <v>281</v>
      </c>
      <c r="B82">
        <v>0.181625548660511</v>
      </c>
    </row>
    <row r="83" spans="1:19" x14ac:dyDescent="0.25">
      <c r="A83" t="s">
        <v>283</v>
      </c>
      <c r="B83">
        <v>3.2389889511124501</v>
      </c>
    </row>
    <row r="84" spans="1:19" x14ac:dyDescent="0.25">
      <c r="A84" t="s">
        <v>284</v>
      </c>
      <c r="B84">
        <v>54.782806114726803</v>
      </c>
    </row>
    <row r="85" spans="1:19" x14ac:dyDescent="0.25">
      <c r="A85" t="s">
        <v>287</v>
      </c>
      <c r="B85">
        <v>26.608142878764902</v>
      </c>
    </row>
    <row r="88" spans="1:19" x14ac:dyDescent="0.25">
      <c r="A88" s="283" t="s">
        <v>149</v>
      </c>
      <c r="B88" s="283" t="s">
        <v>119</v>
      </c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  <row r="89" spans="1:19" x14ac:dyDescent="0.25">
      <c r="A89" t="s">
        <v>245</v>
      </c>
      <c r="B89">
        <v>6.6631130063965802E-2</v>
      </c>
    </row>
    <row r="90" spans="1:19" x14ac:dyDescent="0.25">
      <c r="A90" t="s">
        <v>271</v>
      </c>
      <c r="B90">
        <v>0.173240938166311</v>
      </c>
    </row>
    <row r="91" spans="1:19" x14ac:dyDescent="0.25">
      <c r="A91" t="s">
        <v>174</v>
      </c>
      <c r="B91">
        <v>33.7420042643923</v>
      </c>
    </row>
    <row r="92" spans="1:19" x14ac:dyDescent="0.25">
      <c r="A92" t="s">
        <v>278</v>
      </c>
      <c r="B92">
        <v>1.59914712153518</v>
      </c>
    </row>
    <row r="93" spans="1:19" x14ac:dyDescent="0.25">
      <c r="A93" t="s">
        <v>284</v>
      </c>
      <c r="B93">
        <v>51.545842217484001</v>
      </c>
    </row>
    <row r="94" spans="1:19" x14ac:dyDescent="0.25">
      <c r="A94" t="s">
        <v>287</v>
      </c>
      <c r="B94">
        <v>12.8731343283582</v>
      </c>
    </row>
    <row r="96" spans="1:19" x14ac:dyDescent="0.25">
      <c r="A96" s="283" t="s">
        <v>148</v>
      </c>
      <c r="B96" s="283" t="s">
        <v>119</v>
      </c>
    </row>
    <row r="97" spans="1:2" x14ac:dyDescent="0.25">
      <c r="A97" t="s">
        <v>271</v>
      </c>
      <c r="B97">
        <v>3.6563753381214399</v>
      </c>
    </row>
    <row r="98" spans="1:2" x14ac:dyDescent="0.25">
      <c r="A98" t="s">
        <v>174</v>
      </c>
      <c r="B98">
        <v>10.101669620371201</v>
      </c>
    </row>
    <row r="99" spans="1:2" x14ac:dyDescent="0.25">
      <c r="A99" t="s">
        <v>278</v>
      </c>
      <c r="B99">
        <v>0.97938625128252899</v>
      </c>
    </row>
    <row r="100" spans="1:2" x14ac:dyDescent="0.25">
      <c r="A100" t="s">
        <v>282</v>
      </c>
      <c r="B100">
        <v>8.3947392967073903E-2</v>
      </c>
    </row>
    <row r="101" spans="1:2" x14ac:dyDescent="0.25">
      <c r="A101" t="s">
        <v>284</v>
      </c>
      <c r="B101">
        <v>45.6114168454435</v>
      </c>
    </row>
    <row r="102" spans="1:2" x14ac:dyDescent="0.25">
      <c r="A102" t="s">
        <v>287</v>
      </c>
      <c r="B102">
        <v>39.5672045518142</v>
      </c>
    </row>
    <row r="104" spans="1:2" x14ac:dyDescent="0.25">
      <c r="A104" s="283" t="s">
        <v>65</v>
      </c>
      <c r="B104" s="283" t="s">
        <v>119</v>
      </c>
    </row>
    <row r="105" spans="1:2" x14ac:dyDescent="0.25">
      <c r="A105" t="s">
        <v>245</v>
      </c>
      <c r="B105">
        <v>4.8449612403100702E-2</v>
      </c>
    </row>
    <row r="106" spans="1:2" x14ac:dyDescent="0.25">
      <c r="A106" t="s">
        <v>271</v>
      </c>
      <c r="B106">
        <v>8.1031976744186096</v>
      </c>
    </row>
    <row r="107" spans="1:2" x14ac:dyDescent="0.25">
      <c r="A107" t="s">
        <v>174</v>
      </c>
      <c r="B107">
        <v>13.4084302325581</v>
      </c>
    </row>
    <row r="108" spans="1:2" x14ac:dyDescent="0.25">
      <c r="A108" t="s">
        <v>277</v>
      </c>
      <c r="B108">
        <v>7.2674418604651098E-2</v>
      </c>
    </row>
    <row r="109" spans="1:2" x14ac:dyDescent="0.25">
      <c r="A109" t="s">
        <v>278</v>
      </c>
      <c r="B109">
        <v>0.121124031007751</v>
      </c>
    </row>
    <row r="110" spans="1:2" x14ac:dyDescent="0.25">
      <c r="A110" t="s">
        <v>282</v>
      </c>
      <c r="B110">
        <v>0.18168604651162701</v>
      </c>
    </row>
    <row r="111" spans="1:2" x14ac:dyDescent="0.25">
      <c r="A111" t="s">
        <v>284</v>
      </c>
      <c r="B111">
        <v>45.578972868217001</v>
      </c>
    </row>
    <row r="112" spans="1:2" x14ac:dyDescent="0.25">
      <c r="A112" t="s">
        <v>287</v>
      </c>
      <c r="B112">
        <v>32.400678294573602</v>
      </c>
    </row>
    <row r="115" spans="1:2" s="222" customFormat="1" x14ac:dyDescent="0.25">
      <c r="A115" s="222" t="s">
        <v>406</v>
      </c>
    </row>
    <row r="116" spans="1:2" s="222" customFormat="1" x14ac:dyDescent="0.25">
      <c r="A116" s="222" t="s">
        <v>66</v>
      </c>
      <c r="B116" s="222" t="s">
        <v>119</v>
      </c>
    </row>
    <row r="117" spans="1:2" x14ac:dyDescent="0.25">
      <c r="A117" t="s">
        <v>278</v>
      </c>
      <c r="B117">
        <v>13.4935304990757</v>
      </c>
    </row>
    <row r="118" spans="1:2" x14ac:dyDescent="0.25">
      <c r="A118" t="s">
        <v>280</v>
      </c>
      <c r="B118">
        <v>14.094269870609899</v>
      </c>
    </row>
    <row r="119" spans="1:2" x14ac:dyDescent="0.25">
      <c r="A119" t="s">
        <v>281</v>
      </c>
      <c r="B119">
        <v>3.51201478743068</v>
      </c>
    </row>
    <row r="120" spans="1:2" x14ac:dyDescent="0.25">
      <c r="A120" t="s">
        <v>284</v>
      </c>
      <c r="B120">
        <v>24.3992606284658</v>
      </c>
    </row>
    <row r="121" spans="1:2" x14ac:dyDescent="0.25">
      <c r="A121" t="s">
        <v>285</v>
      </c>
      <c r="B121">
        <v>5.6377079482439898</v>
      </c>
    </row>
    <row r="122" spans="1:2" x14ac:dyDescent="0.25">
      <c r="A122" t="s">
        <v>286</v>
      </c>
      <c r="B122">
        <v>2.1256931608133001</v>
      </c>
    </row>
    <row r="123" spans="1:2" x14ac:dyDescent="0.25">
      <c r="A123" t="s">
        <v>288</v>
      </c>
      <c r="B123">
        <v>11.367837338262399</v>
      </c>
    </row>
    <row r="124" spans="1:2" x14ac:dyDescent="0.25">
      <c r="A124" t="s">
        <v>289</v>
      </c>
      <c r="B124">
        <v>25.369685767097899</v>
      </c>
    </row>
    <row r="126" spans="1:2" x14ac:dyDescent="0.25">
      <c r="A126" s="222" t="s">
        <v>407</v>
      </c>
      <c r="B126" s="222"/>
    </row>
    <row r="127" spans="1:2" x14ac:dyDescent="0.25">
      <c r="A127" s="222" t="s">
        <v>104</v>
      </c>
      <c r="B127" s="222" t="s">
        <v>119</v>
      </c>
    </row>
    <row r="128" spans="1:2" x14ac:dyDescent="0.25">
      <c r="A128" t="s">
        <v>271</v>
      </c>
      <c r="B128">
        <v>3.8151098324592398</v>
      </c>
    </row>
    <row r="129" spans="1:2" x14ac:dyDescent="0.25">
      <c r="A129" t="s">
        <v>174</v>
      </c>
      <c r="B129">
        <v>5.7227690470757002</v>
      </c>
    </row>
    <row r="130" spans="1:2" x14ac:dyDescent="0.25">
      <c r="A130" t="s">
        <v>277</v>
      </c>
      <c r="B130">
        <v>3.7088506359489799E-2</v>
      </c>
    </row>
    <row r="131" spans="1:2" x14ac:dyDescent="0.25">
      <c r="A131" t="s">
        <v>278</v>
      </c>
      <c r="B131">
        <v>6.3745088067471798</v>
      </c>
    </row>
    <row r="132" spans="1:2" x14ac:dyDescent="0.25">
      <c r="A132" t="s">
        <v>280</v>
      </c>
      <c r="B132">
        <v>44.574126740896503</v>
      </c>
    </row>
    <row r="133" spans="1:2" x14ac:dyDescent="0.25">
      <c r="A133" t="s">
        <v>284</v>
      </c>
      <c r="B133">
        <v>20.601893474634</v>
      </c>
    </row>
    <row r="134" spans="1:2" x14ac:dyDescent="0.25">
      <c r="A134" t="s">
        <v>287</v>
      </c>
      <c r="B134">
        <v>18.8745035918278</v>
      </c>
    </row>
    <row r="136" spans="1:2" x14ac:dyDescent="0.25">
      <c r="A136" s="222" t="s">
        <v>408</v>
      </c>
      <c r="B136" s="222"/>
    </row>
    <row r="137" spans="1:2" x14ac:dyDescent="0.25">
      <c r="A137" s="222" t="s">
        <v>409</v>
      </c>
      <c r="B137" s="222" t="s">
        <v>119</v>
      </c>
    </row>
    <row r="138" spans="1:2" x14ac:dyDescent="0.25">
      <c r="A138" t="s">
        <v>264</v>
      </c>
      <c r="B138">
        <v>10.9412326803631</v>
      </c>
    </row>
    <row r="139" spans="1:2" x14ac:dyDescent="0.25">
      <c r="A139" t="s">
        <v>273</v>
      </c>
      <c r="B139">
        <v>85.395763656633207</v>
      </c>
    </row>
    <row r="140" spans="1:2" x14ac:dyDescent="0.25">
      <c r="A140" t="s">
        <v>278</v>
      </c>
      <c r="B140">
        <v>1.72001911132345</v>
      </c>
    </row>
    <row r="141" spans="1:2" x14ac:dyDescent="0.25">
      <c r="A141" t="s">
        <v>284</v>
      </c>
      <c r="B141">
        <v>1.9429845516802</v>
      </c>
    </row>
    <row r="143" spans="1:2" x14ac:dyDescent="0.25">
      <c r="A143" s="222" t="s">
        <v>406</v>
      </c>
      <c r="B143" s="222"/>
    </row>
    <row r="144" spans="1:2" x14ac:dyDescent="0.25">
      <c r="A144" s="222" t="s">
        <v>108</v>
      </c>
      <c r="B144" s="222" t="s">
        <v>119</v>
      </c>
    </row>
    <row r="145" spans="1:2" x14ac:dyDescent="0.25">
      <c r="A145" t="s">
        <v>245</v>
      </c>
      <c r="B145">
        <v>0.93295342797347403</v>
      </c>
    </row>
    <row r="146" spans="1:2" x14ac:dyDescent="0.25">
      <c r="A146" t="s">
        <v>271</v>
      </c>
      <c r="B146">
        <v>0.26475705388436399</v>
      </c>
    </row>
    <row r="147" spans="1:2" x14ac:dyDescent="0.25">
      <c r="A147" t="s">
        <v>277</v>
      </c>
      <c r="B147">
        <v>0.14876824932549901</v>
      </c>
    </row>
    <row r="148" spans="1:2" x14ac:dyDescent="0.25">
      <c r="A148" t="s">
        <v>278</v>
      </c>
      <c r="B148">
        <v>0.33031594341763498</v>
      </c>
    </row>
    <row r="149" spans="1:2" x14ac:dyDescent="0.25">
      <c r="A149" t="s">
        <v>280</v>
      </c>
      <c r="B149">
        <v>4.3041932474343696</v>
      </c>
    </row>
    <row r="150" spans="1:2" x14ac:dyDescent="0.25">
      <c r="A150" t="s">
        <v>284</v>
      </c>
      <c r="B150">
        <v>90.457399329282097</v>
      </c>
    </row>
    <row r="151" spans="1:2" x14ac:dyDescent="0.25">
      <c r="A151" t="s">
        <v>285</v>
      </c>
      <c r="B151">
        <v>2.6374845558385198</v>
      </c>
    </row>
    <row r="152" spans="1:2" x14ac:dyDescent="0.25">
      <c r="A152" t="s">
        <v>288</v>
      </c>
      <c r="B152">
        <v>0.92412819284399506</v>
      </c>
    </row>
    <row r="154" spans="1:2" x14ac:dyDescent="0.25">
      <c r="A154" s="222" t="s">
        <v>410</v>
      </c>
      <c r="B154" s="222" t="s">
        <v>119</v>
      </c>
    </row>
    <row r="155" spans="1:2" x14ac:dyDescent="0.25">
      <c r="A155" t="s">
        <v>278</v>
      </c>
      <c r="B155">
        <v>4.4574907588606196</v>
      </c>
    </row>
    <row r="156" spans="1:2" x14ac:dyDescent="0.25">
      <c r="A156" t="s">
        <v>280</v>
      </c>
      <c r="B156">
        <v>49.749945640356501</v>
      </c>
    </row>
    <row r="157" spans="1:2" x14ac:dyDescent="0.25">
      <c r="A157" t="s">
        <v>284</v>
      </c>
      <c r="B157">
        <v>23.342030876277398</v>
      </c>
    </row>
    <row r="158" spans="1:2" x14ac:dyDescent="0.25">
      <c r="A158" t="s">
        <v>288</v>
      </c>
      <c r="B158">
        <v>22.450532724505301</v>
      </c>
    </row>
    <row r="160" spans="1:2" x14ac:dyDescent="0.25">
      <c r="A160" s="222" t="s">
        <v>407</v>
      </c>
      <c r="B160" s="222"/>
    </row>
    <row r="161" spans="1:2" x14ac:dyDescent="0.25">
      <c r="A161" s="222" t="s">
        <v>411</v>
      </c>
      <c r="B161" s="222" t="s">
        <v>119</v>
      </c>
    </row>
    <row r="162" spans="1:2" x14ac:dyDescent="0.25">
      <c r="A162" t="s">
        <v>284</v>
      </c>
      <c r="B162">
        <v>4.5302104851213896</v>
      </c>
    </row>
    <row r="163" spans="1:2" x14ac:dyDescent="0.25">
      <c r="A163" t="s">
        <v>287</v>
      </c>
      <c r="B163">
        <v>8.38836131380232E-2</v>
      </c>
    </row>
    <row r="164" spans="1:2" x14ac:dyDescent="0.25">
      <c r="A164" t="s">
        <v>290</v>
      </c>
      <c r="B164">
        <v>55.369129179112903</v>
      </c>
    </row>
    <row r="165" spans="1:2" x14ac:dyDescent="0.25">
      <c r="A165" t="s">
        <v>291</v>
      </c>
      <c r="B165">
        <v>40.016776722627597</v>
      </c>
    </row>
  </sheetData>
  <hyperlinks>
    <hyperlink ref="B58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73" zoomScale="70" zoomScaleNormal="70" workbookViewId="0">
      <selection activeCell="A48" sqref="A48:D64"/>
    </sheetView>
  </sheetViews>
  <sheetFormatPr defaultRowHeight="15" x14ac:dyDescent="0.25"/>
  <cols>
    <col min="1" max="1" width="35.7109375" bestFit="1" customWidth="1"/>
    <col min="2" max="2" width="18.28515625" customWidth="1"/>
    <col min="3" max="3" width="18.7109375" customWidth="1"/>
    <col min="4" max="4" width="15.7109375" customWidth="1"/>
    <col min="5" max="5" width="17.5703125" customWidth="1"/>
    <col min="6" max="6" width="20.28515625" customWidth="1"/>
    <col min="7" max="7" width="6.7109375" bestFit="1" customWidth="1"/>
    <col min="8" max="8" width="22.7109375" customWidth="1"/>
    <col min="10" max="10" width="14.42578125" customWidth="1"/>
    <col min="11" max="11" width="36.28515625" customWidth="1"/>
    <col min="12" max="12" width="54.28515625" customWidth="1"/>
    <col min="13" max="13" width="54.140625" customWidth="1"/>
  </cols>
  <sheetData>
    <row r="1" spans="1:17" s="226" customFormat="1" ht="60.75" thickBot="1" x14ac:dyDescent="0.3">
      <c r="A1" s="271" t="s">
        <v>250</v>
      </c>
      <c r="B1" s="272" t="s">
        <v>305</v>
      </c>
      <c r="C1" s="273" t="s">
        <v>251</v>
      </c>
      <c r="D1" s="273" t="s">
        <v>350</v>
      </c>
      <c r="E1" s="273" t="s">
        <v>255</v>
      </c>
      <c r="F1" s="274" t="s">
        <v>254</v>
      </c>
      <c r="G1" s="275"/>
    </row>
    <row r="2" spans="1:17" x14ac:dyDescent="0.25">
      <c r="A2" s="247" t="s">
        <v>227</v>
      </c>
      <c r="B2" s="248"/>
      <c r="C2" s="248">
        <v>2.44</v>
      </c>
      <c r="D2" s="248">
        <v>2</v>
      </c>
      <c r="E2" s="248">
        <v>2.13</v>
      </c>
      <c r="F2" s="249"/>
      <c r="N2" t="s">
        <v>219</v>
      </c>
      <c r="O2" t="s">
        <v>218</v>
      </c>
      <c r="P2" t="s">
        <v>217</v>
      </c>
      <c r="Q2" t="s">
        <v>216</v>
      </c>
    </row>
    <row r="3" spans="1:17" x14ac:dyDescent="0.25">
      <c r="A3" s="247" t="s">
        <v>229</v>
      </c>
      <c r="B3" s="250"/>
      <c r="C3" s="250">
        <v>1.9</v>
      </c>
      <c r="D3" s="250"/>
      <c r="E3" s="250"/>
      <c r="F3" s="251">
        <v>1.81</v>
      </c>
      <c r="M3" s="214" t="s">
        <v>215</v>
      </c>
      <c r="O3">
        <v>264</v>
      </c>
      <c r="P3">
        <v>100</v>
      </c>
      <c r="Q3">
        <v>1.91</v>
      </c>
    </row>
    <row r="4" spans="1:17" x14ac:dyDescent="0.25">
      <c r="A4" s="247" t="s">
        <v>230</v>
      </c>
      <c r="B4" s="250"/>
      <c r="C4" s="250">
        <v>2.15</v>
      </c>
      <c r="D4" s="250">
        <v>2.35</v>
      </c>
      <c r="E4" s="250"/>
      <c r="F4" s="251"/>
      <c r="M4" s="214" t="s">
        <v>214</v>
      </c>
      <c r="N4" t="s">
        <v>213</v>
      </c>
      <c r="O4">
        <v>192</v>
      </c>
      <c r="P4">
        <v>162</v>
      </c>
      <c r="Q4">
        <v>2.02</v>
      </c>
    </row>
    <row r="5" spans="1:17" x14ac:dyDescent="0.25">
      <c r="A5" s="252" t="s">
        <v>170</v>
      </c>
      <c r="B5" s="248">
        <v>0.33</v>
      </c>
      <c r="C5" s="253">
        <v>0.31</v>
      </c>
      <c r="D5" s="254">
        <v>0.4</v>
      </c>
      <c r="E5" s="250"/>
      <c r="F5" s="251"/>
      <c r="M5" s="214" t="s">
        <v>212</v>
      </c>
      <c r="N5" t="s">
        <v>211</v>
      </c>
      <c r="O5">
        <v>129</v>
      </c>
      <c r="P5">
        <v>105</v>
      </c>
      <c r="Q5">
        <v>1.91</v>
      </c>
    </row>
    <row r="6" spans="1:17" x14ac:dyDescent="0.25">
      <c r="A6" s="247" t="s">
        <v>232</v>
      </c>
      <c r="B6" s="250"/>
      <c r="C6" s="250">
        <v>2.42</v>
      </c>
      <c r="D6" s="254">
        <v>1.1100000000000001</v>
      </c>
      <c r="E6" s="250"/>
      <c r="F6" s="251"/>
      <c r="M6" t="s">
        <v>210</v>
      </c>
    </row>
    <row r="7" spans="1:17" x14ac:dyDescent="0.25">
      <c r="A7" s="247" t="s">
        <v>234</v>
      </c>
      <c r="B7" s="250"/>
      <c r="C7" s="250">
        <v>0.59</v>
      </c>
      <c r="D7" s="250"/>
      <c r="E7" s="250"/>
      <c r="F7" s="251"/>
      <c r="M7" s="213" t="s">
        <v>209</v>
      </c>
      <c r="N7" t="s">
        <v>208</v>
      </c>
      <c r="O7">
        <v>189</v>
      </c>
      <c r="P7">
        <v>78</v>
      </c>
      <c r="Q7">
        <v>2.91</v>
      </c>
    </row>
    <row r="8" spans="1:17" x14ac:dyDescent="0.25">
      <c r="A8" s="247" t="s">
        <v>235</v>
      </c>
      <c r="B8" s="248">
        <v>1.85</v>
      </c>
      <c r="C8" s="253">
        <v>1.92</v>
      </c>
      <c r="D8" s="254">
        <v>1.41</v>
      </c>
      <c r="E8" s="250">
        <v>2.68</v>
      </c>
      <c r="F8" s="251">
        <v>1.498</v>
      </c>
      <c r="M8" s="213" t="s">
        <v>207</v>
      </c>
      <c r="N8" t="s">
        <v>206</v>
      </c>
      <c r="O8">
        <v>294</v>
      </c>
      <c r="P8">
        <v>270</v>
      </c>
      <c r="Q8">
        <v>2.25</v>
      </c>
    </row>
    <row r="9" spans="1:17" x14ac:dyDescent="0.25">
      <c r="A9" s="247" t="s">
        <v>236</v>
      </c>
      <c r="B9" s="250"/>
      <c r="C9" s="250">
        <v>1.5</v>
      </c>
      <c r="D9" s="250"/>
      <c r="E9" s="250"/>
      <c r="F9" s="251"/>
      <c r="M9" s="213" t="s">
        <v>2</v>
      </c>
      <c r="N9" t="s">
        <v>205</v>
      </c>
      <c r="O9">
        <v>345</v>
      </c>
      <c r="P9">
        <v>312</v>
      </c>
      <c r="Q9">
        <v>2.2400000000000002</v>
      </c>
    </row>
    <row r="10" spans="1:17" x14ac:dyDescent="0.25">
      <c r="A10" s="247" t="s">
        <v>122</v>
      </c>
      <c r="B10" s="248">
        <v>2.35</v>
      </c>
      <c r="C10" s="253">
        <v>2.35</v>
      </c>
      <c r="D10" s="250">
        <v>2.85</v>
      </c>
      <c r="E10" s="250"/>
      <c r="F10" s="251"/>
      <c r="M10" s="213" t="s">
        <v>204</v>
      </c>
      <c r="N10" t="s">
        <v>203</v>
      </c>
      <c r="O10">
        <v>180</v>
      </c>
      <c r="P10">
        <v>108</v>
      </c>
      <c r="Q10">
        <v>1.88</v>
      </c>
    </row>
    <row r="11" spans="1:17" x14ac:dyDescent="0.25">
      <c r="A11" s="247" t="s">
        <v>237</v>
      </c>
      <c r="B11" s="248">
        <v>2.23</v>
      </c>
      <c r="C11" s="253">
        <v>2.2599999999999998</v>
      </c>
      <c r="D11" s="250">
        <v>3.02</v>
      </c>
      <c r="E11" s="250"/>
      <c r="F11" s="251">
        <v>2.3199999999999998</v>
      </c>
      <c r="M11" t="s">
        <v>202</v>
      </c>
    </row>
    <row r="12" spans="1:17" x14ac:dyDescent="0.25">
      <c r="A12" s="247" t="s">
        <v>238</v>
      </c>
      <c r="B12" s="250"/>
      <c r="C12" s="253">
        <v>3.05</v>
      </c>
      <c r="D12" s="254">
        <v>2.85</v>
      </c>
      <c r="E12" s="250">
        <v>2.64</v>
      </c>
      <c r="F12" s="251"/>
      <c r="M12" s="211" t="s">
        <v>201</v>
      </c>
      <c r="N12" t="s">
        <v>200</v>
      </c>
      <c r="O12">
        <v>192</v>
      </c>
      <c r="P12">
        <v>189</v>
      </c>
      <c r="Q12" t="s">
        <v>199</v>
      </c>
    </row>
    <row r="13" spans="1:17" x14ac:dyDescent="0.25">
      <c r="A13" s="247" t="s">
        <v>239</v>
      </c>
      <c r="B13" s="250"/>
      <c r="C13" s="250">
        <v>4.29</v>
      </c>
      <c r="D13" s="250"/>
      <c r="E13" s="250"/>
      <c r="F13" s="251"/>
      <c r="Q13" s="212" t="s">
        <v>196</v>
      </c>
    </row>
    <row r="14" spans="1:17" x14ac:dyDescent="0.25">
      <c r="A14" s="247" t="s">
        <v>241</v>
      </c>
      <c r="B14" s="248">
        <v>3.58</v>
      </c>
      <c r="C14" s="253">
        <v>3.96</v>
      </c>
      <c r="D14" s="254">
        <v>4.54</v>
      </c>
      <c r="E14" s="250"/>
      <c r="F14" s="251">
        <v>4</v>
      </c>
      <c r="M14" s="211" t="s">
        <v>198</v>
      </c>
      <c r="N14" t="s">
        <v>197</v>
      </c>
      <c r="O14">
        <v>66</v>
      </c>
      <c r="P14">
        <v>141</v>
      </c>
    </row>
    <row r="15" spans="1:17" x14ac:dyDescent="0.25">
      <c r="A15" s="247" t="s">
        <v>242</v>
      </c>
      <c r="B15" s="250"/>
      <c r="C15" s="250">
        <v>2.63</v>
      </c>
      <c r="D15" s="250"/>
      <c r="E15" s="250">
        <v>2.63</v>
      </c>
      <c r="F15" s="251"/>
      <c r="M15" s="211" t="s">
        <v>349</v>
      </c>
      <c r="N15" t="s">
        <v>195</v>
      </c>
      <c r="O15">
        <v>804</v>
      </c>
      <c r="P15">
        <v>450</v>
      </c>
      <c r="Q15" t="s">
        <v>194</v>
      </c>
    </row>
    <row r="16" spans="1:17" x14ac:dyDescent="0.25">
      <c r="A16" s="247" t="s">
        <v>243</v>
      </c>
      <c r="B16" s="250"/>
      <c r="C16" s="250">
        <v>2.79</v>
      </c>
      <c r="D16" s="250"/>
      <c r="E16" s="250">
        <v>2.79</v>
      </c>
      <c r="F16" s="251"/>
      <c r="H16" t="s">
        <v>446</v>
      </c>
      <c r="M16" t="s">
        <v>193</v>
      </c>
    </row>
    <row r="17" spans="1:26" x14ac:dyDescent="0.25">
      <c r="A17" s="255" t="s">
        <v>244</v>
      </c>
      <c r="B17" s="256"/>
      <c r="C17" s="256"/>
      <c r="D17" s="250">
        <v>0.77</v>
      </c>
      <c r="E17" s="256"/>
      <c r="F17" s="257"/>
      <c r="M17" s="210" t="s">
        <v>192</v>
      </c>
      <c r="N17" t="s">
        <v>191</v>
      </c>
      <c r="O17">
        <v>90</v>
      </c>
      <c r="P17">
        <v>72</v>
      </c>
      <c r="Q17">
        <v>4.1900000000000004</v>
      </c>
    </row>
    <row r="18" spans="1:26" x14ac:dyDescent="0.25">
      <c r="A18" s="255" t="s">
        <v>245</v>
      </c>
      <c r="B18" s="256"/>
      <c r="C18" s="256"/>
      <c r="D18" s="250">
        <v>1.05</v>
      </c>
      <c r="E18" s="256"/>
      <c r="F18" s="257"/>
      <c r="M18" s="210" t="s">
        <v>190</v>
      </c>
      <c r="N18" t="s">
        <v>189</v>
      </c>
      <c r="O18">
        <v>204</v>
      </c>
      <c r="P18">
        <v>102</v>
      </c>
      <c r="Q18">
        <v>3.14</v>
      </c>
    </row>
    <row r="19" spans="1:26" x14ac:dyDescent="0.25">
      <c r="A19" s="255" t="s">
        <v>173</v>
      </c>
      <c r="B19" s="256"/>
      <c r="C19" s="256"/>
      <c r="D19" s="254">
        <v>2.42</v>
      </c>
      <c r="E19" s="256"/>
      <c r="F19" s="257"/>
      <c r="M19" s="210" t="s">
        <v>188</v>
      </c>
      <c r="N19" t="s">
        <v>187</v>
      </c>
      <c r="O19">
        <v>135</v>
      </c>
      <c r="P19">
        <v>171</v>
      </c>
      <c r="Q19">
        <v>3.66</v>
      </c>
    </row>
    <row r="20" spans="1:26" x14ac:dyDescent="0.25">
      <c r="A20" s="258" t="s">
        <v>249</v>
      </c>
      <c r="B20" s="248">
        <v>1.7</v>
      </c>
      <c r="C20" s="248"/>
      <c r="D20" s="248"/>
      <c r="E20" s="248"/>
      <c r="F20" s="249"/>
      <c r="N20" t="s">
        <v>186</v>
      </c>
    </row>
    <row r="21" spans="1:26" x14ac:dyDescent="0.25">
      <c r="A21" s="258" t="s">
        <v>248</v>
      </c>
      <c r="B21" s="248">
        <v>0.4</v>
      </c>
      <c r="C21" s="248"/>
      <c r="D21" s="248"/>
      <c r="E21" s="248"/>
      <c r="F21" s="249"/>
    </row>
    <row r="22" spans="1:26" ht="15.75" thickBot="1" x14ac:dyDescent="0.3">
      <c r="A22" s="259" t="s">
        <v>172</v>
      </c>
      <c r="B22" s="260"/>
      <c r="C22" s="261"/>
      <c r="D22" s="261"/>
      <c r="E22" s="261"/>
      <c r="F22" s="262"/>
    </row>
    <row r="23" spans="1:26" ht="15.75" thickBot="1" x14ac:dyDescent="0.3">
      <c r="A23" s="223"/>
      <c r="B23" s="223"/>
      <c r="G23" s="222"/>
      <c r="O23" s="221"/>
    </row>
    <row r="24" spans="1:26" ht="15.75" thickBot="1" x14ac:dyDescent="0.3">
      <c r="A24" s="276"/>
      <c r="B24" s="277" t="s">
        <v>252</v>
      </c>
      <c r="C24" s="277" t="s">
        <v>253</v>
      </c>
      <c r="D24" s="278" t="s">
        <v>114</v>
      </c>
      <c r="M24" s="222"/>
      <c r="N24" s="222"/>
      <c r="O24" s="221"/>
    </row>
    <row r="25" spans="1:26" x14ac:dyDescent="0.25">
      <c r="A25" s="247" t="s">
        <v>227</v>
      </c>
      <c r="B25" s="248">
        <v>3000</v>
      </c>
      <c r="C25" s="248">
        <v>840</v>
      </c>
      <c r="D25" s="249" t="s">
        <v>228</v>
      </c>
      <c r="N25" s="222"/>
      <c r="O25" s="221"/>
    </row>
    <row r="26" spans="1:26" x14ac:dyDescent="0.25">
      <c r="A26" s="247" t="s">
        <v>229</v>
      </c>
      <c r="B26" s="248">
        <v>2870</v>
      </c>
      <c r="C26" s="248">
        <v>858</v>
      </c>
      <c r="D26" s="249"/>
      <c r="N26" s="222"/>
      <c r="O26" s="221"/>
    </row>
    <row r="27" spans="1:26" x14ac:dyDescent="0.25">
      <c r="A27" s="247" t="s">
        <v>230</v>
      </c>
      <c r="B27" s="248">
        <v>1500</v>
      </c>
      <c r="C27" s="248">
        <v>200</v>
      </c>
      <c r="D27" s="249" t="s">
        <v>231</v>
      </c>
      <c r="L27" s="225"/>
      <c r="N27" s="222"/>
      <c r="O27" s="221"/>
    </row>
    <row r="28" spans="1:26" x14ac:dyDescent="0.25">
      <c r="A28" s="252" t="s">
        <v>170</v>
      </c>
      <c r="B28" s="248">
        <v>1350</v>
      </c>
      <c r="C28" s="248">
        <v>1300</v>
      </c>
      <c r="D28" s="249"/>
      <c r="G28" s="221"/>
      <c r="N28" s="222"/>
      <c r="O28" s="221"/>
      <c r="T28" s="53"/>
      <c r="U28" s="53"/>
    </row>
    <row r="29" spans="1:26" x14ac:dyDescent="0.25">
      <c r="A29" s="247" t="s">
        <v>232</v>
      </c>
      <c r="B29" s="248">
        <v>2380</v>
      </c>
      <c r="C29" s="248">
        <v>860</v>
      </c>
      <c r="D29" s="249" t="s">
        <v>233</v>
      </c>
      <c r="M29" s="221"/>
      <c r="N29" s="221"/>
      <c r="O29" s="221"/>
      <c r="T29" s="53"/>
      <c r="U29" s="53"/>
    </row>
    <row r="30" spans="1:26" x14ac:dyDescent="0.25">
      <c r="A30" s="247" t="s">
        <v>234</v>
      </c>
      <c r="B30" s="250"/>
      <c r="C30" s="250"/>
      <c r="D30" s="249"/>
      <c r="M30" s="221"/>
      <c r="N30" s="221"/>
      <c r="O30" s="221"/>
      <c r="T30" s="53"/>
      <c r="U30" s="53"/>
    </row>
    <row r="31" spans="1:26" x14ac:dyDescent="0.25">
      <c r="A31" s="247" t="s">
        <v>235</v>
      </c>
      <c r="B31" s="250">
        <v>2600</v>
      </c>
      <c r="C31" s="250">
        <v>770</v>
      </c>
      <c r="D31" s="249"/>
      <c r="E31" s="167"/>
      <c r="F31" s="53"/>
      <c r="G31" s="53"/>
      <c r="H31" s="53"/>
      <c r="I31" s="53"/>
      <c r="J31" s="53"/>
      <c r="S31" s="53"/>
      <c r="T31" s="53"/>
      <c r="U31" s="53"/>
    </row>
    <row r="32" spans="1:26" x14ac:dyDescent="0.25">
      <c r="A32" s="247" t="s">
        <v>236</v>
      </c>
      <c r="B32" s="250">
        <v>2600</v>
      </c>
      <c r="C32" s="250">
        <v>390</v>
      </c>
      <c r="D32" s="249"/>
      <c r="M32" s="82"/>
      <c r="N32" s="82"/>
      <c r="O32" s="82"/>
      <c r="P32" s="82"/>
      <c r="Q32" s="82"/>
      <c r="R32" s="82"/>
      <c r="S32" s="62"/>
      <c r="T32" s="82"/>
      <c r="U32" s="82"/>
      <c r="V32" s="82"/>
      <c r="W32" s="82"/>
      <c r="X32" s="82"/>
      <c r="Y32" s="82"/>
      <c r="Z32" s="82"/>
    </row>
    <row r="33" spans="1:26" x14ac:dyDescent="0.25">
      <c r="A33" s="247" t="s">
        <v>122</v>
      </c>
      <c r="B33" s="250">
        <v>2760</v>
      </c>
      <c r="C33" s="250">
        <v>880</v>
      </c>
      <c r="D33" s="249"/>
      <c r="M33" s="82"/>
      <c r="N33" s="82"/>
      <c r="O33" s="82"/>
      <c r="P33" s="82"/>
      <c r="Q33" s="82"/>
      <c r="R33" s="82"/>
      <c r="S33" s="62"/>
      <c r="T33" s="82"/>
      <c r="U33" s="82"/>
      <c r="V33" s="82"/>
      <c r="W33" s="82"/>
      <c r="X33" s="82"/>
      <c r="Y33" s="82"/>
      <c r="Z33" s="82"/>
    </row>
    <row r="34" spans="1:26" x14ac:dyDescent="0.25">
      <c r="A34" s="247" t="s">
        <v>237</v>
      </c>
      <c r="B34" s="250">
        <v>2680</v>
      </c>
      <c r="C34" s="250">
        <v>910</v>
      </c>
      <c r="D34" s="249"/>
      <c r="M34" s="82"/>
      <c r="N34" s="82"/>
      <c r="O34" s="82"/>
      <c r="P34" s="82"/>
      <c r="Q34" s="82"/>
      <c r="R34" s="82"/>
      <c r="S34" s="62"/>
      <c r="T34" s="82"/>
      <c r="U34" s="82"/>
      <c r="V34" s="82"/>
      <c r="W34" s="82"/>
      <c r="X34" s="82"/>
      <c r="Y34" s="82"/>
      <c r="Z34" s="82"/>
    </row>
    <row r="35" spans="1:26" x14ac:dyDescent="0.25">
      <c r="A35" s="247" t="s">
        <v>238</v>
      </c>
      <c r="B35" s="250">
        <v>2760</v>
      </c>
      <c r="C35" s="250">
        <v>880</v>
      </c>
      <c r="D35" s="249"/>
      <c r="M35" s="82"/>
      <c r="N35" s="82"/>
      <c r="O35" s="82"/>
      <c r="P35" s="82"/>
      <c r="Q35" s="82"/>
      <c r="R35" s="82"/>
      <c r="S35" s="62"/>
      <c r="T35" s="82"/>
      <c r="U35" s="82"/>
      <c r="V35" s="82"/>
      <c r="W35" s="82"/>
      <c r="X35" s="82"/>
      <c r="Y35" s="82"/>
      <c r="Z35" s="82"/>
    </row>
    <row r="36" spans="1:26" x14ac:dyDescent="0.25">
      <c r="A36" s="247" t="s">
        <v>239</v>
      </c>
      <c r="B36" s="250">
        <v>2850</v>
      </c>
      <c r="C36" s="250">
        <v>920</v>
      </c>
      <c r="D36" s="249" t="s">
        <v>240</v>
      </c>
      <c r="M36" s="82"/>
      <c r="N36" s="82"/>
      <c r="O36" s="82"/>
      <c r="P36" s="82"/>
      <c r="Q36" s="82"/>
      <c r="R36" s="82"/>
      <c r="S36" s="62"/>
      <c r="T36" s="82"/>
      <c r="U36" s="82"/>
      <c r="V36" s="82"/>
      <c r="W36" s="82"/>
      <c r="X36" s="82"/>
      <c r="Y36" s="82"/>
      <c r="Z36" s="82"/>
    </row>
    <row r="37" spans="1:26" x14ac:dyDescent="0.25">
      <c r="A37" s="247" t="s">
        <v>241</v>
      </c>
      <c r="B37" s="250">
        <v>2460</v>
      </c>
      <c r="C37" s="250">
        <v>930</v>
      </c>
      <c r="D37" s="249"/>
      <c r="M37" s="82"/>
      <c r="N37" s="82"/>
      <c r="O37" s="82"/>
      <c r="P37" s="82"/>
      <c r="Q37" s="82"/>
      <c r="R37" s="82"/>
      <c r="S37" s="62"/>
      <c r="T37" s="82"/>
      <c r="U37" s="82"/>
      <c r="V37" s="82"/>
      <c r="W37" s="82"/>
      <c r="X37" s="82"/>
      <c r="Y37" s="82"/>
      <c r="Z37" s="82"/>
    </row>
    <row r="38" spans="1:26" x14ac:dyDescent="0.25">
      <c r="A38" s="247" t="s">
        <v>242</v>
      </c>
      <c r="B38" s="250">
        <v>2460</v>
      </c>
      <c r="C38" s="250">
        <v>930</v>
      </c>
      <c r="D38" s="249"/>
      <c r="M38" s="82"/>
      <c r="N38" s="82"/>
      <c r="O38" s="82"/>
      <c r="P38" s="82"/>
      <c r="Q38" s="82"/>
      <c r="R38" s="82"/>
      <c r="S38" s="62"/>
      <c r="T38" s="82"/>
      <c r="U38" s="82"/>
      <c r="V38" s="82"/>
      <c r="W38" s="82"/>
      <c r="X38" s="82"/>
      <c r="Y38" s="82"/>
      <c r="Z38" s="82"/>
    </row>
    <row r="39" spans="1:26" x14ac:dyDescent="0.25">
      <c r="A39" s="247" t="s">
        <v>243</v>
      </c>
      <c r="B39" s="250"/>
      <c r="C39" s="250"/>
      <c r="D39" s="249"/>
      <c r="M39" s="82"/>
      <c r="N39" s="82"/>
      <c r="O39" s="82"/>
      <c r="P39" s="82"/>
      <c r="Q39" s="82"/>
      <c r="R39" s="82"/>
      <c r="S39" s="62"/>
      <c r="T39" s="82"/>
      <c r="U39" s="82"/>
      <c r="V39" s="82"/>
      <c r="W39" s="82"/>
      <c r="X39" s="82"/>
      <c r="Y39" s="82"/>
      <c r="Z39" s="82"/>
    </row>
    <row r="40" spans="1:26" x14ac:dyDescent="0.25">
      <c r="A40" s="255" t="s">
        <v>244</v>
      </c>
      <c r="B40" s="263">
        <v>1900</v>
      </c>
      <c r="C40" s="263">
        <v>860</v>
      </c>
      <c r="D40" s="257"/>
      <c r="M40" s="82"/>
      <c r="N40" s="82"/>
      <c r="O40" s="82"/>
      <c r="P40" s="82"/>
      <c r="Q40" s="282"/>
      <c r="R40" s="82"/>
      <c r="S40" s="62"/>
      <c r="T40" s="82"/>
      <c r="U40" s="82"/>
      <c r="V40" s="82"/>
      <c r="W40" s="82"/>
      <c r="X40" s="82"/>
      <c r="Y40" s="82"/>
      <c r="Z40" s="82"/>
    </row>
    <row r="41" spans="1:26" x14ac:dyDescent="0.25">
      <c r="A41" s="255" t="s">
        <v>245</v>
      </c>
      <c r="B41" s="256">
        <v>2450</v>
      </c>
      <c r="C41" s="256">
        <v>920</v>
      </c>
      <c r="D41" s="257" t="s">
        <v>246</v>
      </c>
      <c r="M41" s="82"/>
      <c r="N41" s="82"/>
      <c r="O41" s="82"/>
      <c r="P41" s="82"/>
      <c r="Q41" s="82"/>
      <c r="R41" s="82"/>
      <c r="S41" s="62"/>
      <c r="T41" s="82"/>
      <c r="U41" s="82"/>
      <c r="V41" s="82"/>
      <c r="W41" s="82"/>
      <c r="X41" s="82"/>
      <c r="Y41" s="82"/>
      <c r="Z41" s="82"/>
    </row>
    <row r="42" spans="1:26" x14ac:dyDescent="0.25">
      <c r="A42" s="255" t="s">
        <v>173</v>
      </c>
      <c r="B42" s="256">
        <v>2680</v>
      </c>
      <c r="C42" s="256">
        <v>860</v>
      </c>
      <c r="D42" s="257"/>
      <c r="M42" s="82"/>
      <c r="N42" s="82"/>
      <c r="O42" s="82"/>
      <c r="P42" s="82"/>
      <c r="Q42" s="82"/>
      <c r="R42" s="82"/>
      <c r="S42" s="62"/>
      <c r="T42" s="82"/>
      <c r="U42" s="82"/>
      <c r="V42" s="82"/>
      <c r="W42" s="82"/>
      <c r="X42" s="82"/>
      <c r="Y42" s="82"/>
      <c r="Z42" s="82"/>
    </row>
    <row r="43" spans="1:26" x14ac:dyDescent="0.25">
      <c r="A43" s="258" t="s">
        <v>249</v>
      </c>
      <c r="B43" s="248"/>
      <c r="C43" s="248"/>
      <c r="D43" s="257" t="s">
        <v>246</v>
      </c>
      <c r="M43" s="82"/>
      <c r="N43" s="82"/>
      <c r="O43" s="82"/>
      <c r="P43" s="82"/>
      <c r="Q43" s="82"/>
      <c r="R43" s="82"/>
      <c r="S43" s="62"/>
      <c r="T43" s="82"/>
      <c r="U43" s="82"/>
      <c r="V43" s="82"/>
      <c r="W43" s="82"/>
      <c r="X43" s="82"/>
      <c r="Y43" s="82"/>
      <c r="Z43" s="82"/>
    </row>
    <row r="44" spans="1:26" x14ac:dyDescent="0.25">
      <c r="A44" s="258" t="s">
        <v>248</v>
      </c>
      <c r="B44" s="248"/>
      <c r="C44" s="248"/>
      <c r="D44" s="257" t="s">
        <v>247</v>
      </c>
      <c r="M44" s="82"/>
      <c r="N44" s="82"/>
      <c r="O44" s="82"/>
      <c r="P44" s="82"/>
      <c r="Q44" s="82"/>
      <c r="R44" s="82"/>
      <c r="S44" s="62"/>
      <c r="T44" s="82"/>
      <c r="U44" s="82"/>
      <c r="V44" s="82"/>
      <c r="W44" s="82"/>
      <c r="X44" s="82"/>
      <c r="Y44" s="82"/>
      <c r="Z44" s="82"/>
    </row>
    <row r="45" spans="1:26" x14ac:dyDescent="0.25">
      <c r="A45" s="258" t="s">
        <v>403</v>
      </c>
      <c r="B45" s="248">
        <v>2440</v>
      </c>
      <c r="C45" s="248"/>
      <c r="D45" s="257" t="s">
        <v>404</v>
      </c>
      <c r="M45" s="82"/>
      <c r="N45" s="82"/>
      <c r="O45" s="82"/>
      <c r="P45" s="82"/>
      <c r="Q45" s="82"/>
      <c r="R45" s="82"/>
      <c r="S45" s="62"/>
      <c r="T45" s="82"/>
      <c r="U45" s="82"/>
      <c r="V45" s="82"/>
      <c r="W45" s="82"/>
      <c r="X45" s="82"/>
      <c r="Y45" s="82"/>
      <c r="Z45" s="82"/>
    </row>
    <row r="46" spans="1:26" ht="15.75" thickBot="1" x14ac:dyDescent="0.3">
      <c r="A46" s="259" t="s">
        <v>172</v>
      </c>
      <c r="B46" s="264">
        <v>1000</v>
      </c>
      <c r="C46" s="261">
        <v>4185</v>
      </c>
      <c r="D46" s="262"/>
      <c r="M46" t="s">
        <v>351</v>
      </c>
      <c r="S46" s="53"/>
    </row>
    <row r="47" spans="1:26" ht="15.75" thickBot="1" x14ac:dyDescent="0.3">
      <c r="A47" s="53"/>
      <c r="B47" s="53"/>
    </row>
    <row r="48" spans="1:26" ht="30.75" thickBot="1" x14ac:dyDescent="0.3">
      <c r="A48" s="276"/>
      <c r="B48" s="279" t="s">
        <v>224</v>
      </c>
      <c r="C48" s="280" t="s">
        <v>225</v>
      </c>
      <c r="D48" s="281" t="s">
        <v>226</v>
      </c>
    </row>
    <row r="49" spans="1:11" x14ac:dyDescent="0.25">
      <c r="A49" s="247" t="s">
        <v>227</v>
      </c>
      <c r="B49" s="265">
        <v>0.32400000000000001</v>
      </c>
      <c r="C49" s="248"/>
      <c r="D49" s="266"/>
    </row>
    <row r="50" spans="1:11" x14ac:dyDescent="0.25">
      <c r="A50" s="247" t="s">
        <v>229</v>
      </c>
      <c r="B50" s="265">
        <v>0.32400000000000001</v>
      </c>
      <c r="C50" s="248"/>
      <c r="D50" s="266"/>
    </row>
    <row r="51" spans="1:11" x14ac:dyDescent="0.25">
      <c r="A51" s="247" t="s">
        <v>230</v>
      </c>
      <c r="B51" s="265">
        <v>0.32400000000000001</v>
      </c>
      <c r="C51" s="248"/>
      <c r="D51" s="249"/>
    </row>
    <row r="52" spans="1:11" x14ac:dyDescent="0.25">
      <c r="A52" s="252" t="s">
        <v>170</v>
      </c>
      <c r="B52" s="248"/>
      <c r="C52" s="248"/>
      <c r="D52" s="249">
        <v>0.5</v>
      </c>
    </row>
    <row r="53" spans="1:11" x14ac:dyDescent="0.25">
      <c r="A53" s="247" t="s">
        <v>232</v>
      </c>
      <c r="B53" s="248"/>
      <c r="C53" s="248"/>
      <c r="D53" s="249"/>
      <c r="E53" s="53"/>
      <c r="F53" s="53"/>
      <c r="G53" s="53"/>
      <c r="H53" s="53"/>
      <c r="I53" s="53"/>
      <c r="J53" s="53"/>
      <c r="K53" s="53"/>
    </row>
    <row r="54" spans="1:11" x14ac:dyDescent="0.25">
      <c r="A54" s="247" t="s">
        <v>234</v>
      </c>
      <c r="B54" s="248"/>
      <c r="C54" s="248"/>
      <c r="D54" s="249"/>
    </row>
    <row r="55" spans="1:11" x14ac:dyDescent="0.25">
      <c r="A55" s="247" t="s">
        <v>235</v>
      </c>
      <c r="B55" s="248"/>
      <c r="C55" s="248">
        <f>B56</f>
        <v>2.7250000000000001</v>
      </c>
      <c r="D55" s="249"/>
    </row>
    <row r="56" spans="1:11" x14ac:dyDescent="0.25">
      <c r="A56" s="247" t="s">
        <v>236</v>
      </c>
      <c r="B56" s="250">
        <v>2.7250000000000001</v>
      </c>
      <c r="C56" s="248"/>
      <c r="D56" s="249"/>
      <c r="F56" t="s">
        <v>445</v>
      </c>
    </row>
    <row r="57" spans="1:11" x14ac:dyDescent="0.25">
      <c r="A57" s="247" t="s">
        <v>122</v>
      </c>
      <c r="B57" s="248"/>
      <c r="C57" s="248"/>
      <c r="D57" s="251">
        <v>0.7</v>
      </c>
    </row>
    <row r="58" spans="1:11" x14ac:dyDescent="0.25">
      <c r="A58" s="247" t="s">
        <v>237</v>
      </c>
      <c r="B58" s="250"/>
      <c r="C58" s="248">
        <v>1.44</v>
      </c>
      <c r="D58" s="249"/>
    </row>
    <row r="59" spans="1:11" x14ac:dyDescent="0.25">
      <c r="A59" s="247" t="s">
        <v>238</v>
      </c>
      <c r="B59" s="250">
        <v>2.5129999999999999</v>
      </c>
      <c r="C59" s="250">
        <v>0.93</v>
      </c>
      <c r="D59" s="267"/>
      <c r="G59" t="s">
        <v>360</v>
      </c>
      <c r="H59" t="s">
        <v>360</v>
      </c>
      <c r="I59" t="s">
        <v>361</v>
      </c>
      <c r="J59" t="s">
        <v>361</v>
      </c>
    </row>
    <row r="60" spans="1:11" x14ac:dyDescent="0.25">
      <c r="A60" s="247" t="s">
        <v>239</v>
      </c>
      <c r="B60" s="248"/>
      <c r="C60" s="248"/>
      <c r="D60" s="267"/>
      <c r="F60" t="s">
        <v>359</v>
      </c>
      <c r="G60">
        <v>0.76</v>
      </c>
      <c r="H60" s="319">
        <f>$H$69*G60/$G$69</f>
        <v>0.97410920276852098</v>
      </c>
      <c r="I60">
        <v>0</v>
      </c>
      <c r="J60" s="319">
        <f>$J$69*I60/$I$69</f>
        <v>0</v>
      </c>
    </row>
    <row r="61" spans="1:11" x14ac:dyDescent="0.25">
      <c r="A61" s="247" t="s">
        <v>241</v>
      </c>
      <c r="B61" s="248"/>
      <c r="C61" s="248">
        <v>0.9</v>
      </c>
      <c r="D61" s="249"/>
      <c r="F61" t="s">
        <v>271</v>
      </c>
      <c r="G61">
        <v>0.44</v>
      </c>
      <c r="H61" s="319">
        <f t="shared" ref="H61:H68" si="0">$H$69*G61/$G$69</f>
        <v>0.56395795949756478</v>
      </c>
      <c r="I61">
        <v>0.28999999999999998</v>
      </c>
      <c r="J61" s="319">
        <f t="shared" ref="J61:J68" si="1">$J$69*I61/$I$69</f>
        <v>0.43400179586950005</v>
      </c>
    </row>
    <row r="62" spans="1:11" x14ac:dyDescent="0.25">
      <c r="A62" s="247" t="s">
        <v>242</v>
      </c>
      <c r="B62" s="248"/>
      <c r="C62" s="248"/>
      <c r="D62" s="249"/>
      <c r="F62" t="s">
        <v>352</v>
      </c>
      <c r="G62">
        <v>0.49</v>
      </c>
      <c r="H62" s="319">
        <f t="shared" si="0"/>
        <v>0.62804409125865168</v>
      </c>
      <c r="I62">
        <v>0.09</v>
      </c>
      <c r="J62" s="319">
        <f t="shared" si="1"/>
        <v>0.13469021251122418</v>
      </c>
    </row>
    <row r="63" spans="1:11" x14ac:dyDescent="0.25">
      <c r="A63" s="247" t="s">
        <v>243</v>
      </c>
      <c r="B63" s="248"/>
      <c r="C63" s="248"/>
      <c r="D63" s="249"/>
      <c r="F63" t="s">
        <v>353</v>
      </c>
      <c r="G63">
        <v>0.63</v>
      </c>
      <c r="H63" s="319">
        <f t="shared" si="0"/>
        <v>0.80748526018969502</v>
      </c>
      <c r="I63">
        <v>0.95</v>
      </c>
      <c r="J63" s="319">
        <f t="shared" si="1"/>
        <v>1.4217300209518107</v>
      </c>
    </row>
    <row r="64" spans="1:11" x14ac:dyDescent="0.25">
      <c r="A64" s="255" t="s">
        <v>244</v>
      </c>
      <c r="B64" s="268">
        <v>3.8220000000000001</v>
      </c>
      <c r="C64" s="248"/>
      <c r="D64" s="269"/>
      <c r="F64" t="s">
        <v>354</v>
      </c>
      <c r="G64">
        <v>38.840000000000003</v>
      </c>
      <c r="H64" s="319">
        <f t="shared" si="0"/>
        <v>49.782107152012316</v>
      </c>
      <c r="I64">
        <v>37.950000000000003</v>
      </c>
      <c r="J64" s="319">
        <f t="shared" si="1"/>
        <v>56.794372942232862</v>
      </c>
    </row>
    <row r="65" spans="1:10" x14ac:dyDescent="0.25">
      <c r="A65" s="255" t="s">
        <v>245</v>
      </c>
      <c r="B65" s="248"/>
      <c r="C65" s="248"/>
      <c r="D65" s="266"/>
      <c r="F65" t="s">
        <v>355</v>
      </c>
      <c r="G65">
        <v>10.88</v>
      </c>
      <c r="H65" s="319">
        <f t="shared" si="0"/>
        <v>13.945142271212511</v>
      </c>
      <c r="I65">
        <v>11.62</v>
      </c>
      <c r="J65" s="319">
        <f t="shared" si="1"/>
        <v>17.390002993115832</v>
      </c>
    </row>
    <row r="66" spans="1:10" x14ac:dyDescent="0.25">
      <c r="A66" s="255" t="s">
        <v>173</v>
      </c>
      <c r="B66" s="248"/>
      <c r="C66" s="248"/>
      <c r="D66" s="266"/>
      <c r="F66" t="s">
        <v>356</v>
      </c>
      <c r="G66">
        <v>20.74</v>
      </c>
      <c r="H66" s="319">
        <f t="shared" si="0"/>
        <v>26.582927454498847</v>
      </c>
      <c r="I66">
        <v>9.31</v>
      </c>
      <c r="J66" s="319">
        <f t="shared" si="1"/>
        <v>13.932954205327745</v>
      </c>
    </row>
    <row r="67" spans="1:10" x14ac:dyDescent="0.25">
      <c r="A67" s="258" t="s">
        <v>249</v>
      </c>
      <c r="B67" s="248"/>
      <c r="C67" s="248"/>
      <c r="D67" s="266"/>
      <c r="F67" t="s">
        <v>357</v>
      </c>
      <c r="G67">
        <v>0.86</v>
      </c>
      <c r="H67" s="319">
        <f t="shared" si="0"/>
        <v>1.1022814662906948</v>
      </c>
      <c r="I67">
        <v>0</v>
      </c>
      <c r="J67" s="319">
        <f t="shared" si="1"/>
        <v>0</v>
      </c>
    </row>
    <row r="68" spans="1:10" x14ac:dyDescent="0.25">
      <c r="A68" s="258" t="s">
        <v>248</v>
      </c>
      <c r="B68" s="248"/>
      <c r="C68" s="248"/>
      <c r="D68" s="266"/>
      <c r="F68" t="s">
        <v>358</v>
      </c>
      <c r="G68">
        <v>4.38</v>
      </c>
      <c r="H68" s="319">
        <f t="shared" si="0"/>
        <v>5.6139451422712128</v>
      </c>
      <c r="I68">
        <v>6.61</v>
      </c>
      <c r="J68" s="319">
        <f t="shared" si="1"/>
        <v>9.8922478299910193</v>
      </c>
    </row>
    <row r="69" spans="1:10" ht="15.75" thickBot="1" x14ac:dyDescent="0.3">
      <c r="A69" s="259" t="s">
        <v>172</v>
      </c>
      <c r="B69" s="261"/>
      <c r="C69" s="261"/>
      <c r="D69" s="270"/>
      <c r="G69" s="319">
        <f>SUM(G60:G68)</f>
        <v>78.02</v>
      </c>
      <c r="H69">
        <v>100</v>
      </c>
      <c r="I69" s="319">
        <f>SUM(I60:I68)</f>
        <v>66.820000000000007</v>
      </c>
      <c r="J69">
        <v>100</v>
      </c>
    </row>
    <row r="70" spans="1:10" x14ac:dyDescent="0.25">
      <c r="A70" s="258"/>
    </row>
    <row r="71" spans="1:10" x14ac:dyDescent="0.25">
      <c r="A71" s="222"/>
    </row>
    <row r="72" spans="1:10" x14ac:dyDescent="0.25">
      <c r="A72" s="222" t="s">
        <v>308</v>
      </c>
      <c r="B72" t="s">
        <v>294</v>
      </c>
      <c r="C72" t="s">
        <v>293</v>
      </c>
    </row>
    <row r="73" spans="1:10" x14ac:dyDescent="0.25">
      <c r="A73" s="222" t="s">
        <v>296</v>
      </c>
      <c r="B73" s="225">
        <v>0.1</v>
      </c>
      <c r="C73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topLeftCell="C34" zoomScale="85" zoomScaleNormal="85" workbookViewId="0">
      <selection activeCell="I38" sqref="I38"/>
    </sheetView>
  </sheetViews>
  <sheetFormatPr defaultRowHeight="15" x14ac:dyDescent="0.25"/>
  <cols>
    <col min="11" max="11" width="12.7109375" bestFit="1" customWidth="1"/>
    <col min="19" max="19" width="12.42578125" bestFit="1" customWidth="1"/>
  </cols>
  <sheetData>
    <row r="1" spans="1:22" x14ac:dyDescent="0.25">
      <c r="E1" t="s">
        <v>256</v>
      </c>
      <c r="G1" t="s">
        <v>162</v>
      </c>
      <c r="J1" s="224" t="s">
        <v>258</v>
      </c>
      <c r="K1" t="s">
        <v>259</v>
      </c>
      <c r="L1" s="224" t="s">
        <v>260</v>
      </c>
      <c r="M1" s="399">
        <f>M2</f>
        <v>1.8</v>
      </c>
      <c r="N1" t="s">
        <v>261</v>
      </c>
      <c r="O1" s="399">
        <f>O2</f>
        <v>840</v>
      </c>
      <c r="P1" t="s">
        <v>261</v>
      </c>
      <c r="Q1" s="399">
        <f>Q2</f>
        <v>3000</v>
      </c>
      <c r="R1" t="s">
        <v>261</v>
      </c>
      <c r="S1" s="399">
        <f>M1/(O1*Q1)</f>
        <v>7.1428571428571431E-7</v>
      </c>
      <c r="T1" t="s">
        <v>261</v>
      </c>
      <c r="U1" s="400">
        <v>8.9599999999999998E-7</v>
      </c>
      <c r="V1" s="207" t="s">
        <v>262</v>
      </c>
    </row>
    <row r="2" spans="1:22" x14ac:dyDescent="0.25">
      <c r="A2" t="s">
        <v>257</v>
      </c>
      <c r="B2" s="224" t="s">
        <v>258</v>
      </c>
      <c r="C2" t="s">
        <v>259</v>
      </c>
      <c r="D2" s="224" t="s">
        <v>260</v>
      </c>
      <c r="E2">
        <v>2.35</v>
      </c>
      <c r="F2" t="s">
        <v>261</v>
      </c>
      <c r="G2" s="207">
        <v>8.9599999999999998E-7</v>
      </c>
      <c r="H2" s="207" t="s">
        <v>262</v>
      </c>
      <c r="J2" s="224" t="s">
        <v>258</v>
      </c>
      <c r="K2" t="s">
        <v>264</v>
      </c>
      <c r="L2" s="224" t="s">
        <v>260</v>
      </c>
      <c r="M2">
        <v>1.8</v>
      </c>
      <c r="N2" t="s">
        <v>261</v>
      </c>
      <c r="O2" s="399">
        <v>840</v>
      </c>
      <c r="P2" t="s">
        <v>261</v>
      </c>
      <c r="Q2" s="399">
        <v>3000</v>
      </c>
      <c r="R2" t="s">
        <v>261</v>
      </c>
      <c r="S2" s="399">
        <f>M2/(O2*Q2)</f>
        <v>7.1428571428571431E-7</v>
      </c>
      <c r="T2" t="s">
        <v>261</v>
      </c>
      <c r="U2" s="400">
        <v>5.4000000000000002E-7</v>
      </c>
      <c r="V2" s="207" t="s">
        <v>262</v>
      </c>
    </row>
    <row r="3" spans="1:22" x14ac:dyDescent="0.25">
      <c r="A3" t="s">
        <v>263</v>
      </c>
      <c r="B3" s="224" t="s">
        <v>258</v>
      </c>
      <c r="C3" t="s">
        <v>264</v>
      </c>
      <c r="D3" s="224" t="s">
        <v>260</v>
      </c>
      <c r="E3">
        <v>1.4</v>
      </c>
      <c r="F3" t="s">
        <v>261</v>
      </c>
      <c r="G3" s="207">
        <v>5.4000000000000002E-7</v>
      </c>
      <c r="H3" s="207" t="s">
        <v>262</v>
      </c>
      <c r="J3" s="224" t="s">
        <v>258</v>
      </c>
      <c r="K3" t="s">
        <v>270</v>
      </c>
      <c r="L3" s="224" t="s">
        <v>260</v>
      </c>
      <c r="M3">
        <v>1.1100000000000001</v>
      </c>
      <c r="N3" t="s">
        <v>261</v>
      </c>
      <c r="O3">
        <v>860</v>
      </c>
      <c r="P3" t="s">
        <v>261</v>
      </c>
      <c r="Q3">
        <v>1900</v>
      </c>
      <c r="R3" t="s">
        <v>261</v>
      </c>
      <c r="S3" s="399">
        <f t="shared" ref="S3:S24" si="0">M3/(O3*Q3)</f>
        <v>6.7931456548347624E-7</v>
      </c>
      <c r="T3" t="s">
        <v>261</v>
      </c>
      <c r="U3" s="400">
        <f>G9</f>
        <v>1.9E-6</v>
      </c>
      <c r="V3" s="207" t="s">
        <v>262</v>
      </c>
    </row>
    <row r="4" spans="1:22" x14ac:dyDescent="0.25">
      <c r="A4" t="s">
        <v>263</v>
      </c>
      <c r="B4" s="224" t="s">
        <v>258</v>
      </c>
      <c r="C4" t="s">
        <v>265</v>
      </c>
      <c r="D4" s="224" t="s">
        <v>260</v>
      </c>
      <c r="E4">
        <v>4.54</v>
      </c>
      <c r="F4" t="s">
        <v>261</v>
      </c>
      <c r="G4" s="207">
        <v>8.9599999999999998E-7</v>
      </c>
      <c r="H4" s="207" t="s">
        <v>262</v>
      </c>
      <c r="J4" s="224" t="s">
        <v>258</v>
      </c>
      <c r="K4" t="s">
        <v>245</v>
      </c>
      <c r="L4" s="224" t="s">
        <v>260</v>
      </c>
      <c r="M4" s="399">
        <f>M3</f>
        <v>1.1100000000000001</v>
      </c>
      <c r="N4" t="s">
        <v>261</v>
      </c>
      <c r="O4" s="399">
        <v>920</v>
      </c>
      <c r="P4" t="s">
        <v>261</v>
      </c>
      <c r="Q4" s="399">
        <v>2450</v>
      </c>
      <c r="R4" t="s">
        <v>261</v>
      </c>
      <c r="S4" s="399">
        <f t="shared" si="0"/>
        <v>4.9245785270629995E-7</v>
      </c>
      <c r="T4" t="s">
        <v>261</v>
      </c>
      <c r="U4" s="400">
        <f>G10</f>
        <v>1.9E-6</v>
      </c>
      <c r="V4" s="207" t="s">
        <v>262</v>
      </c>
    </row>
    <row r="5" spans="1:22" x14ac:dyDescent="0.25">
      <c r="A5" t="s">
        <v>263</v>
      </c>
      <c r="B5" s="224" t="s">
        <v>258</v>
      </c>
      <c r="C5" t="s">
        <v>266</v>
      </c>
      <c r="D5" s="224" t="s">
        <v>260</v>
      </c>
      <c r="E5">
        <v>2.74</v>
      </c>
      <c r="F5" t="s">
        <v>261</v>
      </c>
      <c r="G5" s="207">
        <v>8.9599999999999998E-7</v>
      </c>
      <c r="H5" s="207" t="s">
        <v>262</v>
      </c>
      <c r="J5" s="224" t="s">
        <v>258</v>
      </c>
      <c r="K5" t="s">
        <v>271</v>
      </c>
      <c r="L5" s="224" t="s">
        <v>260</v>
      </c>
      <c r="M5">
        <v>0.4</v>
      </c>
      <c r="N5" t="s">
        <v>261</v>
      </c>
      <c r="O5">
        <v>1300</v>
      </c>
      <c r="P5" t="s">
        <v>261</v>
      </c>
      <c r="Q5">
        <v>1350</v>
      </c>
      <c r="R5" t="s">
        <v>261</v>
      </c>
      <c r="S5" s="399">
        <f t="shared" si="0"/>
        <v>2.2792022792022794E-7</v>
      </c>
      <c r="T5" t="s">
        <v>261</v>
      </c>
      <c r="U5" s="400">
        <v>4.9999999999999998E-7</v>
      </c>
      <c r="V5" s="207" t="s">
        <v>262</v>
      </c>
    </row>
    <row r="6" spans="1:22" x14ac:dyDescent="0.25">
      <c r="A6" t="s">
        <v>263</v>
      </c>
      <c r="B6" s="224" t="s">
        <v>258</v>
      </c>
      <c r="C6" t="s">
        <v>267</v>
      </c>
      <c r="D6" s="224" t="s">
        <v>260</v>
      </c>
      <c r="E6">
        <v>2.85</v>
      </c>
      <c r="F6" t="s">
        <v>261</v>
      </c>
      <c r="G6" s="207">
        <v>2.0660000000000002E-6</v>
      </c>
      <c r="H6" s="207" t="s">
        <v>262</v>
      </c>
      <c r="J6" s="224" t="s">
        <v>258</v>
      </c>
      <c r="K6" t="s">
        <v>272</v>
      </c>
      <c r="L6" s="224" t="s">
        <v>260</v>
      </c>
      <c r="M6" s="399">
        <f>E12</f>
        <v>2.74</v>
      </c>
      <c r="N6" t="s">
        <v>261</v>
      </c>
      <c r="O6" s="399">
        <v>930</v>
      </c>
      <c r="P6" t="s">
        <v>261</v>
      </c>
      <c r="Q6" s="399">
        <v>2460</v>
      </c>
      <c r="R6" t="s">
        <v>261</v>
      </c>
      <c r="S6" s="399">
        <f t="shared" si="0"/>
        <v>1.1976571378617013E-6</v>
      </c>
      <c r="T6" t="s">
        <v>261</v>
      </c>
      <c r="U6" s="400">
        <f>G12</f>
        <v>8.9599999999999998E-7</v>
      </c>
      <c r="V6" s="207" t="s">
        <v>262</v>
      </c>
    </row>
    <row r="7" spans="1:22" x14ac:dyDescent="0.25">
      <c r="A7" t="s">
        <v>263</v>
      </c>
      <c r="B7" s="224" t="s">
        <v>258</v>
      </c>
      <c r="C7" t="s">
        <v>268</v>
      </c>
      <c r="D7" s="224" t="s">
        <v>260</v>
      </c>
      <c r="E7">
        <v>2.85</v>
      </c>
      <c r="F7" t="s">
        <v>261</v>
      </c>
      <c r="G7" s="207">
        <v>2.0660000000000002E-6</v>
      </c>
      <c r="H7" s="207" t="s">
        <v>262</v>
      </c>
      <c r="J7" s="224" t="s">
        <v>258</v>
      </c>
      <c r="K7" t="s">
        <v>273</v>
      </c>
      <c r="L7" s="224" t="s">
        <v>260</v>
      </c>
      <c r="M7">
        <v>1.81</v>
      </c>
      <c r="N7" t="s">
        <v>261</v>
      </c>
      <c r="O7">
        <v>858</v>
      </c>
      <c r="P7" t="s">
        <v>261</v>
      </c>
      <c r="Q7">
        <v>2870</v>
      </c>
      <c r="R7" t="s">
        <v>261</v>
      </c>
      <c r="S7" s="399">
        <f t="shared" si="0"/>
        <v>7.3503732040317404E-7</v>
      </c>
      <c r="T7" t="s">
        <v>261</v>
      </c>
      <c r="U7" s="400">
        <v>5.4000000000000002E-7</v>
      </c>
      <c r="V7" s="207" t="s">
        <v>262</v>
      </c>
    </row>
    <row r="8" spans="1:22" x14ac:dyDescent="0.25">
      <c r="A8" t="s">
        <v>263</v>
      </c>
      <c r="B8" s="224" t="s">
        <v>258</v>
      </c>
      <c r="C8" t="s">
        <v>269</v>
      </c>
      <c r="D8" s="224" t="s">
        <v>260</v>
      </c>
      <c r="E8">
        <v>7.94</v>
      </c>
      <c r="F8" t="s">
        <v>261</v>
      </c>
      <c r="G8" s="207">
        <v>8.9599999999999998E-7</v>
      </c>
      <c r="H8" s="207" t="s">
        <v>262</v>
      </c>
      <c r="J8" s="224" t="s">
        <v>258</v>
      </c>
      <c r="K8" t="s">
        <v>274</v>
      </c>
      <c r="L8" s="224" t="s">
        <v>260</v>
      </c>
      <c r="M8" s="399">
        <f>E14</f>
        <v>3.94</v>
      </c>
      <c r="N8" t="s">
        <v>261</v>
      </c>
      <c r="O8" s="399">
        <v>920</v>
      </c>
      <c r="P8" t="s">
        <v>261</v>
      </c>
      <c r="Q8" s="399">
        <v>2850</v>
      </c>
      <c r="R8" t="s">
        <v>261</v>
      </c>
      <c r="S8" s="399">
        <f t="shared" si="0"/>
        <v>1.5026697177726927E-6</v>
      </c>
      <c r="T8" t="s">
        <v>261</v>
      </c>
      <c r="U8" s="400">
        <f>G14</f>
        <v>7.8000000000000005E-7</v>
      </c>
      <c r="V8" s="207" t="s">
        <v>262</v>
      </c>
    </row>
    <row r="9" spans="1:22" x14ac:dyDescent="0.25">
      <c r="A9" t="s">
        <v>263</v>
      </c>
      <c r="B9" s="224" t="s">
        <v>258</v>
      </c>
      <c r="C9" t="s">
        <v>270</v>
      </c>
      <c r="D9" s="224" t="s">
        <v>260</v>
      </c>
      <c r="E9">
        <v>0.98</v>
      </c>
      <c r="F9" t="s">
        <v>261</v>
      </c>
      <c r="G9" s="207">
        <v>1.9E-6</v>
      </c>
      <c r="H9" s="207" t="s">
        <v>262</v>
      </c>
      <c r="J9" s="224" t="s">
        <v>258</v>
      </c>
      <c r="K9" t="s">
        <v>174</v>
      </c>
      <c r="L9" s="224" t="s">
        <v>260</v>
      </c>
      <c r="M9">
        <v>0.59</v>
      </c>
      <c r="N9" t="s">
        <v>261</v>
      </c>
      <c r="O9" s="399">
        <f>O4</f>
        <v>920</v>
      </c>
      <c r="P9" t="s">
        <v>261</v>
      </c>
      <c r="Q9" s="399">
        <f>Q4</f>
        <v>2450</v>
      </c>
      <c r="R9" t="s">
        <v>261</v>
      </c>
      <c r="S9" s="399">
        <f t="shared" si="0"/>
        <v>2.6175687666370895E-7</v>
      </c>
      <c r="T9" t="s">
        <v>261</v>
      </c>
      <c r="U9" s="400">
        <f>G16</f>
        <v>1.9E-6</v>
      </c>
      <c r="V9" s="207" t="s">
        <v>262</v>
      </c>
    </row>
    <row r="10" spans="1:22" x14ac:dyDescent="0.25">
      <c r="A10" t="s">
        <v>263</v>
      </c>
      <c r="B10" s="224" t="s">
        <v>258</v>
      </c>
      <c r="C10" t="s">
        <v>245</v>
      </c>
      <c r="D10" s="224" t="s">
        <v>260</v>
      </c>
      <c r="E10">
        <v>1.05</v>
      </c>
      <c r="F10" t="s">
        <v>261</v>
      </c>
      <c r="G10" s="207">
        <v>1.9E-6</v>
      </c>
      <c r="H10" s="207" t="s">
        <v>262</v>
      </c>
      <c r="J10" s="224" t="s">
        <v>258</v>
      </c>
      <c r="K10" t="s">
        <v>277</v>
      </c>
      <c r="L10" s="224" t="s">
        <v>260</v>
      </c>
      <c r="M10">
        <v>2.85</v>
      </c>
      <c r="N10" t="s">
        <v>261</v>
      </c>
      <c r="O10">
        <v>880</v>
      </c>
      <c r="P10" t="s">
        <v>261</v>
      </c>
      <c r="Q10">
        <v>2760</v>
      </c>
      <c r="R10" t="s">
        <v>261</v>
      </c>
      <c r="S10" s="399">
        <f t="shared" si="0"/>
        <v>1.1734189723320158E-6</v>
      </c>
      <c r="T10" t="s">
        <v>261</v>
      </c>
      <c r="U10" s="400">
        <f>G18</f>
        <v>6.9999999999999997E-7</v>
      </c>
      <c r="V10" s="207" t="s">
        <v>262</v>
      </c>
    </row>
    <row r="11" spans="1:22" x14ac:dyDescent="0.25">
      <c r="A11" t="s">
        <v>263</v>
      </c>
      <c r="B11" s="224" t="s">
        <v>258</v>
      </c>
      <c r="C11" t="s">
        <v>271</v>
      </c>
      <c r="D11" s="224" t="s">
        <v>260</v>
      </c>
      <c r="E11">
        <v>0.4</v>
      </c>
      <c r="F11" t="s">
        <v>261</v>
      </c>
      <c r="G11" s="207">
        <v>4.9999999999999998E-7</v>
      </c>
      <c r="H11" s="207" t="s">
        <v>262</v>
      </c>
      <c r="J11" s="224" t="s">
        <v>258</v>
      </c>
      <c r="K11" t="s">
        <v>278</v>
      </c>
      <c r="L11" s="224" t="s">
        <v>260</v>
      </c>
      <c r="M11">
        <v>2.85</v>
      </c>
      <c r="N11" t="s">
        <v>261</v>
      </c>
      <c r="O11">
        <v>880</v>
      </c>
      <c r="P11" t="s">
        <v>261</v>
      </c>
      <c r="Q11">
        <v>2760</v>
      </c>
      <c r="R11" t="s">
        <v>261</v>
      </c>
      <c r="S11" s="399">
        <f t="shared" si="0"/>
        <v>1.1734189723320158E-6</v>
      </c>
      <c r="T11" t="s">
        <v>261</v>
      </c>
      <c r="U11" s="400">
        <f>G19</f>
        <v>2.0660000000000002E-6</v>
      </c>
      <c r="V11" s="207" t="s">
        <v>262</v>
      </c>
    </row>
    <row r="12" spans="1:22" x14ac:dyDescent="0.25">
      <c r="A12" t="s">
        <v>263</v>
      </c>
      <c r="B12" s="224" t="s">
        <v>258</v>
      </c>
      <c r="C12" t="s">
        <v>272</v>
      </c>
      <c r="D12" s="224" t="s">
        <v>260</v>
      </c>
      <c r="E12">
        <v>2.74</v>
      </c>
      <c r="F12" t="s">
        <v>261</v>
      </c>
      <c r="G12" s="207">
        <v>8.9599999999999998E-7</v>
      </c>
      <c r="H12" s="207" t="s">
        <v>262</v>
      </c>
      <c r="J12" s="224" t="s">
        <v>258</v>
      </c>
      <c r="K12" t="s">
        <v>280</v>
      </c>
      <c r="L12" s="224" t="s">
        <v>260</v>
      </c>
      <c r="M12">
        <v>1.41</v>
      </c>
      <c r="N12" t="s">
        <v>261</v>
      </c>
      <c r="O12">
        <v>770</v>
      </c>
      <c r="P12" t="s">
        <v>261</v>
      </c>
      <c r="Q12">
        <v>2600</v>
      </c>
      <c r="R12" t="s">
        <v>261</v>
      </c>
      <c r="S12" s="399">
        <f t="shared" si="0"/>
        <v>7.0429570429570424E-7</v>
      </c>
      <c r="T12" t="s">
        <v>261</v>
      </c>
      <c r="U12" s="400">
        <f>G21</f>
        <v>1.392E-6</v>
      </c>
      <c r="V12" s="207" t="s">
        <v>262</v>
      </c>
    </row>
    <row r="13" spans="1:22" x14ac:dyDescent="0.25">
      <c r="A13" t="s">
        <v>263</v>
      </c>
      <c r="B13" s="224" t="s">
        <v>258</v>
      </c>
      <c r="C13" t="s">
        <v>273</v>
      </c>
      <c r="D13" s="224" t="s">
        <v>260</v>
      </c>
      <c r="E13">
        <v>1.81</v>
      </c>
      <c r="F13" t="s">
        <v>261</v>
      </c>
      <c r="G13" s="207">
        <v>5.4000000000000002E-7</v>
      </c>
      <c r="H13" s="207" t="s">
        <v>262</v>
      </c>
      <c r="J13" s="224" t="s">
        <v>258</v>
      </c>
      <c r="K13" t="s">
        <v>281</v>
      </c>
      <c r="L13" s="224" t="s">
        <v>260</v>
      </c>
      <c r="M13">
        <v>0.59</v>
      </c>
      <c r="N13" t="s">
        <v>261</v>
      </c>
      <c r="O13">
        <v>4185</v>
      </c>
      <c r="P13" t="s">
        <v>261</v>
      </c>
      <c r="Q13">
        <v>1000</v>
      </c>
      <c r="R13" t="s">
        <v>261</v>
      </c>
      <c r="S13" s="399">
        <f t="shared" si="0"/>
        <v>1.4097968936678614E-7</v>
      </c>
      <c r="T13" t="s">
        <v>261</v>
      </c>
      <c r="U13" s="400">
        <f>G22</f>
        <v>0</v>
      </c>
      <c r="V13" s="207" t="s">
        <v>262</v>
      </c>
    </row>
    <row r="14" spans="1:22" x14ac:dyDescent="0.25">
      <c r="A14" t="s">
        <v>263</v>
      </c>
      <c r="B14" s="224" t="s">
        <v>258</v>
      </c>
      <c r="C14" t="s">
        <v>274</v>
      </c>
      <c r="D14" s="224" t="s">
        <v>260</v>
      </c>
      <c r="E14">
        <v>3.94</v>
      </c>
      <c r="F14" t="s">
        <v>261</v>
      </c>
      <c r="G14" s="207">
        <v>7.8000000000000005E-7</v>
      </c>
      <c r="H14" s="207" t="s">
        <v>262</v>
      </c>
      <c r="J14" s="224" t="s">
        <v>258</v>
      </c>
      <c r="K14" t="s">
        <v>282</v>
      </c>
      <c r="L14" s="224" t="s">
        <v>260</v>
      </c>
      <c r="M14" s="399">
        <f>M5</f>
        <v>0.4</v>
      </c>
      <c r="N14" t="s">
        <v>261</v>
      </c>
      <c r="O14" s="399">
        <v>1300</v>
      </c>
      <c r="P14" t="s">
        <v>261</v>
      </c>
      <c r="Q14" s="399">
        <v>1350</v>
      </c>
      <c r="R14" t="s">
        <v>261</v>
      </c>
      <c r="S14" s="399">
        <f t="shared" si="0"/>
        <v>2.2792022792022794E-7</v>
      </c>
      <c r="T14" t="s">
        <v>261</v>
      </c>
      <c r="U14" s="400">
        <f>G11</f>
        <v>4.9999999999999998E-7</v>
      </c>
      <c r="V14" s="207" t="s">
        <v>262</v>
      </c>
    </row>
    <row r="15" spans="1:22" x14ac:dyDescent="0.25">
      <c r="A15" t="s">
        <v>263</v>
      </c>
      <c r="B15" s="224" t="s">
        <v>258</v>
      </c>
      <c r="C15" t="s">
        <v>275</v>
      </c>
      <c r="D15" s="224" t="s">
        <v>260</v>
      </c>
      <c r="E15">
        <v>3.15</v>
      </c>
      <c r="F15" t="s">
        <v>261</v>
      </c>
      <c r="G15" s="207">
        <v>1.9E-6</v>
      </c>
      <c r="H15" s="207" t="s">
        <v>262</v>
      </c>
      <c r="J15" s="224" t="s">
        <v>258</v>
      </c>
      <c r="K15" t="s">
        <v>283</v>
      </c>
      <c r="L15" s="224" t="s">
        <v>260</v>
      </c>
      <c r="M15">
        <v>0.77</v>
      </c>
      <c r="N15" t="s">
        <v>261</v>
      </c>
      <c r="O15">
        <v>860</v>
      </c>
      <c r="P15" t="s">
        <v>261</v>
      </c>
      <c r="Q15">
        <v>1900</v>
      </c>
      <c r="R15" t="s">
        <v>261</v>
      </c>
      <c r="S15" s="399">
        <f t="shared" si="0"/>
        <v>4.7123623011015914E-7</v>
      </c>
      <c r="T15" t="s">
        <v>261</v>
      </c>
      <c r="U15" s="400">
        <f>G24</f>
        <v>1.7E-6</v>
      </c>
      <c r="V15" s="207" t="s">
        <v>262</v>
      </c>
    </row>
    <row r="16" spans="1:22" x14ac:dyDescent="0.25">
      <c r="A16" t="s">
        <v>263</v>
      </c>
      <c r="B16" s="224" t="s">
        <v>258</v>
      </c>
      <c r="C16" t="s">
        <v>174</v>
      </c>
      <c r="D16" s="224" t="s">
        <v>260</v>
      </c>
      <c r="E16">
        <v>0.98</v>
      </c>
      <c r="F16" t="s">
        <v>261</v>
      </c>
      <c r="G16" s="207">
        <v>1.9E-6</v>
      </c>
      <c r="H16" s="207" t="s">
        <v>262</v>
      </c>
      <c r="J16" s="224" t="s">
        <v>258</v>
      </c>
      <c r="K16" t="s">
        <v>284</v>
      </c>
      <c r="L16" s="224" t="s">
        <v>260</v>
      </c>
      <c r="M16">
        <v>4.54</v>
      </c>
      <c r="N16" t="s">
        <v>261</v>
      </c>
      <c r="O16">
        <v>930</v>
      </c>
      <c r="P16" t="s">
        <v>261</v>
      </c>
      <c r="Q16">
        <v>2460</v>
      </c>
      <c r="R16" t="s">
        <v>261</v>
      </c>
      <c r="S16" s="399">
        <f t="shared" si="0"/>
        <v>1.9844391992307021E-6</v>
      </c>
      <c r="T16" t="s">
        <v>261</v>
      </c>
      <c r="U16" s="400">
        <v>8.9599999999999998E-7</v>
      </c>
      <c r="V16" s="207" t="s">
        <v>262</v>
      </c>
    </row>
    <row r="17" spans="1:22" x14ac:dyDescent="0.25">
      <c r="A17" t="s">
        <v>263</v>
      </c>
      <c r="B17" s="224" t="s">
        <v>258</v>
      </c>
      <c r="C17" t="s">
        <v>276</v>
      </c>
      <c r="D17" s="224" t="s">
        <v>260</v>
      </c>
      <c r="E17">
        <v>2.85</v>
      </c>
      <c r="F17" t="s">
        <v>261</v>
      </c>
      <c r="G17" s="207">
        <v>6.9999999999999997E-7</v>
      </c>
      <c r="H17" s="207" t="s">
        <v>262</v>
      </c>
      <c r="J17" s="224" t="s">
        <v>258</v>
      </c>
      <c r="K17" t="s">
        <v>285</v>
      </c>
      <c r="L17" s="224" t="s">
        <v>260</v>
      </c>
      <c r="M17" s="399">
        <f>M19</f>
        <v>2.42</v>
      </c>
      <c r="N17" t="s">
        <v>261</v>
      </c>
      <c r="O17" s="399">
        <v>860</v>
      </c>
      <c r="P17" t="s">
        <v>261</v>
      </c>
      <c r="Q17" s="399">
        <v>2380</v>
      </c>
      <c r="R17" t="s">
        <v>261</v>
      </c>
      <c r="S17" s="399">
        <f t="shared" si="0"/>
        <v>1.1823333984756693E-6</v>
      </c>
      <c r="T17" t="s">
        <v>261</v>
      </c>
      <c r="U17" s="400">
        <v>1.9E-6</v>
      </c>
      <c r="V17" s="207" t="s">
        <v>262</v>
      </c>
    </row>
    <row r="18" spans="1:22" x14ac:dyDescent="0.25">
      <c r="A18" t="s">
        <v>263</v>
      </c>
      <c r="B18" s="224" t="s">
        <v>258</v>
      </c>
      <c r="C18" t="s">
        <v>277</v>
      </c>
      <c r="D18" s="224" t="s">
        <v>260</v>
      </c>
      <c r="E18">
        <v>2.85</v>
      </c>
      <c r="F18" t="s">
        <v>261</v>
      </c>
      <c r="G18" s="207">
        <v>6.9999999999999997E-7</v>
      </c>
      <c r="H18" s="207" t="s">
        <v>262</v>
      </c>
      <c r="J18" s="224" t="s">
        <v>258</v>
      </c>
      <c r="K18" t="s">
        <v>286</v>
      </c>
      <c r="L18" s="224" t="s">
        <v>260</v>
      </c>
      <c r="M18" s="399">
        <f>M19</f>
        <v>2.42</v>
      </c>
      <c r="N18" t="s">
        <v>261</v>
      </c>
      <c r="O18" s="399">
        <v>860</v>
      </c>
      <c r="P18" t="s">
        <v>261</v>
      </c>
      <c r="Q18" s="399">
        <v>2380</v>
      </c>
      <c r="R18" t="s">
        <v>261</v>
      </c>
      <c r="S18" s="399">
        <f t="shared" si="0"/>
        <v>1.1823333984756693E-6</v>
      </c>
      <c r="T18" t="s">
        <v>261</v>
      </c>
      <c r="U18" s="400">
        <v>1.9E-6</v>
      </c>
      <c r="V18" s="207" t="s">
        <v>262</v>
      </c>
    </row>
    <row r="19" spans="1:22" x14ac:dyDescent="0.25">
      <c r="A19" t="s">
        <v>263</v>
      </c>
      <c r="B19" s="224" t="s">
        <v>258</v>
      </c>
      <c r="C19" t="s">
        <v>278</v>
      </c>
      <c r="D19" s="224" t="s">
        <v>260</v>
      </c>
      <c r="E19">
        <v>2.85</v>
      </c>
      <c r="F19" t="s">
        <v>261</v>
      </c>
      <c r="G19" s="207">
        <v>2.0660000000000002E-6</v>
      </c>
      <c r="H19" s="207" t="s">
        <v>262</v>
      </c>
      <c r="J19" s="224" t="s">
        <v>258</v>
      </c>
      <c r="K19" t="s">
        <v>173</v>
      </c>
      <c r="L19" s="224" t="s">
        <v>260</v>
      </c>
      <c r="M19">
        <v>2.42</v>
      </c>
      <c r="N19" t="s">
        <v>261</v>
      </c>
      <c r="O19">
        <v>860</v>
      </c>
      <c r="P19" t="s">
        <v>261</v>
      </c>
      <c r="Q19">
        <v>2680</v>
      </c>
      <c r="R19" t="s">
        <v>261</v>
      </c>
      <c r="S19" s="399">
        <f t="shared" si="0"/>
        <v>1.04998264491496E-6</v>
      </c>
      <c r="T19" t="s">
        <v>261</v>
      </c>
      <c r="U19" s="400">
        <v>1.9E-6</v>
      </c>
      <c r="V19" s="207" t="s">
        <v>262</v>
      </c>
    </row>
    <row r="20" spans="1:22" x14ac:dyDescent="0.25">
      <c r="A20" t="s">
        <v>263</v>
      </c>
      <c r="B20" s="224" t="s">
        <v>258</v>
      </c>
      <c r="C20" t="s">
        <v>279</v>
      </c>
      <c r="D20" s="224" t="s">
        <v>260</v>
      </c>
      <c r="E20">
        <v>1.45</v>
      </c>
      <c r="F20" t="s">
        <v>261</v>
      </c>
      <c r="G20" s="207">
        <v>1.9E-6</v>
      </c>
      <c r="H20" s="207" t="s">
        <v>262</v>
      </c>
      <c r="J20" s="224" t="s">
        <v>258</v>
      </c>
      <c r="K20" t="s">
        <v>287</v>
      </c>
      <c r="L20" s="224" t="s">
        <v>260</v>
      </c>
      <c r="M20">
        <v>1.3</v>
      </c>
      <c r="N20" t="s">
        <v>261</v>
      </c>
      <c r="O20" s="399">
        <v>390</v>
      </c>
      <c r="P20" t="s">
        <v>261</v>
      </c>
      <c r="Q20" s="399">
        <v>2600</v>
      </c>
      <c r="R20" t="s">
        <v>261</v>
      </c>
      <c r="S20" s="399">
        <f t="shared" si="0"/>
        <v>1.2820512820512822E-6</v>
      </c>
      <c r="T20" t="s">
        <v>261</v>
      </c>
      <c r="U20" s="400">
        <v>2.9000000000000002E-6</v>
      </c>
      <c r="V20" s="207" t="s">
        <v>262</v>
      </c>
    </row>
    <row r="21" spans="1:22" x14ac:dyDescent="0.25">
      <c r="A21" t="s">
        <v>263</v>
      </c>
      <c r="B21" s="224" t="s">
        <v>258</v>
      </c>
      <c r="C21" t="s">
        <v>280</v>
      </c>
      <c r="D21" s="224" t="s">
        <v>260</v>
      </c>
      <c r="E21">
        <v>1.41</v>
      </c>
      <c r="F21" t="s">
        <v>261</v>
      </c>
      <c r="G21" s="207">
        <v>1.392E-6</v>
      </c>
      <c r="H21" s="207" t="s">
        <v>262</v>
      </c>
      <c r="J21" s="224" t="s">
        <v>258</v>
      </c>
      <c r="K21" t="s">
        <v>288</v>
      </c>
      <c r="L21" s="224" t="s">
        <v>260</v>
      </c>
      <c r="M21">
        <v>1.84</v>
      </c>
      <c r="N21" t="s">
        <v>261</v>
      </c>
      <c r="O21">
        <v>910</v>
      </c>
      <c r="P21" t="s">
        <v>261</v>
      </c>
      <c r="Q21">
        <v>2680</v>
      </c>
      <c r="R21" t="s">
        <v>261</v>
      </c>
      <c r="S21" s="399">
        <f t="shared" si="0"/>
        <v>7.5446941118582912E-7</v>
      </c>
      <c r="T21" t="s">
        <v>261</v>
      </c>
      <c r="U21" s="400">
        <v>1.392E-6</v>
      </c>
      <c r="V21" s="207" t="s">
        <v>262</v>
      </c>
    </row>
    <row r="22" spans="1:22" x14ac:dyDescent="0.25">
      <c r="A22" t="s">
        <v>263</v>
      </c>
      <c r="B22" s="224" t="s">
        <v>258</v>
      </c>
      <c r="C22" t="s">
        <v>281</v>
      </c>
      <c r="D22" s="224" t="s">
        <v>260</v>
      </c>
      <c r="E22">
        <v>0</v>
      </c>
      <c r="F22" t="s">
        <v>261</v>
      </c>
      <c r="G22">
        <v>0</v>
      </c>
      <c r="H22" s="207" t="s">
        <v>262</v>
      </c>
      <c r="J22" s="224" t="s">
        <v>258</v>
      </c>
      <c r="K22" t="s">
        <v>289</v>
      </c>
      <c r="L22" s="224" t="s">
        <v>260</v>
      </c>
      <c r="M22" s="399">
        <f>M15</f>
        <v>0.77</v>
      </c>
      <c r="N22" t="s">
        <v>261</v>
      </c>
      <c r="O22" s="399">
        <v>860</v>
      </c>
      <c r="P22" t="s">
        <v>261</v>
      </c>
      <c r="Q22" s="399">
        <v>1900</v>
      </c>
      <c r="R22" t="s">
        <v>261</v>
      </c>
      <c r="S22" s="399">
        <f t="shared" si="0"/>
        <v>4.7123623011015914E-7</v>
      </c>
      <c r="T22" t="s">
        <v>261</v>
      </c>
      <c r="U22" s="399">
        <v>1.7E-6</v>
      </c>
      <c r="V22" s="207" t="s">
        <v>262</v>
      </c>
    </row>
    <row r="23" spans="1:22" x14ac:dyDescent="0.25">
      <c r="A23" t="s">
        <v>263</v>
      </c>
      <c r="B23" s="224" t="s">
        <v>258</v>
      </c>
      <c r="C23" t="s">
        <v>282</v>
      </c>
      <c r="D23" s="224" t="s">
        <v>260</v>
      </c>
      <c r="E23">
        <v>0.98</v>
      </c>
      <c r="F23" t="s">
        <v>261</v>
      </c>
      <c r="G23" s="207">
        <v>1.7E-6</v>
      </c>
      <c r="H23" s="207" t="s">
        <v>262</v>
      </c>
      <c r="J23" s="224" t="s">
        <v>258</v>
      </c>
      <c r="K23" t="s">
        <v>290</v>
      </c>
      <c r="L23" s="224" t="s">
        <v>260</v>
      </c>
      <c r="M23" s="399">
        <f>E32</f>
        <v>5.21</v>
      </c>
      <c r="N23" t="s">
        <v>261</v>
      </c>
      <c r="O23" s="399">
        <f>O2</f>
        <v>840</v>
      </c>
      <c r="P23" t="s">
        <v>261</v>
      </c>
      <c r="Q23" s="399">
        <v>2440</v>
      </c>
      <c r="R23" t="s">
        <v>261</v>
      </c>
      <c r="S23" s="399">
        <f t="shared" si="0"/>
        <v>2.5419594067135049E-6</v>
      </c>
      <c r="T23" t="s">
        <v>261</v>
      </c>
      <c r="U23" s="399">
        <v>3.1999999999999999E-6</v>
      </c>
      <c r="V23" s="207" t="s">
        <v>262</v>
      </c>
    </row>
    <row r="24" spans="1:22" x14ac:dyDescent="0.25">
      <c r="A24" t="s">
        <v>263</v>
      </c>
      <c r="B24" s="224" t="s">
        <v>258</v>
      </c>
      <c r="C24" t="s">
        <v>283</v>
      </c>
      <c r="D24" s="224" t="s">
        <v>260</v>
      </c>
      <c r="E24">
        <v>1.1000000000000001</v>
      </c>
      <c r="F24" t="s">
        <v>261</v>
      </c>
      <c r="G24" s="207">
        <v>1.7E-6</v>
      </c>
      <c r="H24" s="207" t="s">
        <v>262</v>
      </c>
      <c r="J24" s="224" t="s">
        <v>258</v>
      </c>
      <c r="K24" t="s">
        <v>291</v>
      </c>
      <c r="L24" s="224" t="s">
        <v>260</v>
      </c>
      <c r="M24">
        <v>2.15</v>
      </c>
      <c r="N24" t="s">
        <v>261</v>
      </c>
      <c r="O24" s="399">
        <v>200</v>
      </c>
      <c r="P24" t="s">
        <v>261</v>
      </c>
      <c r="Q24" s="399">
        <v>1500</v>
      </c>
      <c r="R24" t="s">
        <v>261</v>
      </c>
      <c r="S24" s="399">
        <f t="shared" si="0"/>
        <v>7.1666666666666661E-6</v>
      </c>
      <c r="T24" t="s">
        <v>261</v>
      </c>
      <c r="U24" s="399">
        <v>3.1999999999999999E-6</v>
      </c>
      <c r="V24" s="207" t="s">
        <v>292</v>
      </c>
    </row>
    <row r="25" spans="1:22" x14ac:dyDescent="0.25">
      <c r="A25" t="s">
        <v>263</v>
      </c>
      <c r="B25" s="224" t="s">
        <v>258</v>
      </c>
      <c r="C25" t="s">
        <v>284</v>
      </c>
      <c r="D25" s="224" t="s">
        <v>260</v>
      </c>
      <c r="E25">
        <v>4.54</v>
      </c>
      <c r="F25" t="s">
        <v>261</v>
      </c>
      <c r="G25" s="207">
        <v>8.9599999999999998E-7</v>
      </c>
      <c r="H25" s="207" t="s">
        <v>262</v>
      </c>
    </row>
    <row r="26" spans="1:22" x14ac:dyDescent="0.25">
      <c r="A26" t="s">
        <v>263</v>
      </c>
      <c r="B26" s="224" t="s">
        <v>258</v>
      </c>
      <c r="C26" t="s">
        <v>285</v>
      </c>
      <c r="D26" s="224" t="s">
        <v>260</v>
      </c>
      <c r="E26">
        <v>0.98</v>
      </c>
      <c r="F26" t="s">
        <v>261</v>
      </c>
      <c r="G26" s="207">
        <v>1.9E-6</v>
      </c>
      <c r="H26" s="207" t="s">
        <v>262</v>
      </c>
      <c r="J26" s="224"/>
      <c r="K26" s="248"/>
      <c r="L26" s="248"/>
      <c r="M26" s="248"/>
      <c r="N26" s="248"/>
      <c r="O26" s="248"/>
      <c r="P26" s="248"/>
      <c r="Q26" s="248"/>
      <c r="R26" s="248"/>
      <c r="S26" s="248"/>
      <c r="T26" s="248"/>
    </row>
    <row r="27" spans="1:22" x14ac:dyDescent="0.25">
      <c r="A27" t="s">
        <v>263</v>
      </c>
      <c r="B27" s="224" t="s">
        <v>258</v>
      </c>
      <c r="C27" t="s">
        <v>286</v>
      </c>
      <c r="D27" s="224" t="s">
        <v>260</v>
      </c>
      <c r="E27">
        <v>0.98</v>
      </c>
      <c r="F27" t="s">
        <v>261</v>
      </c>
      <c r="G27" s="207">
        <v>1.9E-6</v>
      </c>
      <c r="H27" s="207" t="s">
        <v>262</v>
      </c>
      <c r="J27" s="224"/>
      <c r="K27" s="401"/>
      <c r="L27" s="402"/>
      <c r="M27" s="402"/>
      <c r="N27" s="402"/>
      <c r="O27" s="248"/>
      <c r="P27" s="248"/>
      <c r="Q27" s="248"/>
      <c r="R27" s="248"/>
      <c r="S27" s="248"/>
      <c r="T27" s="248"/>
    </row>
    <row r="28" spans="1:22" x14ac:dyDescent="0.25">
      <c r="A28" t="s">
        <v>263</v>
      </c>
      <c r="B28" s="224" t="s">
        <v>258</v>
      </c>
      <c r="C28" t="s">
        <v>173</v>
      </c>
      <c r="D28" s="224" t="s">
        <v>260</v>
      </c>
      <c r="E28">
        <v>2.42</v>
      </c>
      <c r="F28" t="s">
        <v>261</v>
      </c>
      <c r="G28" s="207">
        <v>1.9E-6</v>
      </c>
      <c r="H28" s="207" t="s">
        <v>262</v>
      </c>
      <c r="K28" s="253"/>
      <c r="L28" s="248"/>
      <c r="M28" s="248"/>
      <c r="N28" s="248"/>
      <c r="O28" s="248"/>
      <c r="P28" s="248"/>
      <c r="Q28" s="248"/>
      <c r="R28" s="248"/>
      <c r="S28" s="248"/>
      <c r="T28" s="248"/>
    </row>
    <row r="29" spans="1:22" x14ac:dyDescent="0.25">
      <c r="A29" t="s">
        <v>263</v>
      </c>
      <c r="B29" s="224" t="s">
        <v>258</v>
      </c>
      <c r="C29" t="s">
        <v>287</v>
      </c>
      <c r="D29" s="224" t="s">
        <v>260</v>
      </c>
      <c r="E29">
        <v>3.15</v>
      </c>
      <c r="F29" t="s">
        <v>261</v>
      </c>
      <c r="G29" s="207">
        <v>2.9000000000000002E-6</v>
      </c>
      <c r="H29" s="207" t="s">
        <v>262</v>
      </c>
      <c r="K29" s="253"/>
      <c r="L29" s="248"/>
      <c r="M29" s="248"/>
      <c r="N29" s="248"/>
      <c r="O29" s="248"/>
      <c r="P29" s="248"/>
      <c r="Q29" s="248"/>
      <c r="R29" s="248"/>
      <c r="S29" s="248"/>
      <c r="T29" s="248"/>
    </row>
    <row r="30" spans="1:22" x14ac:dyDescent="0.25">
      <c r="A30" t="s">
        <v>263</v>
      </c>
      <c r="B30" s="224" t="s">
        <v>258</v>
      </c>
      <c r="C30" t="s">
        <v>288</v>
      </c>
      <c r="D30" s="224" t="s">
        <v>260</v>
      </c>
      <c r="E30">
        <v>1.84</v>
      </c>
      <c r="F30" t="s">
        <v>261</v>
      </c>
      <c r="G30" s="207">
        <v>1.392E-6</v>
      </c>
      <c r="H30" s="207" t="s">
        <v>262</v>
      </c>
      <c r="K30" s="253"/>
      <c r="L30" s="248"/>
      <c r="M30" s="248"/>
      <c r="N30" s="248"/>
      <c r="O30" s="248"/>
      <c r="P30" s="248"/>
      <c r="Q30" s="248"/>
      <c r="R30" s="248"/>
      <c r="S30" s="248"/>
      <c r="T30" s="248"/>
    </row>
    <row r="31" spans="1:22" x14ac:dyDescent="0.25">
      <c r="A31" t="s">
        <v>263</v>
      </c>
      <c r="B31" s="224" t="s">
        <v>258</v>
      </c>
      <c r="C31" t="s">
        <v>289</v>
      </c>
      <c r="D31" s="224" t="s">
        <v>260</v>
      </c>
      <c r="E31">
        <v>1.1000000000000001</v>
      </c>
      <c r="F31" t="s">
        <v>261</v>
      </c>
      <c r="G31" s="207">
        <v>1.7E-6</v>
      </c>
      <c r="H31" s="207" t="s">
        <v>262</v>
      </c>
      <c r="K31" s="403"/>
      <c r="L31" s="248"/>
      <c r="M31" s="248"/>
      <c r="N31" s="248"/>
      <c r="O31" s="248"/>
      <c r="P31" s="248"/>
      <c r="Q31" s="248"/>
      <c r="R31" s="248"/>
      <c r="S31" s="248"/>
      <c r="T31" s="248"/>
    </row>
    <row r="32" spans="1:22" x14ac:dyDescent="0.25">
      <c r="A32" t="s">
        <v>263</v>
      </c>
      <c r="B32" s="224" t="s">
        <v>258</v>
      </c>
      <c r="C32" t="s">
        <v>290</v>
      </c>
      <c r="D32" s="224" t="s">
        <v>260</v>
      </c>
      <c r="E32">
        <v>5.21</v>
      </c>
      <c r="F32" t="s">
        <v>261</v>
      </c>
      <c r="G32" s="207">
        <v>3.1999999999999999E-6</v>
      </c>
      <c r="H32" s="207" t="s">
        <v>262</v>
      </c>
      <c r="K32" s="253"/>
      <c r="L32" s="248"/>
      <c r="M32" s="248"/>
      <c r="N32" s="248"/>
      <c r="O32" s="248"/>
      <c r="P32" s="248"/>
      <c r="Q32" s="248"/>
      <c r="R32" s="248"/>
      <c r="S32" s="248"/>
      <c r="T32" s="248"/>
    </row>
    <row r="33" spans="1:20" x14ac:dyDescent="0.25">
      <c r="A33" t="s">
        <v>263</v>
      </c>
      <c r="B33" s="224" t="s">
        <v>258</v>
      </c>
      <c r="C33" t="s">
        <v>291</v>
      </c>
      <c r="D33" s="224" t="s">
        <v>260</v>
      </c>
      <c r="E33">
        <v>1.3</v>
      </c>
      <c r="F33" t="s">
        <v>261</v>
      </c>
      <c r="G33" s="207">
        <v>3.1999999999999999E-6</v>
      </c>
      <c r="H33" s="207" t="s">
        <v>292</v>
      </c>
      <c r="K33" s="253"/>
      <c r="L33" s="250"/>
      <c r="M33" s="250"/>
      <c r="N33" s="248"/>
      <c r="O33" s="248"/>
      <c r="P33" s="248"/>
      <c r="Q33" s="248"/>
      <c r="R33" s="248"/>
      <c r="S33" s="248"/>
      <c r="T33" s="248"/>
    </row>
    <row r="34" spans="1:20" x14ac:dyDescent="0.25">
      <c r="K34" s="253"/>
      <c r="L34" s="250"/>
      <c r="M34" s="250"/>
      <c r="N34" s="248"/>
      <c r="O34" s="248"/>
      <c r="P34" s="248"/>
      <c r="Q34" s="248"/>
      <c r="R34" s="248"/>
      <c r="S34" s="248"/>
      <c r="T34" s="248"/>
    </row>
    <row r="35" spans="1:20" x14ac:dyDescent="0.25">
      <c r="K35" s="253"/>
      <c r="L35" s="250"/>
      <c r="M35" s="250"/>
      <c r="N35" s="248"/>
      <c r="O35" s="248"/>
      <c r="P35" s="248"/>
      <c r="Q35" s="248"/>
      <c r="R35" s="248"/>
      <c r="S35" s="248"/>
      <c r="T35" s="248"/>
    </row>
    <row r="36" spans="1:20" x14ac:dyDescent="0.25">
      <c r="K36" s="253"/>
      <c r="L36" s="250"/>
      <c r="M36" s="250"/>
      <c r="N36" s="248"/>
      <c r="O36" s="248"/>
      <c r="P36" s="248"/>
      <c r="Q36" s="248"/>
      <c r="R36" s="248"/>
      <c r="S36" s="248"/>
      <c r="T36" s="248"/>
    </row>
    <row r="37" spans="1:20" x14ac:dyDescent="0.25">
      <c r="K37" s="253"/>
      <c r="L37" s="250"/>
      <c r="M37" s="250"/>
      <c r="N37" s="248"/>
      <c r="O37" s="248"/>
      <c r="P37" s="248"/>
      <c r="Q37" s="248"/>
      <c r="R37" s="248"/>
      <c r="S37" s="248"/>
      <c r="T37" s="248"/>
    </row>
    <row r="38" spans="1:20" x14ac:dyDescent="0.25">
      <c r="C38" s="53" t="s">
        <v>250</v>
      </c>
      <c r="D38" s="53" t="s">
        <v>250</v>
      </c>
      <c r="E38" t="s">
        <v>464</v>
      </c>
      <c r="F38" t="s">
        <v>473</v>
      </c>
      <c r="G38" t="s">
        <v>253</v>
      </c>
      <c r="H38" s="53" t="s">
        <v>252</v>
      </c>
      <c r="I38" t="s">
        <v>472</v>
      </c>
      <c r="J38" s="53" t="s">
        <v>465</v>
      </c>
      <c r="K38" t="s">
        <v>162</v>
      </c>
      <c r="L38" s="250"/>
      <c r="M38" s="250"/>
      <c r="N38" s="248"/>
      <c r="O38" s="248"/>
      <c r="P38" s="248"/>
      <c r="Q38" s="248"/>
      <c r="R38" s="248"/>
      <c r="S38" s="248"/>
      <c r="T38" s="248"/>
    </row>
    <row r="39" spans="1:20" x14ac:dyDescent="0.25">
      <c r="C39" s="53" t="s">
        <v>395</v>
      </c>
      <c r="D39" t="s">
        <v>395</v>
      </c>
      <c r="E39">
        <v>0.59</v>
      </c>
      <c r="G39">
        <v>4185</v>
      </c>
      <c r="H39">
        <v>1000</v>
      </c>
      <c r="I39">
        <f>G39*H39</f>
        <v>4185000</v>
      </c>
      <c r="J39">
        <v>1.4097968936678614E-7</v>
      </c>
      <c r="K39">
        <v>0</v>
      </c>
      <c r="L39" s="250"/>
      <c r="M39" s="250"/>
      <c r="N39" s="248"/>
      <c r="O39" s="248"/>
      <c r="P39" s="248"/>
      <c r="Q39" s="248"/>
      <c r="R39" s="248"/>
      <c r="S39" s="248"/>
      <c r="T39" s="248"/>
    </row>
    <row r="40" spans="1:20" x14ac:dyDescent="0.25">
      <c r="C40" s="53" t="s">
        <v>170</v>
      </c>
      <c r="D40" t="s">
        <v>271</v>
      </c>
      <c r="E40">
        <v>0.4</v>
      </c>
      <c r="F40">
        <v>0.31</v>
      </c>
      <c r="G40">
        <v>1300</v>
      </c>
      <c r="H40">
        <v>1350</v>
      </c>
      <c r="I40">
        <f t="shared" ref="I40:I55" si="1">G40*H40</f>
        <v>1755000</v>
      </c>
      <c r="J40">
        <v>2.2792022792022794E-7</v>
      </c>
      <c r="K40" s="207">
        <v>4.9999999999999998E-7</v>
      </c>
      <c r="L40" s="250"/>
      <c r="M40" s="250"/>
      <c r="N40" s="248"/>
      <c r="O40" s="248"/>
      <c r="P40" s="248"/>
      <c r="Q40" s="248"/>
      <c r="R40" s="248"/>
      <c r="S40" s="248"/>
      <c r="T40" s="248"/>
    </row>
    <row r="41" spans="1:20" x14ac:dyDescent="0.25">
      <c r="C41" s="53" t="s">
        <v>122</v>
      </c>
      <c r="D41" t="s">
        <v>277</v>
      </c>
      <c r="E41">
        <v>2.85</v>
      </c>
      <c r="F41">
        <v>2.35</v>
      </c>
      <c r="G41">
        <v>880</v>
      </c>
      <c r="H41">
        <v>2760</v>
      </c>
      <c r="I41">
        <f t="shared" si="1"/>
        <v>2428800</v>
      </c>
      <c r="J41">
        <v>1.1734189723320158E-6</v>
      </c>
      <c r="K41">
        <v>6.9999999999999997E-7</v>
      </c>
      <c r="L41" s="250"/>
      <c r="M41" s="250"/>
      <c r="N41" s="248"/>
      <c r="O41" s="248"/>
      <c r="P41" s="248"/>
      <c r="Q41" s="248"/>
      <c r="R41" s="248"/>
      <c r="S41" s="248"/>
      <c r="T41" s="248"/>
    </row>
    <row r="42" spans="1:20" x14ac:dyDescent="0.25">
      <c r="C42" s="53" t="s">
        <v>468</v>
      </c>
      <c r="D42" t="s">
        <v>278</v>
      </c>
      <c r="E42">
        <v>2.85</v>
      </c>
      <c r="F42">
        <v>3.05</v>
      </c>
      <c r="G42">
        <v>880</v>
      </c>
      <c r="H42">
        <v>2760</v>
      </c>
      <c r="I42">
        <f t="shared" si="1"/>
        <v>2428800</v>
      </c>
      <c r="J42">
        <v>1.1734189723320158E-6</v>
      </c>
      <c r="K42">
        <v>2.0660000000000002E-6</v>
      </c>
      <c r="L42" s="250"/>
      <c r="M42" s="250"/>
      <c r="N42" s="248"/>
      <c r="O42" s="248"/>
      <c r="P42" s="248"/>
      <c r="Q42" s="248"/>
      <c r="R42" s="248"/>
      <c r="S42" s="248"/>
      <c r="T42" s="248"/>
    </row>
    <row r="43" spans="1:20" x14ac:dyDescent="0.25">
      <c r="C43" s="53" t="s">
        <v>235</v>
      </c>
      <c r="D43" t="s">
        <v>280</v>
      </c>
      <c r="E43">
        <v>1.41</v>
      </c>
      <c r="F43">
        <v>1.92</v>
      </c>
      <c r="G43">
        <v>770</v>
      </c>
      <c r="H43">
        <v>2600</v>
      </c>
      <c r="I43">
        <f t="shared" si="1"/>
        <v>2002000</v>
      </c>
      <c r="J43">
        <v>7.0429570429570424E-7</v>
      </c>
      <c r="K43">
        <v>1.392E-6</v>
      </c>
      <c r="L43" s="263"/>
      <c r="M43" s="263"/>
      <c r="N43" s="256"/>
      <c r="O43" s="248"/>
      <c r="P43" s="248"/>
      <c r="Q43" s="248"/>
      <c r="R43" s="248"/>
      <c r="S43" s="248"/>
      <c r="T43" s="248"/>
    </row>
    <row r="44" spans="1:20" x14ac:dyDescent="0.25">
      <c r="C44" s="53" t="s">
        <v>237</v>
      </c>
      <c r="D44" t="s">
        <v>288</v>
      </c>
      <c r="E44">
        <v>1.84</v>
      </c>
      <c r="F44">
        <v>2.2599999999999998</v>
      </c>
      <c r="G44">
        <v>910</v>
      </c>
      <c r="H44">
        <v>2680</v>
      </c>
      <c r="I44">
        <f t="shared" si="1"/>
        <v>2438800</v>
      </c>
      <c r="J44">
        <v>7.5446941118582912E-7</v>
      </c>
      <c r="K44">
        <v>1.392E-6</v>
      </c>
      <c r="L44" s="256"/>
      <c r="M44" s="256"/>
      <c r="N44" s="256"/>
      <c r="O44" s="248"/>
      <c r="P44" s="248"/>
      <c r="Q44" s="248"/>
      <c r="R44" s="248"/>
      <c r="S44" s="248"/>
      <c r="T44" s="248"/>
    </row>
    <row r="45" spans="1:20" x14ac:dyDescent="0.25">
      <c r="C45" s="53" t="s">
        <v>466</v>
      </c>
      <c r="D45" t="s">
        <v>284</v>
      </c>
      <c r="E45">
        <v>4.54</v>
      </c>
      <c r="F45">
        <v>3.96</v>
      </c>
      <c r="G45">
        <v>930</v>
      </c>
      <c r="H45">
        <v>2460</v>
      </c>
      <c r="I45">
        <f t="shared" si="1"/>
        <v>2287800</v>
      </c>
      <c r="J45">
        <v>1.9844391992307021E-6</v>
      </c>
      <c r="K45">
        <v>8.9599999999999998E-7</v>
      </c>
      <c r="L45" s="256"/>
      <c r="M45" s="256"/>
      <c r="N45" s="256"/>
      <c r="O45" s="248"/>
      <c r="P45" s="248"/>
      <c r="Q45" s="248"/>
      <c r="R45" s="248"/>
      <c r="S45" s="248"/>
      <c r="T45" s="248"/>
    </row>
    <row r="46" spans="1:20" x14ac:dyDescent="0.25">
      <c r="C46" s="53" t="s">
        <v>454</v>
      </c>
      <c r="D46" t="s">
        <v>173</v>
      </c>
      <c r="E46">
        <v>2.42</v>
      </c>
      <c r="G46">
        <v>860</v>
      </c>
      <c r="H46">
        <v>2680</v>
      </c>
      <c r="I46">
        <f t="shared" si="1"/>
        <v>2304800</v>
      </c>
      <c r="J46">
        <v>1.04998264491496E-6</v>
      </c>
      <c r="K46">
        <v>1.9E-6</v>
      </c>
      <c r="L46" s="248"/>
      <c r="M46" s="248"/>
      <c r="N46" s="256"/>
      <c r="O46" s="248"/>
      <c r="P46" s="248"/>
      <c r="Q46" s="248"/>
      <c r="R46" s="248"/>
      <c r="S46" s="248"/>
      <c r="T46" s="248"/>
    </row>
    <row r="47" spans="1:20" x14ac:dyDescent="0.25">
      <c r="C47" s="53" t="s">
        <v>229</v>
      </c>
      <c r="D47" t="s">
        <v>273</v>
      </c>
      <c r="E47">
        <v>1.81</v>
      </c>
      <c r="F47">
        <v>1.9</v>
      </c>
      <c r="G47">
        <v>858</v>
      </c>
      <c r="H47">
        <v>2870</v>
      </c>
      <c r="I47">
        <f t="shared" si="1"/>
        <v>2462460</v>
      </c>
      <c r="J47">
        <v>7.3503732040317404E-7</v>
      </c>
      <c r="K47">
        <v>5.4000000000000002E-7</v>
      </c>
      <c r="L47" s="248"/>
      <c r="M47" s="248"/>
      <c r="N47" s="256"/>
      <c r="O47" s="248"/>
      <c r="P47" s="248"/>
      <c r="Q47" s="248"/>
      <c r="R47" s="248"/>
      <c r="S47" s="248"/>
      <c r="T47" s="248"/>
    </row>
    <row r="48" spans="1:20" x14ac:dyDescent="0.25">
      <c r="C48" s="62" t="s">
        <v>227</v>
      </c>
      <c r="D48" t="s">
        <v>264</v>
      </c>
      <c r="E48">
        <v>2</v>
      </c>
      <c r="F48" s="250">
        <v>2.44</v>
      </c>
      <c r="G48">
        <v>840</v>
      </c>
      <c r="H48">
        <v>3000</v>
      </c>
      <c r="I48">
        <f t="shared" si="1"/>
        <v>2520000</v>
      </c>
      <c r="J48">
        <v>7.9365079365079366E-7</v>
      </c>
      <c r="K48">
        <v>5.4000000000000002E-7</v>
      </c>
      <c r="L48" s="256"/>
      <c r="M48" s="248"/>
      <c r="N48" s="248"/>
      <c r="O48" s="248"/>
      <c r="P48" s="248"/>
      <c r="Q48" s="248"/>
      <c r="R48" s="248"/>
      <c r="S48" s="248"/>
      <c r="T48" s="248"/>
    </row>
    <row r="49" spans="3:20" x14ac:dyDescent="0.25">
      <c r="C49" s="62" t="s">
        <v>469</v>
      </c>
      <c r="D49" t="s">
        <v>270</v>
      </c>
      <c r="E49" s="250">
        <v>1.1100000000000001</v>
      </c>
      <c r="F49" s="494">
        <v>2.42</v>
      </c>
      <c r="G49">
        <v>860</v>
      </c>
      <c r="H49">
        <v>2380</v>
      </c>
      <c r="I49">
        <f t="shared" si="1"/>
        <v>2046800</v>
      </c>
      <c r="J49">
        <v>5.4230994723470792E-7</v>
      </c>
      <c r="K49">
        <v>1.9E-6</v>
      </c>
      <c r="L49" s="248"/>
      <c r="M49" s="248"/>
      <c r="N49" s="248"/>
      <c r="O49" s="248"/>
      <c r="P49" s="248"/>
      <c r="Q49" s="248"/>
      <c r="R49" s="248"/>
      <c r="S49" s="248"/>
      <c r="T49" s="248"/>
    </row>
    <row r="50" spans="3:20" x14ac:dyDescent="0.25">
      <c r="C50" s="62" t="s">
        <v>471</v>
      </c>
      <c r="D50" t="s">
        <v>245</v>
      </c>
      <c r="E50" s="494">
        <v>1.05</v>
      </c>
      <c r="G50">
        <v>920</v>
      </c>
      <c r="H50">
        <v>2450</v>
      </c>
      <c r="I50">
        <f t="shared" si="1"/>
        <v>2254000</v>
      </c>
      <c r="J50">
        <v>4.6583850931677019E-7</v>
      </c>
      <c r="K50">
        <v>1.9E-6</v>
      </c>
      <c r="L50" s="248"/>
      <c r="M50" s="248"/>
      <c r="N50" s="248"/>
      <c r="O50" s="248"/>
      <c r="P50" s="248"/>
      <c r="Q50" s="248"/>
      <c r="R50" s="248"/>
      <c r="S50" s="248"/>
      <c r="T50" s="248"/>
    </row>
    <row r="51" spans="3:20" x14ac:dyDescent="0.25">
      <c r="C51" s="62" t="s">
        <v>467</v>
      </c>
      <c r="D51" t="s">
        <v>272</v>
      </c>
      <c r="F51" s="494">
        <v>2.63</v>
      </c>
      <c r="G51" s="250">
        <v>930</v>
      </c>
      <c r="H51">
        <v>2460</v>
      </c>
      <c r="I51">
        <f t="shared" si="1"/>
        <v>2287800</v>
      </c>
      <c r="J51">
        <v>1.1495760118891511E-6</v>
      </c>
      <c r="K51">
        <v>8.9599999999999998E-7</v>
      </c>
    </row>
    <row r="52" spans="3:20" x14ac:dyDescent="0.25">
      <c r="C52" s="53" t="s">
        <v>234</v>
      </c>
      <c r="D52" t="s">
        <v>174</v>
      </c>
      <c r="F52">
        <v>0.59</v>
      </c>
      <c r="G52">
        <v>860</v>
      </c>
      <c r="H52">
        <v>2380</v>
      </c>
      <c r="I52">
        <f t="shared" si="1"/>
        <v>2046800</v>
      </c>
      <c r="J52">
        <v>2.8825483681844831E-7</v>
      </c>
      <c r="K52">
        <v>1.9E-6</v>
      </c>
    </row>
    <row r="53" spans="3:20" x14ac:dyDescent="0.25">
      <c r="C53" s="62" t="s">
        <v>470</v>
      </c>
      <c r="D53" t="s">
        <v>283</v>
      </c>
      <c r="E53">
        <v>0.77</v>
      </c>
      <c r="F53" s="494"/>
      <c r="G53" s="250">
        <v>860</v>
      </c>
      <c r="H53">
        <v>1900</v>
      </c>
      <c r="I53">
        <f t="shared" si="1"/>
        <v>1634000</v>
      </c>
      <c r="J53">
        <v>4.7123623011015914E-7</v>
      </c>
      <c r="K53">
        <v>1.7E-6</v>
      </c>
    </row>
    <row r="54" spans="3:20" x14ac:dyDescent="0.25">
      <c r="C54" s="62" t="s">
        <v>236</v>
      </c>
      <c r="D54" t="s">
        <v>287</v>
      </c>
      <c r="F54" s="494">
        <v>1.5</v>
      </c>
      <c r="G54" s="494">
        <v>390</v>
      </c>
      <c r="H54">
        <v>2600</v>
      </c>
      <c r="I54">
        <f t="shared" si="1"/>
        <v>1014000</v>
      </c>
      <c r="J54">
        <v>1.4792899408284024E-6</v>
      </c>
      <c r="K54">
        <v>2.9000000000000002E-6</v>
      </c>
    </row>
    <row r="55" spans="3:20" x14ac:dyDescent="0.25">
      <c r="C55" s="53" t="s">
        <v>230</v>
      </c>
      <c r="D55" t="s">
        <v>291</v>
      </c>
      <c r="E55">
        <v>2.35</v>
      </c>
      <c r="F55">
        <v>2.15</v>
      </c>
      <c r="G55">
        <v>200</v>
      </c>
      <c r="H55">
        <v>1500</v>
      </c>
      <c r="I55">
        <f t="shared" si="1"/>
        <v>300000</v>
      </c>
      <c r="J55">
        <v>7.8333333333333334E-6</v>
      </c>
      <c r="K55">
        <v>3.1999999999999999E-6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zoomScale="70" zoomScaleNormal="70" workbookViewId="0">
      <selection activeCell="E28" sqref="E28"/>
    </sheetView>
  </sheetViews>
  <sheetFormatPr defaultColWidth="11.5703125" defaultRowHeight="12.75" x14ac:dyDescent="0.2"/>
  <cols>
    <col min="1" max="1" width="1.85546875" style="53" customWidth="1"/>
    <col min="2" max="2" width="40.140625" style="53" customWidth="1"/>
    <col min="3" max="3" width="28.28515625" style="53" customWidth="1"/>
    <col min="4" max="4" width="12.28515625" style="53" bestFit="1" customWidth="1"/>
    <col min="5" max="5" width="17.42578125" style="53" bestFit="1" customWidth="1"/>
    <col min="6" max="11" width="17.42578125" style="53" customWidth="1"/>
    <col min="12" max="12" width="12.28515625" style="53" bestFit="1" customWidth="1"/>
    <col min="13" max="13" width="12.140625" style="53" bestFit="1" customWidth="1"/>
    <col min="14" max="14" width="12.28515625" style="53" bestFit="1" customWidth="1"/>
    <col min="15" max="15" width="8.42578125" style="53" bestFit="1" customWidth="1"/>
    <col min="16" max="16" width="19.28515625" style="53" customWidth="1"/>
    <col min="17" max="17" width="15.5703125" style="53" customWidth="1"/>
    <col min="18" max="18" width="22" style="53" customWidth="1"/>
    <col min="19" max="19" width="12.85546875" style="53" bestFit="1" customWidth="1"/>
    <col min="20" max="20" width="19.28515625" style="53" customWidth="1"/>
    <col min="21" max="16384" width="11.5703125" style="53"/>
  </cols>
  <sheetData>
    <row r="1" spans="1:25" ht="15" customHeight="1" thickBot="1" x14ac:dyDescent="0.3">
      <c r="A1" s="15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T1"/>
      <c r="U1"/>
      <c r="V1"/>
      <c r="W1"/>
      <c r="X1"/>
      <c r="Y1"/>
    </row>
    <row r="2" spans="1:25" ht="15.75" thickBot="1" x14ac:dyDescent="0.3">
      <c r="A2" s="156"/>
      <c r="B2" s="220"/>
      <c r="C2" s="156"/>
      <c r="D2" s="147" t="s">
        <v>154</v>
      </c>
      <c r="E2" s="149" t="s">
        <v>168</v>
      </c>
      <c r="F2" s="149" t="s">
        <v>287</v>
      </c>
      <c r="G2" s="149" t="s">
        <v>169</v>
      </c>
      <c r="H2" s="149" t="s">
        <v>306</v>
      </c>
      <c r="I2" s="149" t="s">
        <v>237</v>
      </c>
      <c r="J2" s="149" t="s">
        <v>307</v>
      </c>
      <c r="K2" s="149"/>
      <c r="L2" s="149" t="s">
        <v>235</v>
      </c>
      <c r="M2" s="148" t="s">
        <v>163</v>
      </c>
      <c r="N2" s="149" t="s">
        <v>122</v>
      </c>
      <c r="O2" s="209" t="s">
        <v>170</v>
      </c>
      <c r="P2" s="523" t="s">
        <v>121</v>
      </c>
      <c r="Q2" s="524"/>
      <c r="R2" s="206" t="s">
        <v>171</v>
      </c>
      <c r="T2"/>
      <c r="U2"/>
      <c r="V2"/>
      <c r="W2"/>
      <c r="X2"/>
      <c r="Y2"/>
    </row>
    <row r="3" spans="1:25" ht="15.75" thickBot="1" x14ac:dyDescent="0.3">
      <c r="A3" s="156"/>
      <c r="B3" s="219"/>
      <c r="C3" s="153" t="s">
        <v>120</v>
      </c>
      <c r="D3" s="157">
        <f>Properties!B14</f>
        <v>3.58</v>
      </c>
      <c r="E3" s="158">
        <f>Properties!B11</f>
        <v>2.23</v>
      </c>
      <c r="F3" s="158">
        <f>Properties!C9</f>
        <v>1.5</v>
      </c>
      <c r="G3" s="158">
        <f>Properties!B8</f>
        <v>1.85</v>
      </c>
      <c r="H3" s="158">
        <f>Properties!C14</f>
        <v>3.96</v>
      </c>
      <c r="I3" s="158">
        <f>Properties!C11</f>
        <v>2.2599999999999998</v>
      </c>
      <c r="J3" s="158">
        <f>Properties!C6</f>
        <v>2.42</v>
      </c>
      <c r="K3" s="158"/>
      <c r="L3" s="158">
        <f>Properties!C8</f>
        <v>1.92</v>
      </c>
      <c r="M3" s="158">
        <f>Properties!C12</f>
        <v>3.05</v>
      </c>
      <c r="N3" s="158">
        <f>Properties!C10</f>
        <v>2.35</v>
      </c>
      <c r="O3" s="313">
        <v>0.31</v>
      </c>
      <c r="P3" s="527" t="s">
        <v>348</v>
      </c>
      <c r="Q3" s="525" t="s">
        <v>123</v>
      </c>
      <c r="R3" s="527" t="s">
        <v>220</v>
      </c>
      <c r="T3"/>
      <c r="U3"/>
      <c r="V3"/>
      <c r="W3"/>
      <c r="X3"/>
      <c r="Y3"/>
    </row>
    <row r="4" spans="1:25" ht="15.75" thickBot="1" x14ac:dyDescent="0.3">
      <c r="A4" s="156"/>
      <c r="B4" s="218"/>
      <c r="C4" s="154" t="s">
        <v>162</v>
      </c>
      <c r="D4" s="303">
        <f>Properties!C61</f>
        <v>0.9</v>
      </c>
      <c r="E4" s="305">
        <f>Properties!C58</f>
        <v>1.44</v>
      </c>
      <c r="F4" s="307">
        <f>Properties!B56</f>
        <v>2.7250000000000001</v>
      </c>
      <c r="G4" s="308">
        <f>Properties!C55</f>
        <v>2.7250000000000001</v>
      </c>
      <c r="H4" s="303">
        <f>D4</f>
        <v>0.9</v>
      </c>
      <c r="I4" s="287">
        <f>E4</f>
        <v>1.44</v>
      </c>
      <c r="J4" s="309">
        <f>Properties!B56</f>
        <v>2.7250000000000001</v>
      </c>
      <c r="K4" s="309"/>
      <c r="L4" s="309">
        <f>F4</f>
        <v>2.7250000000000001</v>
      </c>
      <c r="M4" s="305">
        <f>Properties!C59</f>
        <v>0.93</v>
      </c>
      <c r="N4" s="310">
        <f>Properties!D57</f>
        <v>0.7</v>
      </c>
      <c r="O4" s="312">
        <f>Properties!D52</f>
        <v>0.5</v>
      </c>
      <c r="P4" s="528"/>
      <c r="Q4" s="526"/>
      <c r="R4" s="528"/>
      <c r="T4"/>
      <c r="U4"/>
      <c r="V4"/>
      <c r="W4"/>
      <c r="X4"/>
      <c r="Y4"/>
    </row>
    <row r="5" spans="1:25" ht="15.75" thickBot="1" x14ac:dyDescent="0.3">
      <c r="A5" s="156"/>
      <c r="B5" s="163"/>
      <c r="C5" s="170" t="s">
        <v>119</v>
      </c>
      <c r="D5" s="500" t="s">
        <v>159</v>
      </c>
      <c r="E5" s="501"/>
      <c r="F5" s="501"/>
      <c r="G5" s="501"/>
      <c r="H5" s="501"/>
      <c r="I5" s="501"/>
      <c r="J5" s="501"/>
      <c r="K5" s="501"/>
      <c r="L5" s="501"/>
      <c r="M5" s="501"/>
      <c r="N5" s="501"/>
      <c r="O5" s="502"/>
      <c r="P5" s="215"/>
      <c r="Q5" s="314"/>
      <c r="R5" s="208"/>
      <c r="T5"/>
      <c r="U5"/>
      <c r="V5"/>
      <c r="W5"/>
      <c r="X5"/>
      <c r="Y5"/>
    </row>
    <row r="6" spans="1:25" ht="15" x14ac:dyDescent="0.25">
      <c r="A6" s="156"/>
      <c r="B6" s="295" t="s">
        <v>344</v>
      </c>
      <c r="C6" s="291">
        <f>460-C7</f>
        <v>130</v>
      </c>
      <c r="D6" s="161">
        <v>40</v>
      </c>
      <c r="E6" s="160">
        <v>10</v>
      </c>
      <c r="F6" s="160">
        <v>30</v>
      </c>
      <c r="G6" s="160">
        <v>13</v>
      </c>
      <c r="H6" s="229"/>
      <c r="I6" s="229"/>
      <c r="J6" s="229"/>
      <c r="K6" s="229"/>
      <c r="L6" s="229"/>
      <c r="M6" s="229"/>
      <c r="N6" s="160">
        <v>1</v>
      </c>
      <c r="O6" s="155">
        <v>6</v>
      </c>
      <c r="P6" s="216">
        <f t="shared" ref="P6:P12" si="0">SUMPRODUCT($D$3:$O$3,D6:O6)/100</f>
        <v>2.3876000000000004</v>
      </c>
      <c r="Q6" s="315">
        <v>2.02</v>
      </c>
      <c r="R6" s="235">
        <f t="shared" ref="R6:R12" si="1">SUMPRODUCT($D$4:$O$4,D6:O6)/100</f>
        <v>1.71275</v>
      </c>
      <c r="S6" s="53">
        <f t="shared" ref="S6:S14" si="2">SUM(D6:O6)</f>
        <v>100</v>
      </c>
      <c r="T6"/>
      <c r="U6"/>
      <c r="V6"/>
      <c r="W6"/>
      <c r="X6"/>
      <c r="Y6"/>
    </row>
    <row r="7" spans="1:25" ht="15" x14ac:dyDescent="0.25">
      <c r="A7" s="156"/>
      <c r="B7" s="296" t="s">
        <v>330</v>
      </c>
      <c r="C7" s="292">
        <v>330</v>
      </c>
      <c r="D7" s="161">
        <v>40</v>
      </c>
      <c r="E7" s="160">
        <v>4</v>
      </c>
      <c r="F7" s="160">
        <v>25</v>
      </c>
      <c r="G7" s="160">
        <v>25</v>
      </c>
      <c r="H7" s="229"/>
      <c r="I7" s="229"/>
      <c r="J7" s="229"/>
      <c r="K7" s="229"/>
      <c r="L7" s="229"/>
      <c r="M7" s="229"/>
      <c r="N7" s="160">
        <v>1</v>
      </c>
      <c r="O7" s="155">
        <v>5</v>
      </c>
      <c r="P7" s="161">
        <f t="shared" si="0"/>
        <v>2.3976999999999999</v>
      </c>
      <c r="Q7" s="316">
        <v>1.91</v>
      </c>
      <c r="R7" s="235">
        <f t="shared" si="1"/>
        <v>1.8120999999999998</v>
      </c>
      <c r="S7" s="53">
        <f t="shared" si="2"/>
        <v>100</v>
      </c>
      <c r="T7"/>
      <c r="U7"/>
      <c r="V7"/>
      <c r="W7"/>
      <c r="X7"/>
      <c r="Y7"/>
    </row>
    <row r="8" spans="1:25" ht="15" x14ac:dyDescent="0.25">
      <c r="A8" s="156"/>
      <c r="B8" s="164" t="s">
        <v>336</v>
      </c>
      <c r="C8" s="293">
        <v>210</v>
      </c>
      <c r="D8" s="236"/>
      <c r="E8" s="229"/>
      <c r="F8" s="229"/>
      <c r="G8" s="229"/>
      <c r="H8" s="160">
        <v>90</v>
      </c>
      <c r="I8" s="160">
        <v>5</v>
      </c>
      <c r="J8" s="160">
        <v>0</v>
      </c>
      <c r="K8" s="160"/>
      <c r="L8" s="160">
        <v>5</v>
      </c>
      <c r="M8" s="160">
        <v>0</v>
      </c>
      <c r="N8" s="160">
        <v>0</v>
      </c>
      <c r="O8" s="155">
        <v>0</v>
      </c>
      <c r="P8" s="161">
        <f t="shared" si="0"/>
        <v>3.7730000000000001</v>
      </c>
      <c r="Q8" s="316">
        <v>2.91</v>
      </c>
      <c r="R8" s="235">
        <f t="shared" si="1"/>
        <v>1.0182500000000001</v>
      </c>
      <c r="S8" s="53">
        <f t="shared" si="2"/>
        <v>100</v>
      </c>
      <c r="T8"/>
      <c r="U8"/>
      <c r="V8"/>
      <c r="W8"/>
      <c r="X8"/>
      <c r="Y8"/>
    </row>
    <row r="9" spans="1:25" ht="15" x14ac:dyDescent="0.25">
      <c r="A9" s="156"/>
      <c r="B9" s="164" t="s">
        <v>331</v>
      </c>
      <c r="C9" s="293">
        <v>165</v>
      </c>
      <c r="D9" s="236"/>
      <c r="E9" s="229"/>
      <c r="F9" s="229"/>
      <c r="G9" s="229"/>
      <c r="H9" s="240">
        <v>40</v>
      </c>
      <c r="I9" s="240">
        <v>0</v>
      </c>
      <c r="J9" s="240">
        <v>0</v>
      </c>
      <c r="K9" s="240"/>
      <c r="L9" s="240">
        <v>40</v>
      </c>
      <c r="M9" s="240">
        <v>20</v>
      </c>
      <c r="N9" s="240">
        <v>0</v>
      </c>
      <c r="O9" s="241">
        <v>1</v>
      </c>
      <c r="P9" s="161">
        <f t="shared" si="0"/>
        <v>2.9651000000000001</v>
      </c>
      <c r="Q9" s="316">
        <v>2.25</v>
      </c>
      <c r="R9" s="235">
        <f t="shared" si="1"/>
        <v>1.641</v>
      </c>
      <c r="S9" s="53">
        <f t="shared" si="2"/>
        <v>101</v>
      </c>
      <c r="T9"/>
      <c r="U9"/>
      <c r="V9"/>
      <c r="W9"/>
      <c r="X9"/>
      <c r="Y9"/>
    </row>
    <row r="10" spans="1:25" ht="15" x14ac:dyDescent="0.25">
      <c r="A10" s="156"/>
      <c r="B10" s="164" t="s">
        <v>333</v>
      </c>
      <c r="C10" s="293">
        <v>175</v>
      </c>
      <c r="D10" s="236"/>
      <c r="E10" s="229"/>
      <c r="F10" s="229"/>
      <c r="G10" s="229"/>
      <c r="H10" s="160">
        <v>55</v>
      </c>
      <c r="I10" s="160">
        <v>14</v>
      </c>
      <c r="J10" s="160">
        <v>4</v>
      </c>
      <c r="K10" s="160"/>
      <c r="L10" s="160">
        <v>16</v>
      </c>
      <c r="M10" s="160">
        <v>0</v>
      </c>
      <c r="N10" s="160">
        <v>1</v>
      </c>
      <c r="O10" s="155">
        <v>10</v>
      </c>
      <c r="P10" s="161">
        <f t="shared" si="0"/>
        <v>2.952900000000001</v>
      </c>
      <c r="Q10" s="316">
        <v>2.2400000000000002</v>
      </c>
      <c r="R10" s="235">
        <f t="shared" si="1"/>
        <v>1.2986000000000002</v>
      </c>
      <c r="S10" s="53">
        <f t="shared" si="2"/>
        <v>100</v>
      </c>
      <c r="T10"/>
      <c r="U10"/>
      <c r="V10"/>
      <c r="W10"/>
      <c r="X10"/>
      <c r="Y10"/>
    </row>
    <row r="11" spans="1:25" ht="15" x14ac:dyDescent="0.25">
      <c r="A11" s="156"/>
      <c r="B11" s="164" t="s">
        <v>335</v>
      </c>
      <c r="C11" s="293">
        <v>85</v>
      </c>
      <c r="D11" s="236"/>
      <c r="E11" s="229"/>
      <c r="F11" s="229"/>
      <c r="G11" s="229"/>
      <c r="H11" s="240">
        <v>30</v>
      </c>
      <c r="I11" s="240">
        <v>0</v>
      </c>
      <c r="J11" s="240">
        <v>0</v>
      </c>
      <c r="K11" s="240"/>
      <c r="L11" s="240">
        <v>50</v>
      </c>
      <c r="M11" s="240">
        <v>20</v>
      </c>
      <c r="N11" s="240">
        <v>0</v>
      </c>
      <c r="O11" s="241">
        <v>1</v>
      </c>
      <c r="P11" s="161">
        <f t="shared" si="0"/>
        <v>2.7611000000000003</v>
      </c>
      <c r="Q11" s="316">
        <v>1.88</v>
      </c>
      <c r="R11" s="235">
        <f t="shared" si="1"/>
        <v>1.8234999999999999</v>
      </c>
      <c r="S11" s="53">
        <f t="shared" si="2"/>
        <v>101</v>
      </c>
      <c r="T11"/>
      <c r="U11"/>
      <c r="V11"/>
      <c r="W11"/>
      <c r="X11"/>
      <c r="Y11"/>
    </row>
    <row r="12" spans="1:25" ht="15" x14ac:dyDescent="0.25">
      <c r="A12" s="156"/>
      <c r="B12" s="164" t="s">
        <v>332</v>
      </c>
      <c r="C12" s="293">
        <v>492</v>
      </c>
      <c r="D12" s="236"/>
      <c r="E12" s="229"/>
      <c r="F12" s="229"/>
      <c r="G12" s="229"/>
      <c r="H12" s="240">
        <v>30</v>
      </c>
      <c r="I12" s="240">
        <v>0</v>
      </c>
      <c r="J12" s="240">
        <v>0</v>
      </c>
      <c r="K12" s="240"/>
      <c r="L12" s="240">
        <v>50</v>
      </c>
      <c r="M12" s="240">
        <v>20</v>
      </c>
      <c r="N12" s="240">
        <v>0</v>
      </c>
      <c r="O12" s="241">
        <v>1</v>
      </c>
      <c r="P12" s="161">
        <f t="shared" si="0"/>
        <v>2.7611000000000003</v>
      </c>
      <c r="Q12" s="316" t="s">
        <v>181</v>
      </c>
      <c r="R12" s="235">
        <f t="shared" si="1"/>
        <v>1.8234999999999999</v>
      </c>
      <c r="S12" s="53">
        <f t="shared" si="2"/>
        <v>101</v>
      </c>
      <c r="T12"/>
      <c r="U12"/>
      <c r="V12"/>
      <c r="W12"/>
      <c r="X12"/>
      <c r="Y12"/>
    </row>
    <row r="13" spans="1:25" ht="15" x14ac:dyDescent="0.25">
      <c r="A13" s="156"/>
      <c r="B13" s="164" t="s">
        <v>29</v>
      </c>
      <c r="C13" s="294">
        <v>593</v>
      </c>
      <c r="D13" s="236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30"/>
      <c r="P13" s="217"/>
      <c r="Q13" s="316" t="s">
        <v>181</v>
      </c>
      <c r="R13" s="237">
        <f>R7</f>
        <v>1.8120999999999998</v>
      </c>
      <c r="S13" s="53">
        <f t="shared" si="2"/>
        <v>0</v>
      </c>
      <c r="T13"/>
      <c r="U13"/>
      <c r="V13"/>
      <c r="W13"/>
      <c r="X13"/>
      <c r="Y13"/>
    </row>
    <row r="14" spans="1:25" ht="15.75" thickBot="1" x14ac:dyDescent="0.3">
      <c r="A14" s="156"/>
      <c r="B14" s="165" t="s">
        <v>183</v>
      </c>
      <c r="C14" s="301">
        <v>70</v>
      </c>
      <c r="D14" s="238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2"/>
      <c r="P14" s="162"/>
      <c r="Q14" s="317" t="s">
        <v>184</v>
      </c>
      <c r="R14" s="239">
        <v>0.54</v>
      </c>
      <c r="S14" s="53">
        <f t="shared" si="2"/>
        <v>0</v>
      </c>
      <c r="T14"/>
      <c r="U14"/>
      <c r="V14"/>
      <c r="W14"/>
      <c r="X14"/>
      <c r="Y14"/>
    </row>
    <row r="15" spans="1:25" ht="15" x14ac:dyDescent="0.25">
      <c r="A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 t="s">
        <v>182</v>
      </c>
      <c r="R15" s="156"/>
      <c r="T15"/>
      <c r="U15"/>
      <c r="V15"/>
      <c r="W15"/>
      <c r="X15"/>
      <c r="Y15"/>
    </row>
    <row r="16" spans="1:25" ht="15" x14ac:dyDescent="0.25">
      <c r="A16" s="156"/>
      <c r="B16" s="77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 t="s">
        <v>185</v>
      </c>
      <c r="R16" s="156"/>
      <c r="T16"/>
      <c r="U16"/>
      <c r="V16"/>
      <c r="W16"/>
      <c r="X16"/>
      <c r="Y16"/>
    </row>
    <row r="17" spans="1:25" ht="15" x14ac:dyDescent="0.25">
      <c r="A17" s="156"/>
      <c r="B17" s="297"/>
      <c r="T17"/>
      <c r="U17"/>
      <c r="V17"/>
      <c r="W17"/>
      <c r="X17"/>
      <c r="Y17"/>
    </row>
    <row r="18" spans="1:25" ht="15" x14ac:dyDescent="0.25">
      <c r="B18" s="298" t="s">
        <v>338</v>
      </c>
      <c r="C18" s="284" t="s">
        <v>342</v>
      </c>
      <c r="D18" s="284" t="s">
        <v>346</v>
      </c>
      <c r="E18" s="284" t="s">
        <v>347</v>
      </c>
      <c r="S18" s="84"/>
      <c r="T18"/>
      <c r="U18"/>
      <c r="V18"/>
      <c r="W18"/>
      <c r="X18"/>
      <c r="Y18"/>
    </row>
    <row r="19" spans="1:25" ht="15" x14ac:dyDescent="0.25">
      <c r="B19" s="288" t="s">
        <v>339</v>
      </c>
      <c r="C19" s="299" t="s">
        <v>337</v>
      </c>
      <c r="D19" s="53" t="s">
        <v>123</v>
      </c>
      <c r="E19" s="306" t="s">
        <v>223</v>
      </c>
      <c r="Q19" s="53">
        <f>SUMPRODUCT(C6:C11,Q6:Q11)/SUM(C6:C11)</f>
        <v>2.2164840182648402</v>
      </c>
      <c r="S19" s="84"/>
      <c r="T19"/>
      <c r="U19"/>
      <c r="V19"/>
      <c r="W19"/>
      <c r="X19"/>
      <c r="Y19"/>
    </row>
    <row r="20" spans="1:25" ht="15" x14ac:dyDescent="0.25">
      <c r="B20" s="289" t="s">
        <v>340</v>
      </c>
      <c r="C20" s="300" t="s">
        <v>180</v>
      </c>
      <c r="D20" s="62"/>
      <c r="E20" s="311" t="s">
        <v>222</v>
      </c>
      <c r="F20" s="62"/>
      <c r="G20" s="62"/>
      <c r="H20" s="62"/>
      <c r="N20" s="62"/>
      <c r="O20" s="62"/>
      <c r="P20" s="62"/>
      <c r="Q20" s="53">
        <f>Q19*0.0256</f>
        <v>5.674199086757991E-2</v>
      </c>
      <c r="R20" s="53">
        <v>188</v>
      </c>
      <c r="S20" s="84"/>
      <c r="T20"/>
      <c r="U20"/>
      <c r="V20"/>
      <c r="W20"/>
      <c r="X20"/>
      <c r="Y20"/>
    </row>
    <row r="21" spans="1:25" ht="15" x14ac:dyDescent="0.25">
      <c r="B21" s="288" t="s">
        <v>334</v>
      </c>
      <c r="C21" s="302" t="s">
        <v>343</v>
      </c>
      <c r="D21" s="62"/>
      <c r="E21" s="304" t="s">
        <v>221</v>
      </c>
      <c r="F21" s="151"/>
      <c r="G21" s="151"/>
      <c r="N21" s="233"/>
      <c r="O21" s="233"/>
      <c r="P21" s="62"/>
      <c r="R21" s="53">
        <f>R20*Q20</f>
        <v>10.667494283105023</v>
      </c>
      <c r="S21" s="84"/>
      <c r="T21" s="436"/>
      <c r="U21"/>
      <c r="V21"/>
      <c r="W21"/>
      <c r="X21"/>
      <c r="Y21"/>
    </row>
    <row r="22" spans="1:25" ht="15" x14ac:dyDescent="0.25">
      <c r="B22" s="53" t="s">
        <v>341</v>
      </c>
      <c r="C22" s="290" t="s">
        <v>345</v>
      </c>
      <c r="D22" s="62"/>
      <c r="E22" s="234"/>
      <c r="F22" s="151"/>
      <c r="G22" s="151"/>
      <c r="N22" s="152"/>
      <c r="O22" s="152"/>
      <c r="P22" s="62"/>
      <c r="S22" s="84"/>
      <c r="T22" s="436"/>
      <c r="U22"/>
      <c r="V22"/>
      <c r="W22"/>
      <c r="X22"/>
      <c r="Y22"/>
    </row>
    <row r="23" spans="1:25" ht="15" x14ac:dyDescent="0.25">
      <c r="C23" s="289"/>
      <c r="D23" s="62"/>
      <c r="E23" s="234"/>
      <c r="F23" s="151"/>
      <c r="G23" s="151"/>
      <c r="N23" s="152"/>
      <c r="O23" s="152"/>
      <c r="P23" s="62"/>
      <c r="Q23" s="53">
        <v>1.8</v>
      </c>
      <c r="R23" s="53">
        <v>188</v>
      </c>
      <c r="S23"/>
      <c r="T23" s="437"/>
      <c r="U23"/>
      <c r="V23"/>
      <c r="W23"/>
      <c r="Y23"/>
    </row>
    <row r="24" spans="1:25" ht="15" x14ac:dyDescent="0.25">
      <c r="C24" s="289"/>
      <c r="D24" s="62"/>
      <c r="E24" s="234"/>
      <c r="F24" s="151"/>
      <c r="G24" s="151"/>
      <c r="N24" s="152"/>
      <c r="O24" s="152"/>
      <c r="P24" s="62"/>
      <c r="R24" s="53">
        <f>R23*Q23</f>
        <v>338.40000000000003</v>
      </c>
      <c r="S24"/>
      <c r="T24" s="437"/>
      <c r="U24"/>
      <c r="V24"/>
      <c r="W24"/>
      <c r="Y24"/>
    </row>
    <row r="25" spans="1:25" ht="15" x14ac:dyDescent="0.25">
      <c r="C25" s="289"/>
      <c r="D25" s="62"/>
      <c r="E25" s="234"/>
      <c r="F25" s="151"/>
      <c r="G25" s="151"/>
      <c r="N25" s="152"/>
      <c r="O25" s="152"/>
      <c r="P25" s="62"/>
      <c r="R25" s="53">
        <f>R24/1200*100</f>
        <v>28.200000000000003</v>
      </c>
      <c r="S25"/>
      <c r="T25" s="437"/>
      <c r="U25"/>
      <c r="V25"/>
      <c r="W25"/>
      <c r="Y25"/>
    </row>
    <row r="26" spans="1:25" ht="15" x14ac:dyDescent="0.25">
      <c r="C26" s="289"/>
      <c r="D26" s="62"/>
      <c r="E26" s="234"/>
      <c r="F26" s="151"/>
      <c r="G26" s="151"/>
      <c r="N26" s="152"/>
      <c r="O26" s="152"/>
      <c r="P26" s="62"/>
      <c r="S26"/>
      <c r="T26" s="437"/>
      <c r="U26"/>
      <c r="V26"/>
      <c r="W26"/>
      <c r="Y26"/>
    </row>
    <row r="27" spans="1:25" ht="15" x14ac:dyDescent="0.25">
      <c r="C27" s="289"/>
      <c r="D27" s="62"/>
      <c r="E27" s="234"/>
      <c r="F27" s="151"/>
      <c r="G27" s="151"/>
      <c r="N27" s="152"/>
      <c r="O27" s="152"/>
      <c r="P27" s="62"/>
      <c r="S27"/>
      <c r="T27" s="437"/>
      <c r="U27"/>
      <c r="V27"/>
      <c r="W27"/>
      <c r="Y27"/>
    </row>
    <row r="28" spans="1:25" ht="15" x14ac:dyDescent="0.25">
      <c r="A28" s="290"/>
      <c r="C28" s="289"/>
      <c r="D28" s="62"/>
      <c r="E28" s="234"/>
      <c r="F28" s="151"/>
      <c r="G28" s="151"/>
      <c r="N28" s="152"/>
      <c r="O28" s="152"/>
      <c r="P28" s="62"/>
      <c r="S28"/>
      <c r="T28" s="437"/>
      <c r="U28"/>
      <c r="V28"/>
      <c r="W28"/>
      <c r="Y28"/>
    </row>
    <row r="29" spans="1:25" ht="15" x14ac:dyDescent="0.25">
      <c r="C29" s="289"/>
      <c r="D29" s="62"/>
      <c r="E29" s="234"/>
      <c r="F29" s="151"/>
      <c r="G29" s="151"/>
      <c r="N29" s="152"/>
      <c r="O29" s="152"/>
      <c r="P29" s="62"/>
      <c r="S29"/>
      <c r="T29" s="437"/>
      <c r="U29"/>
      <c r="V29"/>
      <c r="W29"/>
      <c r="Y29"/>
    </row>
    <row r="30" spans="1:25" ht="15" x14ac:dyDescent="0.25">
      <c r="D30" s="62"/>
      <c r="E30" s="234"/>
      <c r="F30" s="151"/>
      <c r="G30" s="151"/>
      <c r="H30" s="152"/>
      <c r="M30" s="152"/>
      <c r="N30" s="152"/>
      <c r="O30" s="152"/>
      <c r="P30" s="62"/>
      <c r="S30"/>
      <c r="T30" s="437"/>
      <c r="U30"/>
      <c r="V30"/>
      <c r="W30"/>
      <c r="X30"/>
      <c r="Y30"/>
    </row>
    <row r="31" spans="1:25" ht="15" x14ac:dyDescent="0.25">
      <c r="C31" s="82"/>
      <c r="D31" s="83"/>
      <c r="E31" s="234"/>
      <c r="F31" s="151"/>
      <c r="G31" s="151"/>
      <c r="H31" s="152"/>
      <c r="M31" s="152"/>
      <c r="N31" s="152"/>
      <c r="O31" s="152"/>
      <c r="P31" s="62"/>
      <c r="S31"/>
      <c r="T31" s="437"/>
      <c r="U31"/>
      <c r="V31"/>
      <c r="W31"/>
      <c r="X31"/>
      <c r="Y31"/>
    </row>
    <row r="32" spans="1:25" ht="15" x14ac:dyDescent="0.25"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S32"/>
      <c r="T32" s="436"/>
      <c r="U32"/>
      <c r="V32"/>
      <c r="W32"/>
      <c r="X32"/>
      <c r="Y32"/>
    </row>
    <row r="33" spans="1:25" ht="15" x14ac:dyDescent="0.25">
      <c r="T33" s="436"/>
      <c r="U33"/>
      <c r="V33"/>
      <c r="W33"/>
      <c r="X33"/>
      <c r="Y33"/>
    </row>
    <row r="34" spans="1:25" ht="15" x14ac:dyDescent="0.25">
      <c r="T34" s="436"/>
      <c r="U34"/>
      <c r="V34"/>
      <c r="W34"/>
      <c r="X34"/>
      <c r="Y34"/>
    </row>
    <row r="35" spans="1:25" ht="15" x14ac:dyDescent="0.25">
      <c r="T35"/>
      <c r="U35"/>
      <c r="V35"/>
      <c r="W35"/>
      <c r="X35"/>
      <c r="Y35"/>
    </row>
    <row r="36" spans="1:25" ht="15" x14ac:dyDescent="0.25">
      <c r="Y36"/>
    </row>
    <row r="37" spans="1:25" ht="14.45" customHeight="1" x14ac:dyDescent="0.25">
      <c r="Y37"/>
    </row>
    <row r="38" spans="1:25" ht="15" x14ac:dyDescent="0.25">
      <c r="Y38"/>
    </row>
    <row r="39" spans="1:25" ht="15" x14ac:dyDescent="0.25">
      <c r="Y39"/>
    </row>
    <row r="40" spans="1:25" ht="15" x14ac:dyDescent="0.25">
      <c r="Y40"/>
    </row>
    <row r="41" spans="1:25" ht="15" customHeight="1" x14ac:dyDescent="0.25">
      <c r="Y41"/>
    </row>
    <row r="42" spans="1:25" ht="15" customHeight="1" x14ac:dyDescent="0.25">
      <c r="Y42"/>
    </row>
    <row r="43" spans="1:25" ht="15" x14ac:dyDescent="0.25">
      <c r="Y43"/>
    </row>
    <row r="44" spans="1:25" ht="15" x14ac:dyDescent="0.25">
      <c r="Y44"/>
    </row>
    <row r="45" spans="1:25" ht="15" x14ac:dyDescent="0.25">
      <c r="Y45"/>
    </row>
    <row r="46" spans="1:25" ht="15" x14ac:dyDescent="0.25">
      <c r="A46" s="156"/>
      <c r="Y46"/>
    </row>
    <row r="47" spans="1:25" x14ac:dyDescent="0.2">
      <c r="A47" s="156"/>
    </row>
    <row r="64" ht="14.45" customHeight="1" x14ac:dyDescent="0.2"/>
  </sheetData>
  <sortState ref="B1:R12">
    <sortCondition ref="B1"/>
  </sortState>
  <mergeCells count="5">
    <mergeCell ref="P2:Q2"/>
    <mergeCell ref="Q3:Q4"/>
    <mergeCell ref="D5:O5"/>
    <mergeCell ref="P3:P4"/>
    <mergeCell ref="R3:R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topLeftCell="K88" zoomScale="85" zoomScaleNormal="85" workbookViewId="0">
      <selection activeCell="X101" sqref="X101:AC118"/>
    </sheetView>
  </sheetViews>
  <sheetFormatPr defaultRowHeight="15" x14ac:dyDescent="0.25"/>
  <cols>
    <col min="2" max="2" width="32.42578125" customWidth="1"/>
    <col min="3" max="3" width="24.5703125" customWidth="1"/>
    <col min="4" max="4" width="12.28515625" bestFit="1" customWidth="1"/>
    <col min="5" max="5" width="17.28515625" bestFit="1" customWidth="1"/>
    <col min="6" max="6" width="10.85546875" bestFit="1" customWidth="1"/>
    <col min="7" max="7" width="12.28515625" bestFit="1" customWidth="1"/>
    <col min="8" max="8" width="19.7109375" bestFit="1" customWidth="1"/>
    <col min="12" max="12" width="13" customWidth="1"/>
    <col min="16" max="16" width="13.85546875" customWidth="1"/>
    <col min="17" max="17" width="10.42578125" customWidth="1"/>
    <col min="23" max="23" width="27.85546875" bestFit="1" customWidth="1"/>
    <col min="24" max="24" width="12" bestFit="1" customWidth="1"/>
    <col min="25" max="25" width="24.7109375" bestFit="1" customWidth="1"/>
    <col min="29" max="30" width="12.28515625" bestFit="1" customWidth="1"/>
  </cols>
  <sheetData>
    <row r="1" spans="2:25" x14ac:dyDescent="0.25">
      <c r="B1" s="53"/>
      <c r="C1" s="53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53"/>
      <c r="R1" s="53"/>
    </row>
    <row r="2" spans="2:25" x14ac:dyDescent="0.25">
      <c r="B2" s="53"/>
      <c r="C2" s="53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3"/>
      <c r="R2" s="53"/>
    </row>
    <row r="3" spans="2:25" ht="15.75" thickBot="1" x14ac:dyDescent="0.3"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</row>
    <row r="4" spans="2:25" ht="26.25" thickBot="1" x14ac:dyDescent="0.3">
      <c r="B4" s="220"/>
      <c r="C4" s="156"/>
      <c r="D4" s="372" t="s">
        <v>154</v>
      </c>
      <c r="E4" s="373" t="s">
        <v>168</v>
      </c>
      <c r="F4" s="373" t="s">
        <v>287</v>
      </c>
      <c r="G4" s="373" t="s">
        <v>169</v>
      </c>
      <c r="H4" s="373" t="s">
        <v>306</v>
      </c>
      <c r="I4" s="373" t="s">
        <v>237</v>
      </c>
      <c r="J4" s="373" t="s">
        <v>307</v>
      </c>
      <c r="K4" s="373" t="s">
        <v>235</v>
      </c>
      <c r="L4" s="374" t="s">
        <v>163</v>
      </c>
      <c r="M4" s="373" t="s">
        <v>122</v>
      </c>
      <c r="N4" s="375" t="s">
        <v>170</v>
      </c>
      <c r="O4" s="374" t="s">
        <v>229</v>
      </c>
      <c r="P4" s="523" t="s">
        <v>121</v>
      </c>
      <c r="Q4" s="524"/>
      <c r="R4" s="206" t="s">
        <v>171</v>
      </c>
      <c r="W4" s="163"/>
      <c r="X4" s="170" t="s">
        <v>453</v>
      </c>
      <c r="Y4" s="424" t="s">
        <v>448</v>
      </c>
    </row>
    <row r="5" spans="2:25" ht="15.75" thickBot="1" x14ac:dyDescent="0.3">
      <c r="B5" s="219"/>
      <c r="C5" s="153" t="s">
        <v>120</v>
      </c>
      <c r="D5" s="384">
        <v>3.58</v>
      </c>
      <c r="E5" s="385">
        <v>2.23</v>
      </c>
      <c r="F5" s="385">
        <v>1.3</v>
      </c>
      <c r="G5" s="385">
        <v>1.85</v>
      </c>
      <c r="H5" s="385">
        <v>4.54</v>
      </c>
      <c r="I5" s="385">
        <v>1.84</v>
      </c>
      <c r="J5" s="385">
        <v>1.1100000000000001</v>
      </c>
      <c r="K5" s="385">
        <v>1.41</v>
      </c>
      <c r="L5" s="385">
        <v>3.14</v>
      </c>
      <c r="M5" s="385">
        <v>2.85</v>
      </c>
      <c r="N5" s="385">
        <v>0.4</v>
      </c>
      <c r="O5" s="386">
        <v>1.81</v>
      </c>
      <c r="P5" s="531" t="s">
        <v>348</v>
      </c>
      <c r="Q5" s="525" t="s">
        <v>123</v>
      </c>
      <c r="R5" s="527" t="s">
        <v>220</v>
      </c>
      <c r="S5" s="40"/>
      <c r="W5" s="295" t="s">
        <v>449</v>
      </c>
      <c r="X5" s="291">
        <f>460-X6</f>
        <v>130</v>
      </c>
      <c r="Y5" s="426">
        <v>2.02</v>
      </c>
    </row>
    <row r="6" spans="2:25" ht="15.75" thickBot="1" x14ac:dyDescent="0.3">
      <c r="B6" s="218"/>
      <c r="C6" s="154" t="s">
        <v>162</v>
      </c>
      <c r="D6" s="387">
        <v>0.9</v>
      </c>
      <c r="E6" s="376">
        <v>1.44</v>
      </c>
      <c r="F6" s="377">
        <v>2.7250000000000001</v>
      </c>
      <c r="G6" s="377">
        <v>2.7250000000000001</v>
      </c>
      <c r="H6" s="376">
        <v>0.9</v>
      </c>
      <c r="I6" s="378">
        <v>1.44</v>
      </c>
      <c r="J6" s="377">
        <v>2.7250000000000001</v>
      </c>
      <c r="K6" s="377">
        <v>2.7250000000000001</v>
      </c>
      <c r="L6" s="376">
        <v>0.93</v>
      </c>
      <c r="M6" s="379">
        <v>0.7</v>
      </c>
      <c r="N6" s="379">
        <v>0.5</v>
      </c>
      <c r="O6" s="388">
        <v>0.54</v>
      </c>
      <c r="P6" s="532"/>
      <c r="Q6" s="526"/>
      <c r="R6" s="528"/>
      <c r="S6" s="40"/>
      <c r="W6" s="296" t="s">
        <v>450</v>
      </c>
      <c r="X6" s="427">
        <v>330</v>
      </c>
      <c r="Y6" s="428">
        <v>1.91</v>
      </c>
    </row>
    <row r="7" spans="2:25" ht="15.75" thickBot="1" x14ac:dyDescent="0.3">
      <c r="B7" s="163"/>
      <c r="C7" s="170" t="s">
        <v>119</v>
      </c>
      <c r="D7" s="533" t="s">
        <v>159</v>
      </c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5"/>
      <c r="P7" s="380"/>
      <c r="Q7" s="314"/>
      <c r="R7" s="208"/>
      <c r="S7" s="40"/>
      <c r="W7" s="164" t="s">
        <v>451</v>
      </c>
      <c r="X7" s="427">
        <v>210</v>
      </c>
      <c r="Y7" s="428">
        <v>2.91</v>
      </c>
    </row>
    <row r="8" spans="2:25" ht="15.75" thickBot="1" x14ac:dyDescent="0.3">
      <c r="B8" s="295" t="s">
        <v>344</v>
      </c>
      <c r="C8" s="398">
        <f>460-C9</f>
        <v>130</v>
      </c>
      <c r="D8" s="369">
        <v>21</v>
      </c>
      <c r="E8" s="370">
        <v>8</v>
      </c>
      <c r="F8" s="370">
        <v>17</v>
      </c>
      <c r="G8" s="370">
        <v>8</v>
      </c>
      <c r="H8" s="371"/>
      <c r="I8" s="371"/>
      <c r="J8" s="394">
        <v>4</v>
      </c>
      <c r="K8" s="371"/>
      <c r="L8" s="394">
        <v>24</v>
      </c>
      <c r="M8" s="394">
        <v>15</v>
      </c>
      <c r="N8" s="395">
        <v>3</v>
      </c>
      <c r="O8" s="389"/>
      <c r="P8" s="381">
        <f>SUMPRODUCT(D8:O8,$D$5:$O$5)/100</f>
        <v>2.5367000000000002</v>
      </c>
      <c r="Q8" s="315">
        <v>2.02</v>
      </c>
      <c r="R8" s="335">
        <f>SUMPRODUCT(F8:Q8,$D$6:$O$6)/100</f>
        <v>1.4184414999999999</v>
      </c>
      <c r="S8" s="40"/>
      <c r="W8" s="164" t="s">
        <v>383</v>
      </c>
      <c r="X8" s="427">
        <v>165</v>
      </c>
      <c r="Y8" s="428">
        <v>2.25</v>
      </c>
    </row>
    <row r="9" spans="2:25" ht="15.75" thickBot="1" x14ac:dyDescent="0.3">
      <c r="B9" s="296" t="s">
        <v>330</v>
      </c>
      <c r="C9" s="292">
        <v>330</v>
      </c>
      <c r="D9" s="326">
        <v>29</v>
      </c>
      <c r="E9" s="327">
        <v>5</v>
      </c>
      <c r="F9" s="327">
        <v>19</v>
      </c>
      <c r="G9" s="327">
        <v>27</v>
      </c>
      <c r="H9" s="229"/>
      <c r="I9" s="229"/>
      <c r="J9" s="396">
        <v>2.9</v>
      </c>
      <c r="K9" s="229"/>
      <c r="L9" s="396">
        <v>0</v>
      </c>
      <c r="M9" s="396">
        <v>14</v>
      </c>
      <c r="N9" s="397">
        <v>3</v>
      </c>
      <c r="O9" s="390">
        <v>0.1</v>
      </c>
      <c r="P9" s="381">
        <f t="shared" ref="P9:P14" si="0">SUMPRODUCT(D9:O9,$D$5:$O$5)/100</f>
        <v>2.3412000000000002</v>
      </c>
      <c r="Q9" s="316">
        <v>1.91</v>
      </c>
      <c r="R9" s="335">
        <f t="shared" ref="R9:R14" si="1">SUMPRODUCT(F9:Q9,$D$6:$O$6)/100</f>
        <v>1.0180199999999999</v>
      </c>
      <c r="S9" s="40"/>
      <c r="W9" s="164" t="s">
        <v>26</v>
      </c>
      <c r="X9" s="427">
        <v>175</v>
      </c>
      <c r="Y9" s="428">
        <v>2.2400000000000002</v>
      </c>
    </row>
    <row r="10" spans="2:25" ht="15.75" thickBot="1" x14ac:dyDescent="0.3">
      <c r="B10" s="164" t="s">
        <v>336</v>
      </c>
      <c r="C10" s="293">
        <v>210</v>
      </c>
      <c r="D10" s="236"/>
      <c r="E10" s="229"/>
      <c r="F10" s="407">
        <v>15</v>
      </c>
      <c r="G10" s="407"/>
      <c r="H10" s="407">
        <v>50</v>
      </c>
      <c r="I10" s="407">
        <v>0</v>
      </c>
      <c r="J10" s="407">
        <v>30</v>
      </c>
      <c r="K10" s="407">
        <v>0</v>
      </c>
      <c r="L10" s="407">
        <v>3</v>
      </c>
      <c r="M10" s="407">
        <v>0</v>
      </c>
      <c r="N10" s="408">
        <v>2</v>
      </c>
      <c r="O10" s="409">
        <v>0</v>
      </c>
      <c r="P10" s="381">
        <f t="shared" si="0"/>
        <v>2.9002000000000003</v>
      </c>
      <c r="Q10" s="316">
        <v>2.91</v>
      </c>
      <c r="R10" s="335">
        <f t="shared" si="1"/>
        <v>1.8980650000000003</v>
      </c>
      <c r="S10" s="40"/>
      <c r="W10" s="165" t="s">
        <v>452</v>
      </c>
      <c r="X10" s="429">
        <v>85</v>
      </c>
      <c r="Y10" s="430">
        <v>1.88</v>
      </c>
    </row>
    <row r="11" spans="2:25" ht="15.75" thickBot="1" x14ac:dyDescent="0.3">
      <c r="B11" s="164" t="s">
        <v>331</v>
      </c>
      <c r="C11" s="293">
        <v>165</v>
      </c>
      <c r="D11" s="236"/>
      <c r="E11" s="229"/>
      <c r="F11" s="407">
        <v>30</v>
      </c>
      <c r="G11" s="407"/>
      <c r="H11" s="411">
        <v>40</v>
      </c>
      <c r="I11" s="411">
        <v>0</v>
      </c>
      <c r="J11" s="411">
        <v>10</v>
      </c>
      <c r="K11" s="411">
        <v>10</v>
      </c>
      <c r="L11" s="411">
        <v>5</v>
      </c>
      <c r="M11" s="411">
        <v>0</v>
      </c>
      <c r="N11" s="412">
        <v>4</v>
      </c>
      <c r="O11" s="413">
        <v>1</v>
      </c>
      <c r="P11" s="381">
        <f t="shared" si="0"/>
        <v>2.6491000000000002</v>
      </c>
      <c r="Q11" s="316">
        <v>2.25</v>
      </c>
      <c r="R11" s="335">
        <f t="shared" si="1"/>
        <v>1.7998454999999998</v>
      </c>
      <c r="S11" s="40"/>
      <c r="X11" s="431"/>
      <c r="Y11" s="432">
        <f>SUMPRODUCT(X5:X10,Y5:Y10)/SUM(X5:X10)</f>
        <v>2.2164840182648402</v>
      </c>
    </row>
    <row r="12" spans="2:25" ht="15.75" thickBot="1" x14ac:dyDescent="0.3">
      <c r="B12" s="164" t="s">
        <v>333</v>
      </c>
      <c r="C12" s="293">
        <v>175</v>
      </c>
      <c r="D12" s="236"/>
      <c r="E12" s="229"/>
      <c r="F12" s="229"/>
      <c r="G12" s="229"/>
      <c r="H12" s="322">
        <v>26.5</v>
      </c>
      <c r="I12" s="322">
        <v>14</v>
      </c>
      <c r="J12" s="322">
        <v>1</v>
      </c>
      <c r="K12" s="322">
        <v>50</v>
      </c>
      <c r="L12" s="322">
        <v>1</v>
      </c>
      <c r="M12" s="322">
        <v>1</v>
      </c>
      <c r="N12" s="323">
        <v>1</v>
      </c>
      <c r="O12" s="391">
        <v>5.5</v>
      </c>
      <c r="P12" s="381">
        <f t="shared" si="0"/>
        <v>2.3402500000000002</v>
      </c>
      <c r="Q12" s="316">
        <v>2.2400000000000002</v>
      </c>
      <c r="R12" s="335">
        <f t="shared" si="1"/>
        <v>1.9587222500000001</v>
      </c>
      <c r="Y12" s="425">
        <f>Y11*0.0256</f>
        <v>5.674199086757991E-2</v>
      </c>
    </row>
    <row r="13" spans="2:25" ht="15.75" thickBot="1" x14ac:dyDescent="0.3">
      <c r="B13" s="164" t="s">
        <v>335</v>
      </c>
      <c r="C13" s="293">
        <v>85</v>
      </c>
      <c r="D13" s="236"/>
      <c r="E13" s="229"/>
      <c r="F13" s="229"/>
      <c r="G13" s="229"/>
      <c r="H13" s="324">
        <v>14</v>
      </c>
      <c r="I13" s="324">
        <v>17</v>
      </c>
      <c r="J13" s="324">
        <v>0</v>
      </c>
      <c r="K13" s="324">
        <v>56.5</v>
      </c>
      <c r="L13" s="324">
        <v>1.5</v>
      </c>
      <c r="M13" s="324">
        <v>0.5</v>
      </c>
      <c r="N13" s="325">
        <v>0.5</v>
      </c>
      <c r="O13" s="392">
        <v>0</v>
      </c>
      <c r="P13" s="381">
        <f t="shared" si="0"/>
        <v>1.8084</v>
      </c>
      <c r="Q13" s="316">
        <v>1.88</v>
      </c>
      <c r="R13" s="335">
        <f t="shared" si="1"/>
        <v>1.736694</v>
      </c>
      <c r="S13" s="53"/>
    </row>
    <row r="14" spans="2:25" ht="15.75" thickBot="1" x14ac:dyDescent="0.3">
      <c r="B14" s="164" t="s">
        <v>332</v>
      </c>
      <c r="C14" s="293">
        <v>492</v>
      </c>
      <c r="D14" s="236"/>
      <c r="E14" s="229"/>
      <c r="F14" s="420">
        <v>15</v>
      </c>
      <c r="G14" s="420"/>
      <c r="H14" s="417">
        <v>28</v>
      </c>
      <c r="I14" s="417">
        <v>22</v>
      </c>
      <c r="J14" s="417">
        <v>5</v>
      </c>
      <c r="K14" s="417">
        <v>22</v>
      </c>
      <c r="L14" s="417">
        <v>6</v>
      </c>
      <c r="M14" s="417">
        <v>0</v>
      </c>
      <c r="N14" s="418">
        <v>2</v>
      </c>
      <c r="O14" s="419"/>
      <c r="P14" s="381">
        <f t="shared" si="0"/>
        <v>2.4331000000000005</v>
      </c>
      <c r="Q14" s="316" t="s">
        <v>181</v>
      </c>
      <c r="R14" s="335">
        <f t="shared" si="1"/>
        <v>2.0535655000000004</v>
      </c>
      <c r="S14" s="53"/>
    </row>
    <row r="15" spans="2:25" ht="15.75" thickBot="1" x14ac:dyDescent="0.3">
      <c r="B15" s="164" t="s">
        <v>29</v>
      </c>
      <c r="C15" s="294">
        <v>593</v>
      </c>
      <c r="D15" s="236"/>
      <c r="E15" s="229"/>
      <c r="F15" s="421">
        <v>15</v>
      </c>
      <c r="G15" s="421"/>
      <c r="H15" s="421">
        <v>60</v>
      </c>
      <c r="I15" s="421">
        <v>15</v>
      </c>
      <c r="J15" s="421"/>
      <c r="K15" s="421">
        <v>5</v>
      </c>
      <c r="L15" s="421"/>
      <c r="M15" s="421"/>
      <c r="N15" s="422"/>
      <c r="O15" s="423">
        <v>5</v>
      </c>
      <c r="P15" s="382"/>
      <c r="Q15" s="316" t="s">
        <v>181</v>
      </c>
      <c r="R15" s="335"/>
      <c r="S15" s="53"/>
    </row>
    <row r="16" spans="2:25" ht="15.75" thickBot="1" x14ac:dyDescent="0.3">
      <c r="B16" s="165" t="s">
        <v>183</v>
      </c>
      <c r="C16" s="301">
        <v>70</v>
      </c>
      <c r="D16" s="238"/>
      <c r="E16" s="231"/>
      <c r="F16" s="231"/>
      <c r="G16" s="231"/>
      <c r="H16" s="231"/>
      <c r="I16" s="231"/>
      <c r="J16" s="231"/>
      <c r="K16" s="231"/>
      <c r="L16" s="231"/>
      <c r="M16" s="231"/>
      <c r="N16" s="232"/>
      <c r="O16" s="393"/>
      <c r="P16" s="383"/>
      <c r="Q16" s="317" t="s">
        <v>184</v>
      </c>
      <c r="R16" s="335"/>
      <c r="S16" s="53"/>
    </row>
    <row r="17" spans="2:20" x14ac:dyDescent="0.25">
      <c r="B17" s="53"/>
      <c r="C17" s="53"/>
      <c r="D17" s="414" t="s">
        <v>413</v>
      </c>
      <c r="E17" s="415"/>
      <c r="F17" s="156"/>
      <c r="G17" s="410" t="s">
        <v>412</v>
      </c>
      <c r="H17" s="410"/>
      <c r="I17" s="156"/>
      <c r="J17" s="156"/>
      <c r="K17" s="156"/>
      <c r="L17" s="156"/>
      <c r="M17" s="156"/>
      <c r="N17" s="156"/>
      <c r="O17" s="156"/>
      <c r="P17" s="156"/>
      <c r="Q17" s="156" t="s">
        <v>182</v>
      </c>
      <c r="R17" s="156"/>
      <c r="S17" s="53"/>
    </row>
    <row r="18" spans="2:20" x14ac:dyDescent="0.25">
      <c r="B18" s="77"/>
      <c r="C18" s="53"/>
      <c r="D18" s="416"/>
      <c r="E18" s="416"/>
      <c r="F18" s="156"/>
      <c r="G18" s="337" t="s">
        <v>362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 t="s">
        <v>185</v>
      </c>
      <c r="R18" s="156"/>
      <c r="S18" s="53"/>
    </row>
    <row r="19" spans="2:20" x14ac:dyDescent="0.25">
      <c r="B19" s="297"/>
      <c r="C19" s="53"/>
      <c r="D19" s="53"/>
      <c r="E19" s="53"/>
      <c r="F19" s="53"/>
      <c r="K19" s="53"/>
      <c r="L19" s="53"/>
      <c r="M19" s="53"/>
      <c r="N19" s="53"/>
      <c r="O19" s="53"/>
      <c r="P19" s="53"/>
      <c r="Q19" s="53"/>
      <c r="R19" s="53"/>
      <c r="S19" s="53"/>
    </row>
    <row r="20" spans="2:20" x14ac:dyDescent="0.25">
      <c r="B20" s="298" t="s">
        <v>338</v>
      </c>
      <c r="C20" s="284" t="s">
        <v>342</v>
      </c>
      <c r="D20" s="284" t="s">
        <v>346</v>
      </c>
      <c r="E20" s="284" t="s">
        <v>347</v>
      </c>
      <c r="F20" s="53"/>
      <c r="H20">
        <f>SUM(F15:O15)</f>
        <v>100</v>
      </c>
    </row>
    <row r="21" spans="2:20" x14ac:dyDescent="0.25">
      <c r="B21" s="288" t="s">
        <v>339</v>
      </c>
      <c r="C21" s="299" t="s">
        <v>337</v>
      </c>
      <c r="D21" s="53" t="s">
        <v>123</v>
      </c>
      <c r="E21" s="306" t="s">
        <v>223</v>
      </c>
      <c r="F21" s="53"/>
    </row>
    <row r="22" spans="2:20" x14ac:dyDescent="0.25">
      <c r="B22" s="289" t="s">
        <v>340</v>
      </c>
      <c r="C22" s="300" t="s">
        <v>180</v>
      </c>
      <c r="D22" s="62"/>
      <c r="E22" s="311" t="s">
        <v>222</v>
      </c>
      <c r="F22" s="62"/>
    </row>
    <row r="23" spans="2:20" x14ac:dyDescent="0.25">
      <c r="B23" s="288" t="s">
        <v>334</v>
      </c>
      <c r="C23" s="302" t="s">
        <v>343</v>
      </c>
      <c r="D23" s="62"/>
      <c r="E23" s="304" t="s">
        <v>221</v>
      </c>
      <c r="F23" s="151"/>
      <c r="R23" t="s">
        <v>414</v>
      </c>
      <c r="S23">
        <f>SUMPRODUCT(C8:C13,Q8:Q13)/SUM(C8:C13)</f>
        <v>2.2164840182648402</v>
      </c>
      <c r="T23">
        <v>0.9</v>
      </c>
    </row>
    <row r="24" spans="2:20" x14ac:dyDescent="0.25">
      <c r="B24" s="53" t="s">
        <v>341</v>
      </c>
      <c r="C24" s="290" t="s">
        <v>345</v>
      </c>
      <c r="D24" s="62"/>
      <c r="R24" t="s">
        <v>415</v>
      </c>
      <c r="S24">
        <v>0.6</v>
      </c>
      <c r="T24">
        <v>0.1</v>
      </c>
    </row>
    <row r="25" spans="2:20" x14ac:dyDescent="0.25">
      <c r="B25" s="53"/>
      <c r="C25" s="53"/>
      <c r="D25" s="53"/>
      <c r="R25">
        <f>S23*T23+S24*T24</f>
        <v>2.0548356164383561</v>
      </c>
    </row>
    <row r="26" spans="2:20" x14ac:dyDescent="0.25">
      <c r="B26" s="53"/>
      <c r="C26" s="53"/>
      <c r="D26" s="53"/>
    </row>
    <row r="27" spans="2:20" x14ac:dyDescent="0.25">
      <c r="E27" s="151" t="s">
        <v>397</v>
      </c>
      <c r="F27">
        <v>513</v>
      </c>
      <c r="G27">
        <f>F27*0.3048</f>
        <v>156.36240000000001</v>
      </c>
      <c r="H27" t="s">
        <v>398</v>
      </c>
    </row>
    <row r="28" spans="2:20" x14ac:dyDescent="0.25">
      <c r="E28" s="53" t="s">
        <v>399</v>
      </c>
      <c r="F28" s="53">
        <v>842</v>
      </c>
      <c r="G28">
        <f>F28*0.3048</f>
        <v>256.64160000000004</v>
      </c>
    </row>
    <row r="29" spans="2:20" x14ac:dyDescent="0.25">
      <c r="E29" s="53" t="s">
        <v>149</v>
      </c>
      <c r="F29" s="53">
        <f>1511-842</f>
        <v>669</v>
      </c>
      <c r="G29">
        <f t="shared" ref="G29:G34" si="2">F29*0.3048</f>
        <v>203.91120000000001</v>
      </c>
      <c r="R29" t="s">
        <v>416</v>
      </c>
      <c r="S29">
        <f>AVERAGE(S36:S60)</f>
        <v>2.7562578572081993</v>
      </c>
      <c r="T29">
        <v>0.9</v>
      </c>
    </row>
    <row r="30" spans="2:20" x14ac:dyDescent="0.25">
      <c r="E30" t="s">
        <v>148</v>
      </c>
      <c r="F30">
        <f>2046-1511</f>
        <v>535</v>
      </c>
      <c r="G30">
        <f t="shared" si="2"/>
        <v>163.06800000000001</v>
      </c>
      <c r="R30" t="s">
        <v>415</v>
      </c>
      <c r="S30">
        <v>0.6</v>
      </c>
      <c r="T30">
        <v>0.1</v>
      </c>
    </row>
    <row r="31" spans="2:20" x14ac:dyDescent="0.25">
      <c r="E31" t="s">
        <v>65</v>
      </c>
      <c r="F31">
        <f>2612-2048</f>
        <v>564</v>
      </c>
      <c r="G31">
        <f t="shared" si="2"/>
        <v>171.90720000000002</v>
      </c>
      <c r="R31">
        <f>S29*T29+S30*T30</f>
        <v>2.5406320714873796</v>
      </c>
    </row>
    <row r="32" spans="2:20" x14ac:dyDescent="0.25">
      <c r="E32" t="s">
        <v>66</v>
      </c>
      <c r="F32">
        <f>2940-2612</f>
        <v>328</v>
      </c>
      <c r="G32">
        <f t="shared" si="2"/>
        <v>99.974400000000003</v>
      </c>
      <c r="R32" t="s">
        <v>417</v>
      </c>
      <c r="S32">
        <v>2.5000000000000001E-2</v>
      </c>
      <c r="T32">
        <f>S32*R31</f>
        <v>6.3515801787184495E-2</v>
      </c>
    </row>
    <row r="33" spans="5:20" x14ac:dyDescent="0.25">
      <c r="E33" t="s">
        <v>400</v>
      </c>
      <c r="F33">
        <f>3875-2940</f>
        <v>935</v>
      </c>
      <c r="G33">
        <f t="shared" si="2"/>
        <v>284.988</v>
      </c>
    </row>
    <row r="34" spans="5:20" x14ac:dyDescent="0.25">
      <c r="E34" t="s">
        <v>401</v>
      </c>
      <c r="F34">
        <f>5609-3875</f>
        <v>1734</v>
      </c>
      <c r="G34">
        <f t="shared" si="2"/>
        <v>528.52319999999997</v>
      </c>
      <c r="J34" s="282"/>
      <c r="K34" s="282"/>
    </row>
    <row r="35" spans="5:20" x14ac:dyDescent="0.25">
      <c r="J35" s="82"/>
      <c r="K35" s="82"/>
      <c r="R35" t="s">
        <v>418</v>
      </c>
      <c r="S35" t="s">
        <v>419</v>
      </c>
      <c r="T35" t="s">
        <v>420</v>
      </c>
    </row>
    <row r="36" spans="5:20" x14ac:dyDescent="0.25">
      <c r="J36" s="82"/>
      <c r="K36" s="82"/>
      <c r="R36" t="s">
        <v>421</v>
      </c>
      <c r="S36">
        <v>1.91533486775082</v>
      </c>
      <c r="T36" s="207">
        <v>7.0807787797607805E-7</v>
      </c>
    </row>
    <row r="37" spans="5:20" x14ac:dyDescent="0.25">
      <c r="J37" s="282"/>
      <c r="K37" s="282"/>
      <c r="R37" t="s">
        <v>422</v>
      </c>
      <c r="S37">
        <v>2.4988293428928499</v>
      </c>
      <c r="T37" s="207">
        <v>8.2909392882983598E-7</v>
      </c>
    </row>
    <row r="38" spans="5:20" x14ac:dyDescent="0.25">
      <c r="J38" s="82"/>
      <c r="R38" t="s">
        <v>423</v>
      </c>
      <c r="S38">
        <v>3.6350714285714201</v>
      </c>
      <c r="T38" s="207">
        <v>8.3888285714285697E-7</v>
      </c>
    </row>
    <row r="39" spans="5:20" x14ac:dyDescent="0.25">
      <c r="I39" s="340"/>
      <c r="R39" t="s">
        <v>424</v>
      </c>
      <c r="S39">
        <v>2.0637592968221701</v>
      </c>
      <c r="T39" s="207">
        <v>9.5753279242731509E-7</v>
      </c>
    </row>
    <row r="40" spans="5:20" x14ac:dyDescent="0.25">
      <c r="R40" t="s">
        <v>425</v>
      </c>
      <c r="S40">
        <v>3.1273903262092202</v>
      </c>
      <c r="T40" s="207">
        <v>1.00072553430821E-6</v>
      </c>
    </row>
    <row r="41" spans="5:20" x14ac:dyDescent="0.25">
      <c r="I41" s="340"/>
      <c r="R41" t="s">
        <v>426</v>
      </c>
      <c r="S41">
        <v>3.0762307954933399</v>
      </c>
      <c r="T41" s="207">
        <v>1.0600687379082701E-6</v>
      </c>
    </row>
    <row r="42" spans="5:20" x14ac:dyDescent="0.25">
      <c r="I42" s="340"/>
      <c r="R42" t="s">
        <v>427</v>
      </c>
      <c r="S42">
        <v>3.3070555302685398</v>
      </c>
      <c r="T42" s="207">
        <v>1.07738484296768E-6</v>
      </c>
    </row>
    <row r="43" spans="5:20" x14ac:dyDescent="0.25">
      <c r="R43" t="s">
        <v>428</v>
      </c>
      <c r="S43">
        <v>3.0939180280882699</v>
      </c>
      <c r="T43" s="207">
        <v>1.07977128116938E-6</v>
      </c>
    </row>
    <row r="44" spans="5:20" x14ac:dyDescent="0.25">
      <c r="I44" s="282"/>
      <c r="R44" t="s">
        <v>406</v>
      </c>
      <c r="S44">
        <v>3.3554463878810301</v>
      </c>
      <c r="T44" s="207">
        <v>9.0223232780935403E-7</v>
      </c>
    </row>
    <row r="45" spans="5:20" x14ac:dyDescent="0.25">
      <c r="R45" t="s">
        <v>429</v>
      </c>
      <c r="S45">
        <v>2.22020430400435</v>
      </c>
      <c r="T45" s="207">
        <v>1.12685208390084E-6</v>
      </c>
    </row>
    <row r="46" spans="5:20" x14ac:dyDescent="0.25">
      <c r="R46" t="s">
        <v>430</v>
      </c>
      <c r="S46">
        <v>3.3151532325776598</v>
      </c>
      <c r="T46" s="207">
        <v>1.1604909739714499E-6</v>
      </c>
    </row>
    <row r="47" spans="5:20" x14ac:dyDescent="0.25">
      <c r="R47" t="s">
        <v>431</v>
      </c>
      <c r="S47">
        <v>1.92967382495948</v>
      </c>
      <c r="T47" s="207">
        <v>1.3114667747163599E-6</v>
      </c>
    </row>
    <row r="48" spans="5:20" x14ac:dyDescent="0.25">
      <c r="R48" t="s">
        <v>432</v>
      </c>
      <c r="S48">
        <v>2.9901162835915902</v>
      </c>
      <c r="T48" s="207">
        <v>1.34394125985194E-6</v>
      </c>
    </row>
    <row r="49" spans="2:20" x14ac:dyDescent="0.25">
      <c r="B49" s="344"/>
      <c r="C49" s="342"/>
      <c r="D49" s="342"/>
      <c r="E49" s="342"/>
      <c r="F49" s="343"/>
      <c r="G49" s="343"/>
      <c r="H49" s="343"/>
      <c r="I49" s="343"/>
      <c r="J49" s="343"/>
      <c r="R49" t="s">
        <v>433</v>
      </c>
      <c r="S49">
        <v>2.85598705426536</v>
      </c>
      <c r="T49" s="207">
        <v>1.3639349929239201E-6</v>
      </c>
    </row>
    <row r="50" spans="2:20" x14ac:dyDescent="0.25">
      <c r="B50" s="342"/>
      <c r="C50" s="342"/>
      <c r="D50" s="342"/>
      <c r="E50" s="343"/>
      <c r="F50" s="343"/>
      <c r="G50" s="343"/>
      <c r="H50" s="343"/>
      <c r="I50" s="343"/>
      <c r="R50" t="s">
        <v>434</v>
      </c>
      <c r="S50">
        <v>2.6703497343392302</v>
      </c>
      <c r="T50" s="207">
        <v>1.38583604102122E-6</v>
      </c>
    </row>
    <row r="51" spans="2:20" x14ac:dyDescent="0.25">
      <c r="B51" s="345"/>
      <c r="C51" s="345"/>
      <c r="D51" s="345"/>
      <c r="E51" s="346"/>
      <c r="F51" s="346"/>
      <c r="G51" s="346"/>
      <c r="H51" s="346"/>
      <c r="I51" s="346"/>
      <c r="R51" t="s">
        <v>435</v>
      </c>
      <c r="S51">
        <v>2.8941776539191002</v>
      </c>
      <c r="T51" s="207">
        <v>1.4567981077726501E-6</v>
      </c>
    </row>
    <row r="52" spans="2:20" x14ac:dyDescent="0.25">
      <c r="B52" s="331"/>
      <c r="C52" s="331"/>
      <c r="D52" s="331"/>
      <c r="E52" s="331"/>
      <c r="F52" s="331"/>
      <c r="G52" s="331"/>
      <c r="H52" s="331"/>
      <c r="I52" s="331"/>
      <c r="J52" s="331"/>
      <c r="R52" t="s">
        <v>436</v>
      </c>
      <c r="S52">
        <v>3.02192840113339</v>
      </c>
      <c r="T52" s="207">
        <v>1.45889094154506E-6</v>
      </c>
    </row>
    <row r="53" spans="2:20" x14ac:dyDescent="0.25">
      <c r="B53" s="342"/>
      <c r="D53" s="342"/>
      <c r="E53" s="343"/>
      <c r="F53" s="343"/>
      <c r="G53" s="343"/>
      <c r="H53" s="343"/>
      <c r="I53" s="343"/>
      <c r="J53" s="343"/>
      <c r="R53" t="s">
        <v>437</v>
      </c>
      <c r="S53">
        <v>2.7787479531427102</v>
      </c>
      <c r="T53" s="207">
        <v>1.61930243103665E-6</v>
      </c>
    </row>
    <row r="54" spans="2:20" x14ac:dyDescent="0.25">
      <c r="B54" s="331"/>
      <c r="D54" s="331"/>
      <c r="E54" s="331"/>
      <c r="F54" s="331"/>
      <c r="G54" s="331"/>
      <c r="H54" s="331"/>
      <c r="I54" s="331"/>
      <c r="J54" s="331"/>
      <c r="R54" t="s">
        <v>438</v>
      </c>
      <c r="S54">
        <v>2.9978768079033902</v>
      </c>
      <c r="T54" s="207">
        <v>1.6392798102511399E-6</v>
      </c>
    </row>
    <row r="55" spans="2:20" x14ac:dyDescent="0.25">
      <c r="B55" s="331" t="s">
        <v>385</v>
      </c>
      <c r="D55" s="331"/>
      <c r="E55" s="331"/>
      <c r="F55" s="331"/>
      <c r="G55" s="331"/>
      <c r="H55" s="331"/>
      <c r="I55" s="331"/>
      <c r="J55" s="331"/>
      <c r="R55" t="s">
        <v>439</v>
      </c>
      <c r="S55">
        <v>2.6814125065002599</v>
      </c>
      <c r="T55" s="207">
        <v>1.65199570982839E-6</v>
      </c>
    </row>
    <row r="56" spans="2:20" x14ac:dyDescent="0.25">
      <c r="B56" s="342" t="s">
        <v>388</v>
      </c>
      <c r="D56" s="342"/>
      <c r="E56" s="343"/>
      <c r="F56" s="343"/>
      <c r="G56" s="343"/>
      <c r="H56" s="343"/>
      <c r="I56" s="343"/>
      <c r="J56" s="343"/>
      <c r="R56" t="s">
        <v>440</v>
      </c>
      <c r="S56">
        <v>2.9886028987180899</v>
      </c>
      <c r="T56" s="207">
        <v>1.6798121030142E-6</v>
      </c>
    </row>
    <row r="57" spans="2:20" x14ac:dyDescent="0.25">
      <c r="B57" s="342" t="s">
        <v>391</v>
      </c>
      <c r="D57" s="342"/>
      <c r="E57" s="343"/>
      <c r="F57" s="343"/>
      <c r="G57" s="343"/>
      <c r="H57" s="343"/>
      <c r="I57" s="343"/>
      <c r="J57" s="343"/>
      <c r="R57" t="s">
        <v>441</v>
      </c>
      <c r="S57">
        <v>2.6319653421500302</v>
      </c>
      <c r="T57" s="207">
        <v>1.69143878684476E-6</v>
      </c>
    </row>
    <row r="58" spans="2:20" x14ac:dyDescent="0.25">
      <c r="B58" s="342" t="s">
        <v>390</v>
      </c>
      <c r="D58" s="342"/>
      <c r="E58" s="343"/>
      <c r="F58" s="343"/>
      <c r="G58" s="343"/>
      <c r="H58" s="343"/>
      <c r="I58" s="343"/>
      <c r="J58" s="343"/>
      <c r="R58" t="s">
        <v>444</v>
      </c>
      <c r="S58">
        <v>1.94899355478433</v>
      </c>
      <c r="T58" s="207">
        <v>2.49765480373348E-6</v>
      </c>
    </row>
    <row r="59" spans="2:20" x14ac:dyDescent="0.25">
      <c r="R59" t="s">
        <v>442</v>
      </c>
      <c r="S59">
        <v>2.7799825618848701</v>
      </c>
      <c r="T59" s="207">
        <v>1.9437605425018299E-6</v>
      </c>
    </row>
    <row r="60" spans="2:20" x14ac:dyDescent="0.25">
      <c r="R60" t="s">
        <v>443</v>
      </c>
      <c r="S60">
        <v>2.1282383123534698</v>
      </c>
      <c r="T60" s="207">
        <v>2.1418790265703701E-6</v>
      </c>
    </row>
    <row r="69" spans="8:20" x14ac:dyDescent="0.25">
      <c r="H69" t="s">
        <v>402</v>
      </c>
    </row>
    <row r="73" spans="8:20" x14ac:dyDescent="0.25">
      <c r="T73" s="207"/>
    </row>
    <row r="81" spans="1:24" x14ac:dyDescent="0.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</row>
    <row r="82" spans="1:24" x14ac:dyDescent="0.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</row>
    <row r="83" spans="1:24" x14ac:dyDescent="0.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</row>
    <row r="84" spans="1:24" x14ac:dyDescent="0.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 t="s">
        <v>64</v>
      </c>
      <c r="Q84" s="53"/>
      <c r="R84" s="53"/>
      <c r="S84" s="53"/>
    </row>
    <row r="85" spans="1:24" ht="15.75" thickBot="1" x14ac:dyDescent="0.3">
      <c r="A85" s="1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53"/>
      <c r="Q85" s="53"/>
      <c r="R85" s="53"/>
      <c r="S85" s="53"/>
    </row>
    <row r="86" spans="1:24" ht="15.75" thickBot="1" x14ac:dyDescent="0.3">
      <c r="A86" s="16"/>
      <c r="B86" s="220"/>
      <c r="C86" s="156"/>
      <c r="D86" s="438" t="s">
        <v>306</v>
      </c>
      <c r="E86" s="439" t="s">
        <v>237</v>
      </c>
      <c r="F86" s="439" t="s">
        <v>454</v>
      </c>
      <c r="G86" s="440" t="s">
        <v>235</v>
      </c>
      <c r="H86" s="441" t="s">
        <v>163</v>
      </c>
      <c r="I86" s="439" t="s">
        <v>122</v>
      </c>
      <c r="J86" s="442" t="s">
        <v>170</v>
      </c>
      <c r="K86" s="441" t="s">
        <v>229</v>
      </c>
      <c r="L86" s="536" t="s">
        <v>457</v>
      </c>
      <c r="M86" s="537"/>
      <c r="N86" s="537"/>
      <c r="O86" s="538"/>
      <c r="P86" s="53"/>
      <c r="Q86" s="53"/>
      <c r="R86" s="53"/>
      <c r="S86" s="53"/>
    </row>
    <row r="87" spans="1:24" ht="14.45" customHeight="1" x14ac:dyDescent="0.25">
      <c r="A87" s="16"/>
      <c r="B87" s="219"/>
      <c r="C87" s="443" t="s">
        <v>459</v>
      </c>
      <c r="D87" s="444">
        <v>4.54</v>
      </c>
      <c r="E87" s="444">
        <v>1.84</v>
      </c>
      <c r="F87" s="444">
        <v>2.42</v>
      </c>
      <c r="G87" s="444">
        <v>1.41</v>
      </c>
      <c r="H87" s="444">
        <v>2.85</v>
      </c>
      <c r="I87" s="444">
        <v>2.85</v>
      </c>
      <c r="J87" s="444">
        <v>0.4</v>
      </c>
      <c r="K87" s="445">
        <v>1.81</v>
      </c>
      <c r="L87" s="540" t="s">
        <v>456</v>
      </c>
      <c r="M87" s="543" t="s">
        <v>252</v>
      </c>
      <c r="N87" s="546" t="s">
        <v>447</v>
      </c>
      <c r="O87" s="549" t="s">
        <v>462</v>
      </c>
      <c r="P87" s="53"/>
      <c r="Q87" s="53"/>
      <c r="R87" s="53"/>
      <c r="S87" s="53"/>
    </row>
    <row r="88" spans="1:24" ht="15.75" x14ac:dyDescent="0.25">
      <c r="A88" s="16"/>
      <c r="B88" s="219"/>
      <c r="C88" s="446" t="s">
        <v>460</v>
      </c>
      <c r="D88" s="434">
        <v>2460</v>
      </c>
      <c r="E88" s="434">
        <v>2680</v>
      </c>
      <c r="F88" s="434">
        <v>2680</v>
      </c>
      <c r="G88" s="434">
        <v>2600</v>
      </c>
      <c r="H88" s="434">
        <v>2760</v>
      </c>
      <c r="I88" s="434">
        <v>2760</v>
      </c>
      <c r="J88" s="434">
        <v>1350</v>
      </c>
      <c r="K88" s="447">
        <v>2870</v>
      </c>
      <c r="L88" s="541"/>
      <c r="M88" s="544"/>
      <c r="N88" s="547"/>
      <c r="O88" s="550"/>
      <c r="P88" s="53"/>
      <c r="Q88" s="53"/>
      <c r="R88" s="53"/>
      <c r="S88" s="53"/>
    </row>
    <row r="89" spans="1:24" x14ac:dyDescent="0.25">
      <c r="A89" s="16"/>
      <c r="B89" s="218"/>
      <c r="C89" s="446" t="s">
        <v>458</v>
      </c>
      <c r="D89" s="448">
        <v>930</v>
      </c>
      <c r="E89" s="448">
        <v>910</v>
      </c>
      <c r="F89" s="448">
        <v>860</v>
      </c>
      <c r="G89" s="448">
        <v>770</v>
      </c>
      <c r="H89" s="448">
        <v>880</v>
      </c>
      <c r="I89" s="448">
        <v>880</v>
      </c>
      <c r="J89" s="448">
        <v>1300</v>
      </c>
      <c r="K89" s="449">
        <v>858</v>
      </c>
      <c r="L89" s="541"/>
      <c r="M89" s="544"/>
      <c r="N89" s="547"/>
      <c r="O89" s="550"/>
      <c r="P89" s="53"/>
      <c r="Q89" s="53"/>
      <c r="R89" s="53"/>
      <c r="S89" s="53"/>
    </row>
    <row r="90" spans="1:24" ht="16.5" thickBot="1" x14ac:dyDescent="0.3">
      <c r="A90" s="16"/>
      <c r="B90" s="218"/>
      <c r="C90" s="450" t="s">
        <v>461</v>
      </c>
      <c r="D90" s="451">
        <v>0.9</v>
      </c>
      <c r="E90" s="451">
        <v>1.44</v>
      </c>
      <c r="F90" s="451">
        <v>2.7250000000000001</v>
      </c>
      <c r="G90" s="451">
        <v>2.7250000000000001</v>
      </c>
      <c r="H90" s="451">
        <v>0.93</v>
      </c>
      <c r="I90" s="451">
        <v>0.7</v>
      </c>
      <c r="J90" s="451">
        <v>0.5</v>
      </c>
      <c r="K90" s="452">
        <v>0.32400000000000001</v>
      </c>
      <c r="L90" s="542"/>
      <c r="M90" s="545"/>
      <c r="N90" s="548"/>
      <c r="O90" s="551"/>
      <c r="P90" s="53"/>
      <c r="Q90" s="53"/>
      <c r="R90" s="53"/>
      <c r="S90" s="53"/>
    </row>
    <row r="91" spans="1:24" ht="15.75" thickBot="1" x14ac:dyDescent="0.3">
      <c r="A91" s="16"/>
      <c r="B91" s="433"/>
      <c r="C91" s="469" t="s">
        <v>119</v>
      </c>
      <c r="D91" s="539" t="s">
        <v>159</v>
      </c>
      <c r="E91" s="539"/>
      <c r="F91" s="539"/>
      <c r="G91" s="539"/>
      <c r="H91" s="539"/>
      <c r="I91" s="539"/>
      <c r="J91" s="539"/>
      <c r="K91" s="470"/>
      <c r="L91" s="552" t="s">
        <v>455</v>
      </c>
      <c r="M91" s="553"/>
      <c r="N91" s="553"/>
      <c r="O91" s="554"/>
      <c r="P91" s="53"/>
      <c r="Q91" s="53"/>
      <c r="R91" s="53"/>
      <c r="S91" s="53"/>
    </row>
    <row r="92" spans="1:24" x14ac:dyDescent="0.25">
      <c r="A92" s="16"/>
      <c r="B92" s="295" t="s">
        <v>449</v>
      </c>
      <c r="C92" s="435">
        <f>460-C93</f>
        <v>130</v>
      </c>
      <c r="D92" s="453">
        <v>21</v>
      </c>
      <c r="E92" s="454">
        <v>8</v>
      </c>
      <c r="F92" s="454">
        <v>4</v>
      </c>
      <c r="G92" s="454">
        <f>17+8</f>
        <v>25</v>
      </c>
      <c r="H92" s="454">
        <v>24</v>
      </c>
      <c r="I92" s="454">
        <v>15</v>
      </c>
      <c r="J92" s="454">
        <v>3</v>
      </c>
      <c r="K92" s="455">
        <v>0</v>
      </c>
      <c r="L92" s="478">
        <v>2.02</v>
      </c>
      <c r="M92" s="479">
        <f t="shared" ref="M92:M97" si="3">SUMPRODUCT($D$88:$K$88,D92:K92)/100</f>
        <v>2605.1</v>
      </c>
      <c r="N92" s="480">
        <f>SUMPRODUCT($D$89:$K$89,D92:K92)/100</f>
        <v>877.2</v>
      </c>
      <c r="O92" s="481">
        <f>SUMPRODUCT($D$90:$K$90,D92:K92)/100</f>
        <v>1.4376499999999999</v>
      </c>
      <c r="P92" s="53"/>
      <c r="Q92" s="53"/>
      <c r="R92" s="53"/>
      <c r="S92" s="53"/>
      <c r="T92" s="53"/>
      <c r="U92" s="53"/>
      <c r="V92" s="53"/>
      <c r="W92" s="53"/>
      <c r="X92" s="53"/>
    </row>
    <row r="93" spans="1:24" x14ac:dyDescent="0.25">
      <c r="A93" s="16"/>
      <c r="B93" s="456" t="s">
        <v>450</v>
      </c>
      <c r="C93" s="457">
        <v>330</v>
      </c>
      <c r="D93" s="458">
        <v>29</v>
      </c>
      <c r="E93" s="459">
        <v>5</v>
      </c>
      <c r="F93" s="459">
        <v>3</v>
      </c>
      <c r="G93" s="459">
        <v>45</v>
      </c>
      <c r="H93" s="459">
        <v>0</v>
      </c>
      <c r="I93" s="459">
        <v>14</v>
      </c>
      <c r="J93" s="459">
        <v>3</v>
      </c>
      <c r="K93" s="460">
        <v>1</v>
      </c>
      <c r="L93" s="482">
        <v>1.91</v>
      </c>
      <c r="M93" s="476">
        <f t="shared" si="3"/>
        <v>2553.4</v>
      </c>
      <c r="N93" s="477">
        <f t="shared" ref="N93:N97" si="4">SUMPRODUCT($D$89:$K$89,D93:K93)/100</f>
        <v>858.28</v>
      </c>
      <c r="O93" s="483">
        <f t="shared" ref="O93:O97" si="5">SUMPRODUCT($D$90:$K$90,D93:K93)/100</f>
        <v>1.7572400000000001</v>
      </c>
      <c r="P93" s="53"/>
      <c r="Q93" s="53"/>
      <c r="R93" s="53"/>
      <c r="S93" s="53"/>
      <c r="T93" s="53"/>
      <c r="U93" s="53"/>
      <c r="V93" s="53"/>
      <c r="W93" s="53"/>
      <c r="X93" s="53"/>
    </row>
    <row r="94" spans="1:24" x14ac:dyDescent="0.25">
      <c r="A94" s="16"/>
      <c r="B94" s="461" t="s">
        <v>451</v>
      </c>
      <c r="C94" s="457">
        <v>210</v>
      </c>
      <c r="D94" s="458">
        <v>50</v>
      </c>
      <c r="E94" s="459">
        <v>0</v>
      </c>
      <c r="F94" s="459">
        <v>30</v>
      </c>
      <c r="G94" s="459">
        <f>15</f>
        <v>15</v>
      </c>
      <c r="H94" s="459">
        <v>3</v>
      </c>
      <c r="I94" s="459">
        <v>0</v>
      </c>
      <c r="J94" s="459">
        <v>2</v>
      </c>
      <c r="K94" s="460">
        <v>0</v>
      </c>
      <c r="L94" s="482">
        <v>2.91</v>
      </c>
      <c r="M94" s="476">
        <f>SUMPRODUCT($D$88:$K$88,D94:K94)/100</f>
        <v>2533.8000000000002</v>
      </c>
      <c r="N94" s="477">
        <f>SUMPRODUCT($D$89:$K$89,D94:K94)/100</f>
        <v>890.9</v>
      </c>
      <c r="O94" s="483">
        <f>SUMPRODUCT($D$90:$K$90,D94:K94)/100</f>
        <v>1.7141499999999998</v>
      </c>
      <c r="P94" s="53"/>
      <c r="Q94" s="53"/>
      <c r="R94" s="53"/>
      <c r="S94" s="53"/>
      <c r="T94" s="53"/>
      <c r="U94" s="53"/>
      <c r="V94" s="53"/>
      <c r="W94" s="53"/>
      <c r="X94" s="53"/>
    </row>
    <row r="95" spans="1:24" x14ac:dyDescent="0.25">
      <c r="A95" s="16"/>
      <c r="B95" s="461" t="s">
        <v>383</v>
      </c>
      <c r="C95" s="457">
        <v>165</v>
      </c>
      <c r="D95" s="458">
        <v>40</v>
      </c>
      <c r="E95" s="459">
        <v>0</v>
      </c>
      <c r="F95" s="459">
        <v>10</v>
      </c>
      <c r="G95" s="459">
        <f>30+10</f>
        <v>40</v>
      </c>
      <c r="H95" s="459">
        <v>5</v>
      </c>
      <c r="I95" s="459">
        <v>0</v>
      </c>
      <c r="J95" s="459">
        <v>4</v>
      </c>
      <c r="K95" s="460">
        <v>1</v>
      </c>
      <c r="L95" s="482">
        <v>2.25</v>
      </c>
      <c r="M95" s="476">
        <f t="shared" si="3"/>
        <v>2512.6999999999998</v>
      </c>
      <c r="N95" s="477">
        <f t="shared" si="4"/>
        <v>870.58</v>
      </c>
      <c r="O95" s="483">
        <f t="shared" si="5"/>
        <v>1.7922400000000003</v>
      </c>
      <c r="P95" s="53"/>
      <c r="Q95" s="53"/>
      <c r="R95" s="53"/>
      <c r="S95" s="53"/>
      <c r="T95" s="53"/>
      <c r="U95" s="53"/>
      <c r="V95" s="53"/>
      <c r="W95" s="53"/>
      <c r="X95" s="53"/>
    </row>
    <row r="96" spans="1:24" x14ac:dyDescent="0.25">
      <c r="A96" s="16"/>
      <c r="B96" s="461" t="s">
        <v>26</v>
      </c>
      <c r="C96" s="457">
        <v>175</v>
      </c>
      <c r="D96" s="458">
        <v>27</v>
      </c>
      <c r="E96" s="459">
        <v>14</v>
      </c>
      <c r="F96" s="459">
        <v>1</v>
      </c>
      <c r="G96" s="459">
        <v>49</v>
      </c>
      <c r="H96" s="459">
        <v>1</v>
      </c>
      <c r="I96" s="459">
        <v>1</v>
      </c>
      <c r="J96" s="459">
        <v>1</v>
      </c>
      <c r="K96" s="460">
        <v>6</v>
      </c>
      <c r="L96" s="482">
        <v>2.2400000000000002</v>
      </c>
      <c r="M96" s="476">
        <f t="shared" si="3"/>
        <v>2581.1</v>
      </c>
      <c r="N96" s="477">
        <f t="shared" si="4"/>
        <v>846.48</v>
      </c>
      <c r="O96" s="483">
        <f t="shared" si="5"/>
        <v>1.8478399999999999</v>
      </c>
      <c r="P96" s="53"/>
      <c r="Q96" s="53"/>
      <c r="R96" s="53"/>
      <c r="S96" s="53"/>
      <c r="T96" s="53"/>
      <c r="U96" s="53"/>
      <c r="V96" s="53"/>
      <c r="W96" s="53"/>
      <c r="X96" s="53"/>
    </row>
    <row r="97" spans="1:24" ht="15.75" thickBot="1" x14ac:dyDescent="0.3">
      <c r="A97" s="16"/>
      <c r="B97" s="462" t="s">
        <v>27</v>
      </c>
      <c r="C97" s="463">
        <v>85</v>
      </c>
      <c r="D97" s="464">
        <v>16</v>
      </c>
      <c r="E97" s="465">
        <v>17</v>
      </c>
      <c r="F97" s="465">
        <v>0</v>
      </c>
      <c r="G97" s="465">
        <v>57</v>
      </c>
      <c r="H97" s="465">
        <v>8</v>
      </c>
      <c r="I97" s="465">
        <v>1</v>
      </c>
      <c r="J97" s="465">
        <v>1</v>
      </c>
      <c r="K97" s="466">
        <v>0</v>
      </c>
      <c r="L97" s="185">
        <v>1.88</v>
      </c>
      <c r="M97" s="487">
        <f t="shared" si="3"/>
        <v>2593.1</v>
      </c>
      <c r="N97" s="488">
        <f t="shared" si="4"/>
        <v>834.6</v>
      </c>
      <c r="O97" s="484">
        <f t="shared" si="5"/>
        <v>2.0284499999999999</v>
      </c>
      <c r="P97" s="53"/>
      <c r="Q97" s="53"/>
      <c r="R97" s="53"/>
      <c r="S97" s="53"/>
      <c r="T97" s="53"/>
      <c r="U97" s="53"/>
      <c r="V97" s="53"/>
      <c r="W97" s="53"/>
      <c r="X97" s="53"/>
    </row>
    <row r="98" spans="1:24" ht="15.75" thickBot="1" x14ac:dyDescent="0.3">
      <c r="A98" s="16"/>
      <c r="B98" s="471" t="s">
        <v>176</v>
      </c>
      <c r="C98" s="467">
        <f>SUM(C92:C97)</f>
        <v>1095</v>
      </c>
      <c r="D98" s="172"/>
      <c r="E98" s="468"/>
      <c r="F98" s="468"/>
      <c r="G98" s="468"/>
      <c r="H98" s="468"/>
      <c r="I98" s="468"/>
      <c r="J98" s="468"/>
      <c r="K98" s="468"/>
      <c r="L98" s="485">
        <f>SUMPRODUCT($C$92:$C$97,L92:L97)/$C$98</f>
        <v>2.2164840182648402</v>
      </c>
      <c r="M98" s="486">
        <f>SUMPRODUCT($C$92:$C$97,M92:M97)/$C$98</f>
        <v>2557.154794520548</v>
      </c>
      <c r="N98" s="486">
        <f>SUMPRODUCT($C$92:$C$97,N92:N97)/$C$98</f>
        <v>864.91150684931495</v>
      </c>
      <c r="O98" s="489">
        <f>SUMPRODUCT($C$92:$C$97,O92:O97)/$C$98</f>
        <v>1.7518402283105026</v>
      </c>
      <c r="P98" s="53"/>
      <c r="Q98" s="53"/>
      <c r="R98" s="53"/>
      <c r="S98" s="53"/>
      <c r="T98" s="53"/>
      <c r="U98" s="53"/>
      <c r="V98" s="53"/>
      <c r="W98" s="53"/>
      <c r="X98" s="53"/>
    </row>
    <row r="99" spans="1:24" x14ac:dyDescent="0.25">
      <c r="A99" s="1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53"/>
      <c r="Q99" s="53"/>
      <c r="R99" s="53"/>
      <c r="S99" s="53"/>
      <c r="T99" s="53"/>
      <c r="U99" s="53"/>
      <c r="V99" s="53"/>
      <c r="W99" s="53"/>
      <c r="X99" s="53"/>
    </row>
    <row r="100" spans="1:24" x14ac:dyDescent="0.25">
      <c r="A100" s="1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53"/>
      <c r="Q100" s="53"/>
      <c r="R100" s="53"/>
      <c r="S100" s="53"/>
      <c r="T100" s="53"/>
      <c r="U100" s="53"/>
      <c r="V100" s="53"/>
      <c r="W100" s="53"/>
      <c r="X100" s="53"/>
    </row>
    <row r="101" spans="1:24" ht="15.75" thickBot="1" x14ac:dyDescent="0.3">
      <c r="A101" s="1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53"/>
      <c r="Q101" s="53"/>
      <c r="R101" s="53"/>
      <c r="S101" s="53"/>
      <c r="T101" s="53"/>
      <c r="U101" s="53"/>
      <c r="V101" s="53"/>
      <c r="W101" s="53"/>
    </row>
    <row r="102" spans="1:24" ht="15.75" thickBot="1" x14ac:dyDescent="0.3">
      <c r="A102" s="16"/>
      <c r="B102" s="220"/>
      <c r="C102" s="156"/>
      <c r="D102" s="438" t="s">
        <v>306</v>
      </c>
      <c r="E102" s="439" t="s">
        <v>237</v>
      </c>
      <c r="F102" s="439" t="s">
        <v>454</v>
      </c>
      <c r="G102" s="440" t="s">
        <v>235</v>
      </c>
      <c r="H102" s="441" t="s">
        <v>163</v>
      </c>
      <c r="I102" s="439" t="s">
        <v>122</v>
      </c>
      <c r="J102" s="442" t="s">
        <v>170</v>
      </c>
      <c r="K102" s="441" t="s">
        <v>229</v>
      </c>
      <c r="L102" s="536" t="s">
        <v>457</v>
      </c>
      <c r="M102" s="537"/>
      <c r="N102" s="537"/>
      <c r="O102" s="538"/>
      <c r="P102" s="53"/>
      <c r="Q102" s="53"/>
      <c r="R102" s="53"/>
      <c r="S102" s="53"/>
      <c r="T102" s="53"/>
      <c r="U102" s="53"/>
      <c r="V102" s="53"/>
      <c r="W102" s="53"/>
    </row>
    <row r="103" spans="1:24" ht="14.45" customHeight="1" x14ac:dyDescent="0.25">
      <c r="B103" s="219"/>
      <c r="C103" s="443" t="s">
        <v>459</v>
      </c>
      <c r="D103" s="444">
        <v>4.54</v>
      </c>
      <c r="E103" s="444">
        <v>1.84</v>
      </c>
      <c r="F103" s="444">
        <v>2.42</v>
      </c>
      <c r="G103" s="444">
        <v>1.41</v>
      </c>
      <c r="H103" s="444">
        <v>2.85</v>
      </c>
      <c r="I103" s="444">
        <v>2.85</v>
      </c>
      <c r="J103" s="444">
        <v>0.4</v>
      </c>
      <c r="K103" s="445">
        <v>1.81</v>
      </c>
      <c r="L103" s="540" t="s">
        <v>456</v>
      </c>
      <c r="M103" s="543" t="s">
        <v>252</v>
      </c>
      <c r="N103" s="546" t="s">
        <v>447</v>
      </c>
      <c r="O103" s="549" t="s">
        <v>462</v>
      </c>
      <c r="P103" s="53"/>
      <c r="Q103" s="53" t="s">
        <v>121</v>
      </c>
      <c r="R103" s="53"/>
      <c r="S103" s="53" t="s">
        <v>171</v>
      </c>
      <c r="T103" s="53"/>
      <c r="U103" s="53"/>
      <c r="V103" s="53"/>
      <c r="W103" s="53"/>
    </row>
    <row r="104" spans="1:24" ht="15.75" x14ac:dyDescent="0.25">
      <c r="B104" s="219"/>
      <c r="C104" s="446" t="s">
        <v>460</v>
      </c>
      <c r="D104" s="434">
        <v>2460</v>
      </c>
      <c r="E104" s="434">
        <v>2680</v>
      </c>
      <c r="F104" s="434">
        <v>2680</v>
      </c>
      <c r="G104" s="434">
        <v>2600</v>
      </c>
      <c r="H104" s="434">
        <v>2760</v>
      </c>
      <c r="I104" s="434">
        <v>2760</v>
      </c>
      <c r="J104" s="434">
        <v>1350</v>
      </c>
      <c r="K104" s="447">
        <v>2870</v>
      </c>
      <c r="L104" s="541"/>
      <c r="M104" s="544"/>
      <c r="N104" s="547"/>
      <c r="O104" s="550"/>
      <c r="P104" s="53"/>
      <c r="Q104" s="53" t="s">
        <v>348</v>
      </c>
      <c r="R104" s="53" t="s">
        <v>123</v>
      </c>
      <c r="S104" s="53" t="s">
        <v>220</v>
      </c>
      <c r="T104" s="53"/>
      <c r="U104" s="53"/>
      <c r="V104" s="53"/>
      <c r="W104" s="53"/>
    </row>
    <row r="105" spans="1:24" x14ac:dyDescent="0.25">
      <c r="B105" s="218"/>
      <c r="C105" s="446" t="s">
        <v>458</v>
      </c>
      <c r="D105" s="448">
        <v>930</v>
      </c>
      <c r="E105" s="448">
        <v>910</v>
      </c>
      <c r="F105" s="448">
        <v>860</v>
      </c>
      <c r="G105" s="448">
        <v>770</v>
      </c>
      <c r="H105" s="448">
        <v>880</v>
      </c>
      <c r="I105" s="448">
        <v>880</v>
      </c>
      <c r="J105" s="448">
        <v>1300</v>
      </c>
      <c r="K105" s="449">
        <v>858</v>
      </c>
      <c r="L105" s="541"/>
      <c r="M105" s="544"/>
      <c r="N105" s="547"/>
      <c r="O105" s="550"/>
      <c r="P105" s="53"/>
      <c r="Q105" s="53"/>
      <c r="R105" s="53"/>
      <c r="S105" s="53"/>
      <c r="T105" s="53"/>
      <c r="U105" s="53"/>
      <c r="V105" s="53"/>
      <c r="W105" s="53"/>
    </row>
    <row r="106" spans="1:24" ht="16.5" thickBot="1" x14ac:dyDescent="0.3">
      <c r="B106" s="218"/>
      <c r="C106" s="450" t="s">
        <v>461</v>
      </c>
      <c r="D106" s="451">
        <v>0.9</v>
      </c>
      <c r="E106" s="451">
        <v>1.44</v>
      </c>
      <c r="F106" s="451">
        <v>2.7250000000000001</v>
      </c>
      <c r="G106" s="451">
        <v>2.7250000000000001</v>
      </c>
      <c r="H106" s="451">
        <v>0.93</v>
      </c>
      <c r="I106" s="451">
        <v>0.7</v>
      </c>
      <c r="J106" s="451">
        <v>0.5</v>
      </c>
      <c r="K106" s="452">
        <v>0.32400000000000001</v>
      </c>
      <c r="L106" s="542"/>
      <c r="M106" s="545"/>
      <c r="N106" s="548"/>
      <c r="O106" s="551"/>
      <c r="P106" s="53"/>
      <c r="Q106" s="53"/>
      <c r="R106" s="53"/>
      <c r="S106" s="53"/>
      <c r="T106" s="53"/>
      <c r="U106" s="53"/>
      <c r="V106" s="53"/>
      <c r="W106" s="53"/>
    </row>
    <row r="107" spans="1:24" ht="15.75" thickBot="1" x14ac:dyDescent="0.3">
      <c r="B107" s="433"/>
      <c r="C107" s="469" t="s">
        <v>119</v>
      </c>
      <c r="D107" s="529" t="s">
        <v>159</v>
      </c>
      <c r="E107" s="501"/>
      <c r="F107" s="501"/>
      <c r="G107" s="501"/>
      <c r="H107" s="501"/>
      <c r="I107" s="501"/>
      <c r="J107" s="530"/>
      <c r="K107" s="470"/>
      <c r="L107" s="552" t="s">
        <v>455</v>
      </c>
      <c r="M107" s="553"/>
      <c r="N107" s="553"/>
      <c r="O107" s="554"/>
      <c r="P107" s="53"/>
      <c r="Q107" s="53">
        <v>2.5367000000000002</v>
      </c>
      <c r="R107" s="53">
        <v>2.02</v>
      </c>
      <c r="S107" s="53">
        <v>1.4184414999999999</v>
      </c>
      <c r="T107" s="53"/>
      <c r="U107" s="53"/>
      <c r="V107" s="53"/>
      <c r="W107" s="53"/>
    </row>
    <row r="108" spans="1:24" x14ac:dyDescent="0.25">
      <c r="B108" s="295" t="s">
        <v>449</v>
      </c>
      <c r="C108" s="435">
        <f>460-C109</f>
        <v>130</v>
      </c>
      <c r="D108" s="453">
        <v>21</v>
      </c>
      <c r="E108" s="454">
        <v>8</v>
      </c>
      <c r="F108" s="454">
        <v>4</v>
      </c>
      <c r="G108" s="454">
        <f>17+8</f>
        <v>25</v>
      </c>
      <c r="H108" s="454">
        <v>24</v>
      </c>
      <c r="I108" s="454">
        <v>15</v>
      </c>
      <c r="J108" s="454">
        <v>3</v>
      </c>
      <c r="K108" s="473">
        <v>0</v>
      </c>
      <c r="L108" s="478">
        <v>2.02</v>
      </c>
      <c r="M108" s="479">
        <f t="shared" ref="M108:M113" si="6">SUMPRODUCT($D$88:$K$88,D108:K108)/100</f>
        <v>2605.1</v>
      </c>
      <c r="N108" s="480">
        <f>SUMPRODUCT($D$89:$K$89,D108:K108)/100</f>
        <v>877.2</v>
      </c>
      <c r="O108" s="481">
        <f>SUMPRODUCT($D$90:$K$90,D108:K108)/100</f>
        <v>1.4376499999999999</v>
      </c>
      <c r="P108" s="53"/>
      <c r="Q108" s="53">
        <v>2.3412000000000002</v>
      </c>
      <c r="R108" s="53">
        <v>1.91</v>
      </c>
      <c r="S108" s="53">
        <v>1.0180199999999999</v>
      </c>
      <c r="T108" s="53"/>
      <c r="U108" s="53"/>
      <c r="V108" s="53"/>
      <c r="W108" s="53"/>
    </row>
    <row r="109" spans="1:24" x14ac:dyDescent="0.25">
      <c r="B109" s="456" t="s">
        <v>450</v>
      </c>
      <c r="C109" s="457">
        <v>330</v>
      </c>
      <c r="D109" s="458">
        <v>29</v>
      </c>
      <c r="E109" s="459">
        <v>5</v>
      </c>
      <c r="F109" s="459">
        <v>3</v>
      </c>
      <c r="G109" s="459">
        <v>45</v>
      </c>
      <c r="H109" s="459">
        <v>0</v>
      </c>
      <c r="I109" s="459">
        <v>14</v>
      </c>
      <c r="J109" s="459">
        <v>3</v>
      </c>
      <c r="K109" s="474">
        <v>1</v>
      </c>
      <c r="L109" s="482">
        <v>1.91</v>
      </c>
      <c r="M109" s="476">
        <f t="shared" si="6"/>
        <v>2553.4</v>
      </c>
      <c r="N109" s="477">
        <f t="shared" ref="N109:N113" si="7">SUMPRODUCT($D$89:$K$89,D109:K109)/100</f>
        <v>858.28</v>
      </c>
      <c r="O109" s="483">
        <f t="shared" ref="O109:O113" si="8">SUMPRODUCT($D$90:$K$90,D109:K109)/100</f>
        <v>1.7572400000000001</v>
      </c>
      <c r="P109" s="53"/>
      <c r="Q109" s="53">
        <v>2.9002000000000003</v>
      </c>
      <c r="R109" s="53">
        <v>2.91</v>
      </c>
      <c r="S109" s="53">
        <v>1.8980650000000003</v>
      </c>
      <c r="T109" s="53"/>
      <c r="U109" s="53"/>
      <c r="V109" s="53"/>
      <c r="W109" s="53"/>
    </row>
    <row r="110" spans="1:24" x14ac:dyDescent="0.25">
      <c r="B110" s="461" t="s">
        <v>451</v>
      </c>
      <c r="C110" s="457">
        <v>210</v>
      </c>
      <c r="D110" s="458">
        <v>50</v>
      </c>
      <c r="E110" s="459">
        <v>0</v>
      </c>
      <c r="F110" s="459">
        <v>30</v>
      </c>
      <c r="G110" s="459">
        <f>15</f>
        <v>15</v>
      </c>
      <c r="H110" s="459">
        <v>3</v>
      </c>
      <c r="I110" s="459">
        <v>0</v>
      </c>
      <c r="J110" s="459">
        <v>2</v>
      </c>
      <c r="K110" s="474">
        <v>0</v>
      </c>
      <c r="L110" s="482">
        <v>2.91</v>
      </c>
      <c r="M110" s="476">
        <f t="shared" si="6"/>
        <v>2533.8000000000002</v>
      </c>
      <c r="N110" s="477">
        <f t="shared" si="7"/>
        <v>890.9</v>
      </c>
      <c r="O110" s="483">
        <f t="shared" si="8"/>
        <v>1.7141499999999998</v>
      </c>
      <c r="P110" s="53"/>
      <c r="Q110" s="53">
        <v>2.6491000000000002</v>
      </c>
      <c r="R110" s="53">
        <v>2.25</v>
      </c>
      <c r="S110" s="53">
        <v>1.7998454999999998</v>
      </c>
      <c r="T110" s="53"/>
      <c r="U110" s="53"/>
      <c r="V110" s="53"/>
      <c r="W110" s="53"/>
    </row>
    <row r="111" spans="1:24" x14ac:dyDescent="0.25">
      <c r="B111" s="461" t="s">
        <v>383</v>
      </c>
      <c r="C111" s="457">
        <v>165</v>
      </c>
      <c r="D111" s="458">
        <v>40</v>
      </c>
      <c r="E111" s="459">
        <v>0</v>
      </c>
      <c r="F111" s="459">
        <v>10</v>
      </c>
      <c r="G111" s="459">
        <f>30+10</f>
        <v>40</v>
      </c>
      <c r="H111" s="459">
        <v>5</v>
      </c>
      <c r="I111" s="459">
        <v>0</v>
      </c>
      <c r="J111" s="459">
        <v>4</v>
      </c>
      <c r="K111" s="474">
        <v>1</v>
      </c>
      <c r="L111" s="482">
        <v>2.25</v>
      </c>
      <c r="M111" s="476">
        <f t="shared" si="6"/>
        <v>2512.6999999999998</v>
      </c>
      <c r="N111" s="477">
        <f t="shared" si="7"/>
        <v>870.58</v>
      </c>
      <c r="O111" s="483">
        <f t="shared" si="8"/>
        <v>1.7922400000000003</v>
      </c>
      <c r="P111" s="53"/>
      <c r="Q111" s="53">
        <v>2.3402500000000002</v>
      </c>
      <c r="R111" s="53">
        <v>2.2400000000000002</v>
      </c>
      <c r="S111" s="53">
        <v>1.9587222500000001</v>
      </c>
      <c r="T111" s="53"/>
      <c r="U111" s="53"/>
      <c r="V111" s="53"/>
      <c r="W111" s="53"/>
    </row>
    <row r="112" spans="1:24" x14ac:dyDescent="0.25">
      <c r="B112" s="461" t="s">
        <v>26</v>
      </c>
      <c r="C112" s="457">
        <v>175</v>
      </c>
      <c r="D112" s="458">
        <v>27</v>
      </c>
      <c r="E112" s="459">
        <v>14</v>
      </c>
      <c r="F112" s="459">
        <v>1</v>
      </c>
      <c r="G112" s="459">
        <v>49</v>
      </c>
      <c r="H112" s="459">
        <v>1</v>
      </c>
      <c r="I112" s="459">
        <v>1</v>
      </c>
      <c r="J112" s="459">
        <v>1</v>
      </c>
      <c r="K112" s="474">
        <v>6</v>
      </c>
      <c r="L112" s="482">
        <v>2.2400000000000002</v>
      </c>
      <c r="M112" s="476">
        <f t="shared" si="6"/>
        <v>2581.1</v>
      </c>
      <c r="N112" s="477">
        <f t="shared" si="7"/>
        <v>846.48</v>
      </c>
      <c r="O112" s="483">
        <f t="shared" si="8"/>
        <v>1.8478399999999999</v>
      </c>
      <c r="P112" s="53"/>
      <c r="Q112" s="53">
        <v>1.8084</v>
      </c>
      <c r="R112" s="53">
        <v>1.88</v>
      </c>
      <c r="S112" s="53">
        <v>1.736694</v>
      </c>
      <c r="T112" s="53"/>
      <c r="U112" s="53"/>
      <c r="V112" s="53"/>
      <c r="W112" s="53"/>
    </row>
    <row r="113" spans="2:28" ht="15.75" thickBot="1" x14ac:dyDescent="0.3">
      <c r="B113" s="462" t="s">
        <v>27</v>
      </c>
      <c r="C113" s="463">
        <v>85</v>
      </c>
      <c r="D113" s="464">
        <v>16</v>
      </c>
      <c r="E113" s="465">
        <v>17</v>
      </c>
      <c r="F113" s="465">
        <v>0</v>
      </c>
      <c r="G113" s="465">
        <v>57</v>
      </c>
      <c r="H113" s="465">
        <v>8</v>
      </c>
      <c r="I113" s="465">
        <v>1</v>
      </c>
      <c r="J113" s="465">
        <v>1</v>
      </c>
      <c r="K113" s="475">
        <v>0</v>
      </c>
      <c r="L113" s="185">
        <v>1.88</v>
      </c>
      <c r="M113" s="487">
        <f t="shared" si="6"/>
        <v>2593.1</v>
      </c>
      <c r="N113" s="488">
        <f t="shared" si="7"/>
        <v>834.6</v>
      </c>
      <c r="O113" s="484">
        <f t="shared" si="8"/>
        <v>2.0284499999999999</v>
      </c>
      <c r="P113" s="53"/>
      <c r="Q113" s="53"/>
      <c r="R113" s="53"/>
      <c r="S113" s="53"/>
      <c r="T113" s="53"/>
      <c r="U113" s="53"/>
      <c r="V113" s="53"/>
      <c r="W113" s="491"/>
    </row>
    <row r="114" spans="2:28" ht="15.75" thickBot="1" x14ac:dyDescent="0.3">
      <c r="B114" s="471" t="s">
        <v>176</v>
      </c>
      <c r="C114" s="467">
        <f>SUM(C108:C113)</f>
        <v>1095</v>
      </c>
      <c r="D114" s="172"/>
      <c r="E114" s="468"/>
      <c r="F114" s="468"/>
      <c r="G114" s="468"/>
      <c r="H114" s="468"/>
      <c r="I114" s="468"/>
      <c r="J114" s="468"/>
      <c r="K114" s="468"/>
      <c r="L114" s="485">
        <f>SUMPRODUCT($C$92:$C$97,L108:L113)/$C$98</f>
        <v>2.2164840182648402</v>
      </c>
      <c r="M114" s="486">
        <f>SUMPRODUCT($C$92:$C$97,M108:M113)/$C$98</f>
        <v>2557.154794520548</v>
      </c>
      <c r="N114" s="486">
        <f>SUMPRODUCT($C$92:$C$97,N108:N113)/$C$98</f>
        <v>864.91150684931495</v>
      </c>
      <c r="O114" s="489">
        <f>SUMPRODUCT($C$92:$C$97,O108:O113)/$C$98</f>
        <v>1.7518402283105026</v>
      </c>
      <c r="P114" s="53"/>
      <c r="W114" s="250"/>
    </row>
    <row r="115" spans="2:28" x14ac:dyDescent="0.25">
      <c r="B115" s="53"/>
      <c r="C115" s="53"/>
      <c r="D115" s="53"/>
      <c r="E115" s="193"/>
      <c r="F115" s="321"/>
      <c r="G115" s="321"/>
      <c r="H115" s="321"/>
      <c r="I115" s="53"/>
      <c r="J115" s="53"/>
      <c r="K115" s="53"/>
      <c r="L115" s="53"/>
      <c r="M115" s="53"/>
      <c r="N115" s="53"/>
      <c r="O115" s="53"/>
      <c r="P115" s="53"/>
      <c r="W115" s="250"/>
    </row>
    <row r="116" spans="2:28" x14ac:dyDescent="0.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W116" s="250"/>
    </row>
    <row r="117" spans="2:28" x14ac:dyDescent="0.25">
      <c r="C117" s="53" t="s">
        <v>456</v>
      </c>
      <c r="D117" s="53" t="s">
        <v>252</v>
      </c>
      <c r="E117" s="53" t="s">
        <v>447</v>
      </c>
      <c r="F117" s="53" t="s">
        <v>462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493"/>
    </row>
    <row r="118" spans="2:28" x14ac:dyDescent="0.25">
      <c r="B118" t="s">
        <v>449</v>
      </c>
      <c r="C118">
        <v>2.02</v>
      </c>
      <c r="D118" s="490">
        <v>2605.1</v>
      </c>
      <c r="E118" s="490">
        <v>877.2</v>
      </c>
      <c r="F118">
        <v>1.4376499999999999</v>
      </c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250"/>
    </row>
    <row r="119" spans="2:28" x14ac:dyDescent="0.25">
      <c r="B119" t="s">
        <v>450</v>
      </c>
      <c r="C119">
        <v>1.91</v>
      </c>
      <c r="D119" s="490">
        <v>2553.4</v>
      </c>
      <c r="E119" s="490">
        <v>858.28</v>
      </c>
      <c r="F119">
        <v>1.7572400000000001</v>
      </c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250"/>
      <c r="AA119" s="250"/>
    </row>
    <row r="120" spans="2:28" x14ac:dyDescent="0.25">
      <c r="B120" t="s">
        <v>451</v>
      </c>
      <c r="C120">
        <v>2.91</v>
      </c>
      <c r="D120" s="490">
        <v>2533.8000000000002</v>
      </c>
      <c r="E120" s="490">
        <v>890.9</v>
      </c>
      <c r="F120">
        <v>1.7141499999999998</v>
      </c>
      <c r="W120" s="491"/>
      <c r="AA120" s="492"/>
      <c r="AB120" s="492"/>
    </row>
    <row r="121" spans="2:28" x14ac:dyDescent="0.25">
      <c r="B121" t="s">
        <v>383</v>
      </c>
      <c r="C121">
        <v>2.25</v>
      </c>
      <c r="D121" s="490">
        <v>2512.6999999999998</v>
      </c>
      <c r="E121" s="490">
        <v>870.58</v>
      </c>
      <c r="F121">
        <v>1.7922400000000003</v>
      </c>
      <c r="W121" s="253"/>
      <c r="X121" s="495"/>
      <c r="Y121" s="491"/>
      <c r="Z121" s="491"/>
      <c r="AA121" s="248"/>
      <c r="AB121" s="248"/>
    </row>
    <row r="122" spans="2:28" x14ac:dyDescent="0.25">
      <c r="B122" t="s">
        <v>26</v>
      </c>
      <c r="C122">
        <v>2.2400000000000002</v>
      </c>
      <c r="D122" s="490">
        <v>2581.1</v>
      </c>
      <c r="E122" s="490">
        <v>846.48</v>
      </c>
      <c r="F122">
        <v>1.8478399999999999</v>
      </c>
      <c r="W122" s="253"/>
      <c r="X122" s="250"/>
      <c r="Y122" s="250"/>
      <c r="Z122" s="250"/>
      <c r="AA122" s="248"/>
      <c r="AB122" s="250"/>
    </row>
    <row r="123" spans="2:28" x14ac:dyDescent="0.25">
      <c r="B123" t="s">
        <v>27</v>
      </c>
      <c r="C123">
        <v>1.88</v>
      </c>
      <c r="D123" s="490">
        <v>2593.1</v>
      </c>
      <c r="E123" s="490">
        <v>834.6</v>
      </c>
      <c r="F123">
        <v>2.0284499999999999</v>
      </c>
      <c r="W123" s="253"/>
      <c r="X123" s="250"/>
      <c r="Y123" s="250"/>
      <c r="Z123" s="250"/>
      <c r="AA123" s="250"/>
      <c r="AB123" s="250"/>
    </row>
    <row r="124" spans="2:28" x14ac:dyDescent="0.25">
      <c r="B124" t="s">
        <v>463</v>
      </c>
      <c r="C124" s="319">
        <v>2.2164840182648402</v>
      </c>
      <c r="D124" s="490">
        <v>2557.154794520548</v>
      </c>
      <c r="E124" s="490">
        <v>864.91150684931495</v>
      </c>
      <c r="F124">
        <v>1.7518402283105026</v>
      </c>
      <c r="W124" s="403"/>
      <c r="X124" s="250"/>
      <c r="Y124" s="250"/>
      <c r="Z124" s="250"/>
      <c r="AA124" s="250"/>
      <c r="AB124" s="250"/>
    </row>
    <row r="125" spans="2:28" x14ac:dyDescent="0.25">
      <c r="W125" s="253"/>
      <c r="X125" s="493"/>
      <c r="Y125" s="250"/>
      <c r="Z125" s="250"/>
      <c r="AA125" s="250"/>
      <c r="AB125" s="250"/>
    </row>
    <row r="126" spans="2:28" x14ac:dyDescent="0.25">
      <c r="W126" s="253"/>
      <c r="X126" s="250"/>
      <c r="Y126" s="250"/>
      <c r="Z126" s="250"/>
      <c r="AA126" s="250"/>
      <c r="AB126" s="250"/>
    </row>
    <row r="127" spans="2:28" x14ac:dyDescent="0.25">
      <c r="W127" s="253"/>
      <c r="X127" s="250"/>
      <c r="Y127" s="250"/>
      <c r="Z127" s="250"/>
      <c r="AA127" s="250"/>
      <c r="AB127" s="250"/>
    </row>
    <row r="128" spans="2:28" x14ac:dyDescent="0.25">
      <c r="W128" s="253"/>
      <c r="X128" s="250"/>
      <c r="Y128" s="250"/>
      <c r="Z128" s="250"/>
      <c r="AA128" s="250"/>
      <c r="AB128" s="250"/>
    </row>
    <row r="129" spans="23:28" x14ac:dyDescent="0.25">
      <c r="W129" s="253"/>
      <c r="X129" s="250"/>
      <c r="Y129" s="250"/>
      <c r="Z129" s="250"/>
      <c r="AA129" s="250"/>
      <c r="AB129" s="250"/>
    </row>
    <row r="130" spans="23:28" x14ac:dyDescent="0.25">
      <c r="W130" s="253"/>
      <c r="X130" s="250"/>
      <c r="Y130" s="250"/>
      <c r="Z130" s="250"/>
      <c r="AA130" s="250"/>
      <c r="AB130" s="250"/>
    </row>
    <row r="131" spans="23:28" x14ac:dyDescent="0.25">
      <c r="W131" s="253"/>
      <c r="X131" s="250"/>
      <c r="Y131" s="250"/>
      <c r="Z131" s="250"/>
      <c r="AA131" s="250"/>
      <c r="AB131" s="250"/>
    </row>
    <row r="132" spans="23:28" x14ac:dyDescent="0.25">
      <c r="W132" s="253"/>
      <c r="X132" s="250"/>
      <c r="Y132" s="250"/>
      <c r="Z132" s="250"/>
      <c r="AA132" s="250"/>
      <c r="AB132" s="250"/>
    </row>
    <row r="133" spans="23:28" x14ac:dyDescent="0.25">
      <c r="W133" s="253"/>
      <c r="X133" s="250"/>
      <c r="Y133" s="250"/>
      <c r="Z133" s="250"/>
      <c r="AA133" s="250"/>
      <c r="AB133" s="250"/>
    </row>
    <row r="134" spans="23:28" x14ac:dyDescent="0.25">
      <c r="W134" s="253"/>
      <c r="X134" s="250"/>
      <c r="Y134" s="250"/>
      <c r="Z134" s="250"/>
      <c r="AA134" s="250"/>
      <c r="AB134" s="250"/>
    </row>
    <row r="135" spans="23:28" x14ac:dyDescent="0.25">
      <c r="W135" s="253"/>
      <c r="X135" s="250"/>
      <c r="Y135" s="250"/>
      <c r="Z135" s="250"/>
      <c r="AA135" s="250"/>
      <c r="AB135" s="250"/>
    </row>
    <row r="136" spans="23:28" x14ac:dyDescent="0.25">
      <c r="W136" s="404"/>
      <c r="X136" s="250"/>
      <c r="Y136" s="250"/>
      <c r="Z136" s="250"/>
      <c r="AA136" s="256"/>
      <c r="AB136" s="256"/>
    </row>
    <row r="137" spans="23:28" x14ac:dyDescent="0.25">
      <c r="W137" s="404"/>
      <c r="X137" s="256"/>
      <c r="Y137" s="263"/>
      <c r="Z137" s="263"/>
      <c r="AA137" s="256"/>
      <c r="AB137" s="256"/>
    </row>
    <row r="138" spans="23:28" x14ac:dyDescent="0.25">
      <c r="W138" s="404"/>
      <c r="X138" s="256"/>
      <c r="Y138" s="256"/>
      <c r="Z138" s="256"/>
      <c r="AA138" s="256"/>
      <c r="AB138" s="256"/>
    </row>
    <row r="139" spans="23:28" x14ac:dyDescent="0.25">
      <c r="W139" s="405"/>
      <c r="X139" s="256"/>
      <c r="Y139" s="256"/>
      <c r="Z139" s="256"/>
      <c r="AA139" s="248"/>
      <c r="AB139" s="248"/>
    </row>
    <row r="140" spans="23:28" x14ac:dyDescent="0.25">
      <c r="W140" s="405"/>
      <c r="X140" s="496"/>
      <c r="Y140" s="250"/>
      <c r="Z140" s="250"/>
      <c r="AA140" s="248"/>
      <c r="AB140" s="248"/>
    </row>
    <row r="141" spans="23:28" x14ac:dyDescent="0.25">
      <c r="W141" s="405"/>
      <c r="X141" s="496"/>
      <c r="Y141" s="250"/>
      <c r="Z141" s="250"/>
      <c r="AA141" s="248"/>
      <c r="AB141" s="248"/>
    </row>
    <row r="142" spans="23:28" x14ac:dyDescent="0.25">
      <c r="W142" s="248"/>
      <c r="X142" s="496"/>
      <c r="Y142" s="250"/>
      <c r="Z142" s="250"/>
      <c r="AA142" s="248"/>
      <c r="AB142" s="248"/>
    </row>
    <row r="143" spans="23:28" x14ac:dyDescent="0.25">
      <c r="X143" s="496"/>
      <c r="Y143" s="256"/>
      <c r="Z143" s="250"/>
    </row>
  </sheetData>
  <mergeCells count="19">
    <mergeCell ref="L103:L106"/>
    <mergeCell ref="M103:M106"/>
    <mergeCell ref="N103:N106"/>
    <mergeCell ref="D107:J107"/>
    <mergeCell ref="P4:Q4"/>
    <mergeCell ref="P5:P6"/>
    <mergeCell ref="Q5:Q6"/>
    <mergeCell ref="R5:R6"/>
    <mergeCell ref="D7:O7"/>
    <mergeCell ref="L86:O86"/>
    <mergeCell ref="D91:J91"/>
    <mergeCell ref="L87:L90"/>
    <mergeCell ref="M87:M90"/>
    <mergeCell ref="N87:N90"/>
    <mergeCell ref="O103:O106"/>
    <mergeCell ref="L107:O107"/>
    <mergeCell ref="L102:O102"/>
    <mergeCell ref="O87:O90"/>
    <mergeCell ref="L91:O9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RHP_old</vt:lpstr>
      <vt:lpstr>Geology</vt:lpstr>
      <vt:lpstr>%Rock type</vt:lpstr>
      <vt:lpstr>Properties</vt:lpstr>
      <vt:lpstr>Table to update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2020-03-27T08:07:58Z</dcterms:created>
  <dcterms:modified xsi:type="dcterms:W3CDTF">2021-05-27T22:30:03Z</dcterms:modified>
</cp:coreProperties>
</file>