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Modeling\1D_Models\A1_5\"/>
    </mc:Choice>
  </mc:AlternateContent>
  <bookViews>
    <workbookView xWindow="-105" yWindow="-105" windowWidth="14490" windowHeight="9300"/>
  </bookViews>
  <sheets>
    <sheet name="1D" sheetId="1" r:id="rId1"/>
    <sheet name="Gradient" sheetId="2" r:id="rId2"/>
    <sheet name="Stabilit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1" l="1"/>
  <c r="C30" i="3" l="1"/>
  <c r="B30" i="3"/>
  <c r="B18" i="3"/>
  <c r="B23" i="3"/>
  <c r="B28" i="3"/>
  <c r="B20" i="3" l="1"/>
  <c r="B14" i="3"/>
  <c r="I19" i="3" l="1"/>
  <c r="I20" i="3"/>
  <c r="B24" i="3" l="1"/>
  <c r="B25" i="3"/>
  <c r="B26" i="3"/>
  <c r="F18" i="3" l="1"/>
  <c r="D18" i="3" l="1"/>
  <c r="E18" i="3"/>
  <c r="AA18" i="1" l="1"/>
  <c r="S16" i="3" l="1"/>
  <c r="Q16" i="3"/>
  <c r="P16" i="3"/>
  <c r="P15" i="3"/>
  <c r="I18" i="3"/>
  <c r="I26" i="3"/>
  <c r="I16" i="3"/>
  <c r="I17" i="3" s="1"/>
  <c r="J30" i="3"/>
  <c r="I23" i="3" l="1"/>
  <c r="I29" i="3" s="1"/>
  <c r="I28" i="3"/>
  <c r="I24" i="3"/>
  <c r="I25" i="3" s="1"/>
  <c r="I30" i="3" l="1"/>
  <c r="Z14" i="1" l="1"/>
  <c r="AA17" i="1"/>
  <c r="AA16" i="1"/>
  <c r="Z16" i="1"/>
  <c r="Z5" i="1" l="1"/>
  <c r="AA5" i="1"/>
  <c r="AA4" i="1"/>
  <c r="Z4" i="1"/>
  <c r="B16" i="3" l="1"/>
  <c r="B17" i="3" s="1"/>
  <c r="B29" i="3" s="1"/>
  <c r="E7" i="3" l="1"/>
  <c r="B9" i="3"/>
  <c r="F9" i="2" l="1"/>
  <c r="F8" i="2"/>
  <c r="B21" i="2"/>
  <c r="B20" i="2"/>
  <c r="B10" i="2"/>
  <c r="B11" i="2" s="1"/>
  <c r="B18" i="2"/>
  <c r="B17" i="2"/>
  <c r="F6" i="2"/>
  <c r="F5" i="2"/>
</calcChain>
</file>

<file path=xl/sharedStrings.xml><?xml version="1.0" encoding="utf-8"?>
<sst xmlns="http://schemas.openxmlformats.org/spreadsheetml/2006/main" count="286" uniqueCount="179">
  <si>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</si>
  <si>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</si>
  <si>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</si>
  <si>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</si>
  <si>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</si>
  <si>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</si>
  <si>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</si>
  <si>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</si>
  <si>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</si>
  <si>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</si>
  <si>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</si>
  <si>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</si>
  <si>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</si>
  <si>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</si>
  <si>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</si>
  <si>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</si>
  <si>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</si>
  <si>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</si>
  <si>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</si>
  <si>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</si>
  <si>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</si>
  <si>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</si>
  <si>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</si>
  <si>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</si>
  <si>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</si>
  <si>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</si>
  <si>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</si>
  <si>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</si>
  <si>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</si>
  <si>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</si>
  <si>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</si>
  <si>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IC</t>
  </si>
  <si>
    <t xml:space="preserve">Thermal </t>
  </si>
  <si>
    <t>Fluid properties</t>
  </si>
  <si>
    <t>density</t>
  </si>
  <si>
    <t>Viscosity</t>
  </si>
  <si>
    <t>Medium properties</t>
  </si>
  <si>
    <t>Dimension</t>
  </si>
  <si>
    <t>Solid properties</t>
  </si>
  <si>
    <t>Total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</si>
  <si>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</si>
  <si>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</si>
  <si>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</si>
  <si>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</si>
  <si>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</si>
  <si>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ST</t>
  </si>
  <si>
    <t>Hydraulic</t>
  </si>
  <si>
    <t>Extraction -1294 to -706W</t>
  </si>
  <si>
    <t>Extraction - 1000 W</t>
  </si>
  <si>
    <t>Hydro</t>
  </si>
  <si>
    <t>Boundary conditions</t>
  </si>
  <si>
    <t>TOP</t>
  </si>
  <si>
    <t>BOTTOM</t>
  </si>
  <si>
    <t>EAST</t>
  </si>
  <si>
    <t>WEST</t>
  </si>
  <si>
    <t>Thermal</t>
  </si>
  <si>
    <t>A2</t>
  </si>
  <si>
    <t>A4</t>
  </si>
  <si>
    <t>Pe</t>
  </si>
  <si>
    <t>Zone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</si>
  <si>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</si>
  <si>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</si>
  <si>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</si>
  <si>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</si>
  <si>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</si>
  <si>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</si>
  <si>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</si>
  <si>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</si>
  <si>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</si>
  <si>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</si>
  <si>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</si>
  <si>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10950 (30 yrs)</t>
  </si>
  <si>
    <t>RELOAD (curved gradient)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</si>
  <si>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</si>
  <si>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</si>
  <si>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</si>
  <si>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</si>
  <si>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</si>
  <si>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</si>
  <si>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</si>
  <si>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</si>
  <si>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</si>
  <si>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</si>
  <si>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</si>
  <si>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</si>
  <si>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</si>
  <si>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</si>
  <si>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</si>
  <si>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Density (Kg/m3)</t>
  </si>
  <si>
    <t>Ne &lt; 1/2</t>
  </si>
  <si>
    <t>Co &lt; 1</t>
  </si>
  <si>
    <t>m2/s</t>
  </si>
  <si>
    <t>De = D * ne/T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</si>
  <si>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</si>
  <si>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</si>
  <si>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</si>
  <si>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</si>
  <si>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</si>
  <si>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</si>
  <si>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</si>
  <si>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</si>
  <si>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</si>
  <si>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</si>
  <si>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v=</t>
  </si>
  <si>
    <t>v = µ/rho</t>
  </si>
  <si>
    <t>kinematic viscosity (m2/s)</t>
  </si>
  <si>
    <t>Stability criterium analysis</t>
  </si>
  <si>
    <t>porosity</t>
  </si>
  <si>
    <t>flow rate</t>
  </si>
  <si>
    <t>Cross-section area</t>
  </si>
  <si>
    <t>Dt</t>
  </si>
  <si>
    <t>s</t>
  </si>
  <si>
    <t>Dx</t>
  </si>
  <si>
    <t>mesh volume</t>
  </si>
  <si>
    <t>m3</t>
  </si>
  <si>
    <t>void volume</t>
  </si>
  <si>
    <t xml:space="preserve">m3 </t>
  </si>
  <si>
    <t>material removed</t>
  </si>
  <si>
    <t>&lt;1</t>
  </si>
  <si>
    <t>&lt; 1/2 Pe</t>
  </si>
  <si>
    <t>[0.001</t>
  </si>
  <si>
    <t>0.5]</t>
  </si>
  <si>
    <t>&lt; 1</t>
  </si>
  <si>
    <t>diffusion</t>
  </si>
  <si>
    <t>&gt;1</t>
  </si>
  <si>
    <t>dispersion</t>
  </si>
  <si>
    <t>D (diffusivity)</t>
  </si>
  <si>
    <t>Source term</t>
  </si>
  <si>
    <t>Diff-Disp Coeff</t>
  </si>
  <si>
    <t>Gradient 230 15 -0.03</t>
  </si>
  <si>
    <t>Gradient 230 15 -0.04</t>
  </si>
  <si>
    <t>Increase size borehole from 40 to 80m</t>
  </si>
  <si>
    <t>Gradient 60 10 -0.038</t>
  </si>
  <si>
    <t>Gradient 60 10 -0.015</t>
  </si>
  <si>
    <t>Constant production along borehole</t>
  </si>
  <si>
    <t>CASE 2 (Higher gradient from 60 m)</t>
  </si>
  <si>
    <t>CASE 1</t>
  </si>
  <si>
    <t>TtopBC &gt; Tsurf from CASE 2 - No production</t>
  </si>
  <si>
    <t>A2bis</t>
  </si>
  <si>
    <t>Increase gradient (check T at 60 m)</t>
  </si>
  <si>
    <t>TtopBC &gt; Tsurf from CASE 2 with prod</t>
  </si>
  <si>
    <t>Tvar</t>
  </si>
  <si>
    <t xml:space="preserve">add flux instead of bottom BC --&gt; reversed flux </t>
  </si>
  <si>
    <t>Conductivity (W/m.K)</t>
  </si>
  <si>
    <t>Therm. Capacity (J/Kg.K)</t>
  </si>
  <si>
    <t>Therm. Exp</t>
  </si>
  <si>
    <t>Heat Cap.</t>
  </si>
  <si>
    <t>Conductivity</t>
  </si>
  <si>
    <t>Cyclical production</t>
  </si>
  <si>
    <t>NEW INITIAL CONDITIONS</t>
  </si>
  <si>
    <t>A3_CST</t>
  </si>
  <si>
    <t>A3_VAR</t>
  </si>
  <si>
    <t>A3_FLUX</t>
  </si>
  <si>
    <t>A1_bis</t>
  </si>
  <si>
    <t>A3_BIS</t>
  </si>
  <si>
    <t>A3_SOLAR</t>
  </si>
  <si>
    <t>A5</t>
  </si>
  <si>
    <t>Add T variation as top BC : !! Average tempertaure = 7 degC&lt; 8.1) !!</t>
  </si>
  <si>
    <t>Gradient 459 18 -0.0196</t>
  </si>
  <si>
    <t>New gradient (Auchendinny)</t>
  </si>
  <si>
    <t>Add solar T var</t>
  </si>
  <si>
    <t>A3_FLUXBIS</t>
  </si>
  <si>
    <t>high flux</t>
  </si>
  <si>
    <t>q= 0.0942</t>
  </si>
  <si>
    <t>total time</t>
  </si>
  <si>
    <t>time step</t>
  </si>
  <si>
    <t>total file</t>
  </si>
  <si>
    <t>α (heat dispersivity)</t>
  </si>
  <si>
    <t>P1</t>
  </si>
  <si>
    <t>1 year</t>
  </si>
  <si>
    <t>ts nb</t>
  </si>
  <si>
    <t>total</t>
  </si>
  <si>
    <t>print</t>
  </si>
  <si>
    <t>A5_FLUX</t>
  </si>
  <si>
    <t>q=60</t>
  </si>
  <si>
    <t>Add geothermal flux</t>
  </si>
  <si>
    <t>A5_SOLAR</t>
  </si>
  <si>
    <t>alpha (mass dispersivity)</t>
  </si>
  <si>
    <t>Heat Diff-Disp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</si>
</sst>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4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15" xfId="0" applyNumberFormat="1" applyBorder="1"/>
    <xf numFmtId="2" fontId="0" fillId="0" borderId="0" xfId="0" applyNumberFormat="1"/>
    <xf numFmtId="0" fontId="7" fillId="4" borderId="0" xfId="0" applyFont="1" applyFill="1"/>
    <xf numFmtId="2" fontId="7" fillId="4" borderId="0" xfId="0" applyNumberFormat="1" applyFont="1" applyFill="1"/>
    <xf numFmtId="0" fontId="8" fillId="0" borderId="13" xfId="0" applyFont="1" applyBorder="1"/>
    <xf numFmtId="0" fontId="8" fillId="0" borderId="0" xfId="0" applyFont="1" applyBorder="1"/>
    <xf numFmtId="0" fontId="9" fillId="0" borderId="13" xfId="0" applyFont="1" applyBorder="1"/>
    <xf numFmtId="0" fontId="9" fillId="0" borderId="0" xfId="0" applyFont="1" applyBorder="1"/>
    <xf numFmtId="0" fontId="8" fillId="0" borderId="12" xfId="0" applyFont="1" applyBorder="1"/>
    <xf numFmtId="0" fontId="8" fillId="0" borderId="0" xfId="0" applyFont="1"/>
    <xf numFmtId="0" fontId="8" fillId="0" borderId="14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5" xfId="0" applyFont="1" applyBorder="1"/>
    <xf numFmtId="0" fontId="4" fillId="0" borderId="0" xfId="0" applyFont="1" applyAlignment="1">
      <alignment wrapText="1"/>
    </xf>
    <xf numFmtId="0" fontId="4" fillId="0" borderId="5" xfId="0" applyFont="1" applyBorder="1"/>
    <xf numFmtId="0" fontId="8" fillId="0" borderId="10" xfId="0" applyFont="1" applyBorder="1"/>
    <xf numFmtId="0" fontId="8" fillId="0" borderId="5" xfId="0" applyFont="1" applyBorder="1" applyAlignment="1">
      <alignment wrapText="1"/>
    </xf>
    <xf numFmtId="11" fontId="8" fillId="0" borderId="5" xfId="0" applyNumberFormat="1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0" xfId="0" applyFont="1" applyBorder="1" applyAlignment="1">
      <alignment wrapText="1"/>
    </xf>
    <xf numFmtId="0" fontId="5" fillId="0" borderId="8" xfId="0" applyFont="1" applyBorder="1"/>
    <xf numFmtId="0" fontId="5" fillId="0" borderId="5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 applyAlignment="1">
      <alignment horizontal="right"/>
    </xf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  <xf numFmtId="0" fontId="5" fillId="0" borderId="16" xfId="0" applyFont="1" applyBorder="1"/>
    <xf numFmtId="0" fontId="9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9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9" fillId="0" borderId="23" xfId="0" applyFont="1" applyBorder="1"/>
    <xf numFmtId="0" fontId="5" fillId="0" borderId="24" xfId="0" applyFont="1" applyBorder="1"/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9" fillId="0" borderId="17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tabSelected="1" zoomScale="85" zoomScaleNormal="85" workbookViewId="0">
      <pane xSplit="1" topLeftCell="U1" activePane="topRight" state="frozen"/>
      <selection pane="topRight" activeCell="AB22" sqref="AB22"/>
    </sheetView>
  </sheetViews>
  <sheetFormatPr defaultColWidth="11.5703125" defaultRowHeight="12.75" x14ac:dyDescent="0.2"/>
  <cols>
    <col min="1" max="1" width="30.140625" style="8" bestFit="1" customWidth="1"/>
    <col min="2" max="2" width="47.42578125" style="46" customWidth="1"/>
    <col min="3" max="3" width="5.85546875" style="8" bestFit="1" customWidth="1"/>
    <col min="4" max="4" width="7.5703125" style="8" bestFit="1" customWidth="1"/>
    <col min="5" max="5" width="3.7109375" style="8" customWidth="1"/>
    <col min="6" max="6" width="5.140625" style="8" customWidth="1"/>
    <col min="7" max="7" width="3.85546875" style="8" customWidth="1"/>
    <col min="8" max="8" width="3.7109375" style="8" customWidth="1"/>
    <col min="9" max="9" width="4.5703125" style="8" customWidth="1"/>
    <col min="10" max="10" width="6.7109375" style="8" customWidth="1"/>
    <col min="11" max="11" width="3" style="8" customWidth="1"/>
    <col min="12" max="12" width="5.42578125" style="8" customWidth="1"/>
    <col min="13" max="13" width="6" style="8" customWidth="1"/>
    <col min="14" max="14" width="9" style="8" customWidth="1"/>
    <col min="15" max="15" width="5.5703125" style="8" customWidth="1"/>
    <col min="16" max="16" width="6" style="8" customWidth="1"/>
    <col min="17" max="17" width="4.28515625" style="8" customWidth="1"/>
    <col min="18" max="18" width="6.85546875" style="8" customWidth="1"/>
    <col min="19" max="19" width="7.28515625" style="8" customWidth="1"/>
    <col min="20" max="20" width="6.5703125" style="8" customWidth="1"/>
    <col min="21" max="21" width="12.28515625" style="8" bestFit="1" customWidth="1"/>
    <col min="22" max="22" width="5.140625" style="8" customWidth="1"/>
    <col min="23" max="23" width="7.140625" style="8" customWidth="1"/>
    <col min="24" max="24" width="5.5703125" style="8" customWidth="1"/>
    <col min="25" max="25" width="4.7109375" style="8" customWidth="1"/>
    <col min="26" max="26" width="5.7109375" style="8" customWidth="1"/>
    <col min="27" max="27" width="9.28515625" style="8" bestFit="1" customWidth="1"/>
    <col min="28" max="28" width="5" style="8" customWidth="1"/>
    <col min="29" max="29" width="5.85546875" style="8" customWidth="1"/>
    <col min="30" max="30" width="19" style="8" customWidth="1"/>
    <col min="31" max="31" width="8" style="8" customWidth="1"/>
    <col min="32" max="32" width="21.42578125" style="8" customWidth="1"/>
    <col min="33" max="33" width="18.42578125" style="8" customWidth="1"/>
    <col min="34" max="34" width="5.28515625" style="8" customWidth="1"/>
    <col min="35" max="35" width="7.85546875" style="8" bestFit="1" customWidth="1"/>
    <col min="36" max="36" width="8.28515625" style="8" bestFit="1" customWidth="1"/>
    <col min="37" max="37" width="8.42578125" style="8" bestFit="1" customWidth="1"/>
    <col min="38" max="38" width="9.85546875" style="8" bestFit="1" customWidth="1"/>
    <col min="39" max="39" width="13.28515625" style="8" bestFit="1" customWidth="1"/>
    <col min="40" max="40" width="15.5703125" style="8" bestFit="1" customWidth="1"/>
    <col min="41" max="41" width="11.28515625" style="8" bestFit="1" customWidth="1"/>
    <col min="42" max="42" width="11.28515625" style="8" customWidth="1"/>
    <col min="43" max="46" width="8.28515625" style="8" bestFit="1" customWidth="1"/>
    <col min="47" max="48" width="8.28515625" style="8" customWidth="1"/>
    <col min="49" max="16384" width="11.5703125" style="8"/>
  </cols>
  <sheetData>
    <row r="1" spans="1:48" ht="13.5" thickBot="1" x14ac:dyDescent="0.25">
      <c r="Q1" s="8" t="s">
        <v>70</v>
      </c>
      <c r="V1" s="105" t="s">
        <v>50</v>
      </c>
      <c r="W1" s="106"/>
      <c r="X1" s="106"/>
      <c r="Y1" s="106"/>
      <c r="Z1" s="106"/>
      <c r="AA1" s="106"/>
      <c r="AB1" s="106"/>
      <c r="AC1" s="107"/>
      <c r="AM1" s="8" t="s">
        <v>15</v>
      </c>
      <c r="AN1" s="8" t="s">
        <v>91</v>
      </c>
      <c r="AO1" s="8" t="s">
        <v>91</v>
      </c>
      <c r="AP1" s="8" t="s">
        <v>91</v>
      </c>
      <c r="AQ1" s="8" t="s">
        <v>91</v>
      </c>
    </row>
    <row r="2" spans="1:48" ht="13.5" thickBot="1" x14ac:dyDescent="0.25">
      <c r="A2" s="11"/>
      <c r="B2" s="58"/>
      <c r="C2" s="9"/>
      <c r="D2" s="10"/>
      <c r="E2" s="102" t="s">
        <v>36</v>
      </c>
      <c r="F2" s="103"/>
      <c r="G2" s="103"/>
      <c r="H2" s="103"/>
      <c r="I2" s="103"/>
      <c r="J2" s="103"/>
      <c r="K2" s="104"/>
      <c r="L2" s="102" t="s">
        <v>38</v>
      </c>
      <c r="M2" s="103"/>
      <c r="N2" s="103"/>
      <c r="O2" s="104"/>
      <c r="P2" s="102" t="s">
        <v>33</v>
      </c>
      <c r="Q2" s="103"/>
      <c r="R2" s="103"/>
      <c r="S2" s="104"/>
      <c r="T2" s="102" t="s">
        <v>42</v>
      </c>
      <c r="U2" s="104"/>
      <c r="V2" s="105" t="s">
        <v>49</v>
      </c>
      <c r="W2" s="106"/>
      <c r="X2" s="106"/>
      <c r="Y2" s="106"/>
      <c r="Z2" s="106" t="s">
        <v>55</v>
      </c>
      <c r="AA2" s="106"/>
      <c r="AB2" s="106"/>
      <c r="AC2" s="107"/>
      <c r="AD2" s="106" t="s">
        <v>31</v>
      </c>
      <c r="AE2" s="106"/>
      <c r="AF2" s="105" t="s">
        <v>45</v>
      </c>
      <c r="AG2" s="107"/>
      <c r="AH2" s="18"/>
      <c r="AI2" s="18" t="s">
        <v>73</v>
      </c>
      <c r="AJ2" s="13" t="s">
        <v>76</v>
      </c>
      <c r="AK2" s="13" t="s">
        <v>74</v>
      </c>
      <c r="AL2" s="13" t="s">
        <v>61</v>
      </c>
      <c r="AM2" s="13" t="s">
        <v>95</v>
      </c>
      <c r="AN2" s="13" t="s">
        <v>81</v>
      </c>
      <c r="AO2" s="13" t="s">
        <v>62</v>
      </c>
      <c r="AP2" s="13" t="s">
        <v>93</v>
      </c>
      <c r="AQ2" s="13" t="s">
        <v>82</v>
      </c>
      <c r="AR2" s="13" t="s">
        <v>63</v>
      </c>
      <c r="AS2" s="13" t="s">
        <v>84</v>
      </c>
      <c r="AT2" s="105" t="s">
        <v>11</v>
      </c>
      <c r="AU2" s="106"/>
      <c r="AV2" s="107"/>
    </row>
    <row r="3" spans="1:48" ht="13.5" thickBot="1" x14ac:dyDescent="0.25">
      <c r="A3" s="12" t="s">
        <v>0</v>
      </c>
      <c r="B3" s="59"/>
      <c r="C3" s="14" t="s">
        <v>2</v>
      </c>
      <c r="D3" s="15" t="s">
        <v>3</v>
      </c>
      <c r="E3" s="14" t="s">
        <v>37</v>
      </c>
      <c r="F3" s="16" t="s">
        <v>4</v>
      </c>
      <c r="G3" s="16" t="s">
        <v>5</v>
      </c>
      <c r="H3" s="16" t="s">
        <v>6</v>
      </c>
      <c r="I3" s="16" t="s">
        <v>40</v>
      </c>
      <c r="J3" s="16" t="s">
        <v>41</v>
      </c>
      <c r="K3" s="15" t="s">
        <v>7</v>
      </c>
      <c r="L3" s="14" t="s">
        <v>143</v>
      </c>
      <c r="M3" s="16" t="s">
        <v>144</v>
      </c>
      <c r="N3" s="16" t="s">
        <v>145</v>
      </c>
      <c r="O3" s="15" t="s">
        <v>88</v>
      </c>
      <c r="P3" s="14" t="s">
        <v>34</v>
      </c>
      <c r="Q3" s="16" t="s">
        <v>35</v>
      </c>
      <c r="R3" s="16" t="s">
        <v>146</v>
      </c>
      <c r="S3" s="15" t="s">
        <v>147</v>
      </c>
      <c r="T3" s="14" t="s">
        <v>8</v>
      </c>
      <c r="U3" s="15" t="s">
        <v>39</v>
      </c>
      <c r="V3" s="14" t="s">
        <v>51</v>
      </c>
      <c r="W3" s="16" t="s">
        <v>52</v>
      </c>
      <c r="X3" s="16" t="s">
        <v>53</v>
      </c>
      <c r="Y3" s="16" t="s">
        <v>54</v>
      </c>
      <c r="Z3" s="14" t="s">
        <v>51</v>
      </c>
      <c r="AA3" s="16" t="s">
        <v>52</v>
      </c>
      <c r="AB3" s="16" t="s">
        <v>53</v>
      </c>
      <c r="AC3" s="16" t="s">
        <v>54</v>
      </c>
      <c r="AD3" s="9" t="s">
        <v>32</v>
      </c>
      <c r="AE3" s="47" t="s">
        <v>46</v>
      </c>
      <c r="AF3" s="14" t="s">
        <v>87</v>
      </c>
      <c r="AG3" s="15" t="s">
        <v>86</v>
      </c>
      <c r="AH3" s="14" t="s">
        <v>59</v>
      </c>
      <c r="AI3" s="14" t="s">
        <v>75</v>
      </c>
      <c r="AJ3" s="23" t="s">
        <v>64</v>
      </c>
      <c r="AK3" s="17" t="s">
        <v>60</v>
      </c>
      <c r="AL3" s="17" t="s">
        <v>77</v>
      </c>
      <c r="AM3" s="17" t="s">
        <v>80</v>
      </c>
      <c r="AN3" s="24" t="s">
        <v>96</v>
      </c>
      <c r="AO3" s="16" t="s">
        <v>92</v>
      </c>
      <c r="AP3" s="16" t="s">
        <v>94</v>
      </c>
      <c r="AQ3" s="16" t="s">
        <v>97</v>
      </c>
      <c r="AR3" s="16" t="s">
        <v>83</v>
      </c>
      <c r="AS3" s="16" t="s">
        <v>85</v>
      </c>
      <c r="AT3" s="14" t="s">
        <v>90</v>
      </c>
      <c r="AU3" s="16" t="s">
        <v>89</v>
      </c>
      <c r="AV3" s="15" t="s">
        <v>98</v>
      </c>
    </row>
    <row r="4" spans="1:48" s="41" customFormat="1" x14ac:dyDescent="0.2">
      <c r="A4" s="48" t="s">
        <v>29</v>
      </c>
      <c r="B4" s="60" t="s">
        <v>136</v>
      </c>
      <c r="C4" s="43">
        <v>0</v>
      </c>
      <c r="D4" s="44" t="s">
        <v>30</v>
      </c>
      <c r="E4" s="43">
        <v>1</v>
      </c>
      <c r="F4" s="45">
        <v>0.1</v>
      </c>
      <c r="G4" s="45">
        <v>1</v>
      </c>
      <c r="H4" s="45"/>
      <c r="I4" s="45"/>
      <c r="J4" s="45"/>
      <c r="K4" s="44"/>
      <c r="L4" s="43">
        <v>3</v>
      </c>
      <c r="M4" s="45">
        <v>900</v>
      </c>
      <c r="N4" s="50">
        <v>1.0000000000000001E-5</v>
      </c>
      <c r="O4" s="44">
        <v>2650</v>
      </c>
      <c r="P4" s="43">
        <v>1000</v>
      </c>
      <c r="Q4" s="45">
        <v>0</v>
      </c>
      <c r="R4" s="45">
        <v>0</v>
      </c>
      <c r="S4" s="45">
        <v>0</v>
      </c>
      <c r="T4" s="43">
        <v>86400</v>
      </c>
      <c r="U4" s="53" t="s">
        <v>71</v>
      </c>
      <c r="V4" s="45"/>
      <c r="W4" s="45"/>
      <c r="X4" s="45"/>
      <c r="Y4" s="45"/>
      <c r="Z4" s="43">
        <f>10-60*0.015</f>
        <v>9.1</v>
      </c>
      <c r="AA4" s="45">
        <f>10+740*0.015</f>
        <v>21.1</v>
      </c>
      <c r="AB4" s="45"/>
      <c r="AC4" s="44"/>
      <c r="AD4" s="43" t="s">
        <v>133</v>
      </c>
      <c r="AE4" s="45"/>
      <c r="AF4" s="51" t="s">
        <v>48</v>
      </c>
      <c r="AG4" s="44"/>
      <c r="AH4" s="36"/>
      <c r="AI4" s="36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6"/>
      <c r="AU4" s="37"/>
      <c r="AV4" s="42"/>
    </row>
    <row r="5" spans="1:48" s="41" customFormat="1" x14ac:dyDescent="0.2">
      <c r="A5" s="40" t="s">
        <v>153</v>
      </c>
      <c r="B5" s="61" t="s">
        <v>135</v>
      </c>
      <c r="C5" s="36"/>
      <c r="D5" s="42"/>
      <c r="E5" s="36"/>
      <c r="F5" s="37"/>
      <c r="G5" s="37"/>
      <c r="H5" s="37"/>
      <c r="I5" s="37"/>
      <c r="J5" s="37"/>
      <c r="K5" s="42"/>
      <c r="L5" s="36"/>
      <c r="M5" s="37"/>
      <c r="N5" s="37"/>
      <c r="O5" s="42"/>
      <c r="P5" s="36"/>
      <c r="Q5" s="37"/>
      <c r="R5" s="37"/>
      <c r="S5" s="37"/>
      <c r="T5" s="36">
        <v>86400</v>
      </c>
      <c r="U5" s="20" t="s">
        <v>71</v>
      </c>
      <c r="V5" s="37"/>
      <c r="W5" s="37"/>
      <c r="X5" s="37"/>
      <c r="Y5" s="37"/>
      <c r="Z5" s="36">
        <f>10-60*0.038</f>
        <v>7.7200000000000006</v>
      </c>
      <c r="AA5" s="37">
        <f>10+740*0.038</f>
        <v>38.120000000000005</v>
      </c>
      <c r="AB5" s="37"/>
      <c r="AC5" s="42"/>
      <c r="AD5" s="36" t="s">
        <v>132</v>
      </c>
      <c r="AE5" s="37"/>
      <c r="AF5" s="19" t="s">
        <v>48</v>
      </c>
      <c r="AG5" s="42"/>
      <c r="AH5" s="36"/>
      <c r="AI5" s="3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6"/>
      <c r="AU5" s="37"/>
      <c r="AV5" s="42"/>
    </row>
    <row r="6" spans="1:48" s="41" customFormat="1" x14ac:dyDescent="0.2">
      <c r="A6" s="40" t="s">
        <v>56</v>
      </c>
      <c r="B6" s="61" t="s">
        <v>137</v>
      </c>
      <c r="C6" s="36"/>
      <c r="D6" s="42"/>
      <c r="E6" s="36"/>
      <c r="F6" s="37"/>
      <c r="G6" s="37"/>
      <c r="H6" s="37"/>
      <c r="I6" s="37"/>
      <c r="J6" s="37"/>
      <c r="K6" s="42"/>
      <c r="L6" s="36"/>
      <c r="M6" s="37"/>
      <c r="N6" s="37"/>
      <c r="O6" s="42"/>
      <c r="P6" s="36"/>
      <c r="Q6" s="37"/>
      <c r="R6" s="37"/>
      <c r="S6" s="37"/>
      <c r="T6" s="36">
        <v>86400</v>
      </c>
      <c r="U6" s="20" t="s">
        <v>71</v>
      </c>
      <c r="V6" s="37"/>
      <c r="W6" s="37"/>
      <c r="X6" s="37"/>
      <c r="Y6" s="37"/>
      <c r="Z6" s="36">
        <v>10</v>
      </c>
      <c r="AA6" s="37">
        <v>38.119999999999997</v>
      </c>
      <c r="AB6" s="37"/>
      <c r="AC6" s="42"/>
      <c r="AD6" s="36" t="s">
        <v>132</v>
      </c>
      <c r="AE6" s="37"/>
      <c r="AF6" s="19"/>
      <c r="AG6" s="42"/>
      <c r="AH6" s="36"/>
      <c r="AI6" s="36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6"/>
      <c r="AU6" s="37"/>
      <c r="AV6" s="42"/>
    </row>
    <row r="7" spans="1:48" s="41" customFormat="1" ht="13.5" thickBot="1" x14ac:dyDescent="0.25">
      <c r="A7" s="40" t="s">
        <v>138</v>
      </c>
      <c r="B7" s="61" t="s">
        <v>140</v>
      </c>
      <c r="C7" s="36"/>
      <c r="D7" s="42"/>
      <c r="E7" s="36"/>
      <c r="F7" s="37"/>
      <c r="G7" s="37"/>
      <c r="H7" s="37"/>
      <c r="I7" s="37"/>
      <c r="J7" s="37"/>
      <c r="K7" s="42"/>
      <c r="L7" s="36"/>
      <c r="M7" s="37"/>
      <c r="N7" s="37"/>
      <c r="O7" s="42"/>
      <c r="P7" s="36"/>
      <c r="Q7" s="37"/>
      <c r="R7" s="37"/>
      <c r="S7" s="37"/>
      <c r="T7" s="36">
        <v>86400</v>
      </c>
      <c r="U7" s="20" t="s">
        <v>71</v>
      </c>
      <c r="V7" s="37"/>
      <c r="W7" s="37"/>
      <c r="X7" s="37"/>
      <c r="Y7" s="37"/>
      <c r="Z7" s="36">
        <v>10</v>
      </c>
      <c r="AA7" s="37">
        <v>38.119999999999997</v>
      </c>
      <c r="AB7" s="37"/>
      <c r="AC7" s="42"/>
      <c r="AD7" s="36" t="s">
        <v>72</v>
      </c>
      <c r="AE7" s="37"/>
      <c r="AF7" s="19" t="s">
        <v>48</v>
      </c>
      <c r="AG7" s="42"/>
      <c r="AH7" s="36"/>
      <c r="AI7" s="36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6"/>
      <c r="AU7" s="37"/>
      <c r="AV7" s="42"/>
    </row>
    <row r="8" spans="1:48" s="41" customFormat="1" ht="13.5" thickBot="1" x14ac:dyDescent="0.25">
      <c r="A8" s="43" t="s">
        <v>149</v>
      </c>
      <c r="B8" s="49"/>
      <c r="C8" s="43"/>
      <c r="D8" s="44"/>
      <c r="E8" s="45"/>
      <c r="F8" s="45"/>
      <c r="G8" s="45"/>
      <c r="H8" s="45"/>
      <c r="I8" s="45"/>
      <c r="J8" s="45"/>
      <c r="K8" s="45"/>
      <c r="L8" s="43"/>
      <c r="M8" s="45"/>
      <c r="N8" s="45"/>
      <c r="O8" s="44"/>
      <c r="P8" s="45"/>
      <c r="Q8" s="45"/>
      <c r="R8" s="45"/>
      <c r="S8" s="45"/>
      <c r="T8" s="43"/>
      <c r="U8" s="44"/>
      <c r="V8" s="45"/>
      <c r="W8" s="45"/>
      <c r="X8" s="45"/>
      <c r="Y8" s="44"/>
      <c r="Z8" s="45"/>
      <c r="AA8" s="45"/>
      <c r="AB8" s="45"/>
      <c r="AC8" s="45"/>
      <c r="AD8" s="43"/>
      <c r="AE8" s="44"/>
      <c r="AF8" s="57"/>
      <c r="AG8" s="44"/>
      <c r="AH8" s="37"/>
      <c r="AI8" s="36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6"/>
      <c r="AU8" s="37"/>
      <c r="AV8" s="42"/>
    </row>
    <row r="9" spans="1:48" s="22" customFormat="1" x14ac:dyDescent="0.2">
      <c r="A9" s="76" t="s">
        <v>150</v>
      </c>
      <c r="B9" s="86" t="s">
        <v>134</v>
      </c>
      <c r="C9" s="76"/>
      <c r="D9" s="79"/>
      <c r="E9" s="89"/>
      <c r="F9" s="77"/>
      <c r="G9" s="77"/>
      <c r="H9" s="77"/>
      <c r="I9" s="77"/>
      <c r="J9" s="77"/>
      <c r="K9" s="92"/>
      <c r="L9" s="76"/>
      <c r="M9" s="77"/>
      <c r="N9" s="77"/>
      <c r="O9" s="79"/>
      <c r="P9" s="89"/>
      <c r="Q9" s="77"/>
      <c r="R9" s="77"/>
      <c r="S9" s="92"/>
      <c r="T9" s="76">
        <v>86400</v>
      </c>
      <c r="U9" s="79" t="s">
        <v>71</v>
      </c>
      <c r="V9" s="89"/>
      <c r="W9" s="77"/>
      <c r="X9" s="77"/>
      <c r="Y9" s="92"/>
      <c r="Z9" s="98">
        <v>8.1</v>
      </c>
      <c r="AA9" s="78">
        <v>32.1</v>
      </c>
      <c r="AB9" s="77"/>
      <c r="AC9" s="79"/>
      <c r="AD9" s="95" t="s">
        <v>129</v>
      </c>
      <c r="AE9" s="92"/>
      <c r="AF9" s="76" t="s">
        <v>48</v>
      </c>
      <c r="AG9" s="79"/>
      <c r="AH9" s="21"/>
      <c r="AI9" s="19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19"/>
      <c r="AU9" s="21"/>
      <c r="AV9" s="20"/>
    </row>
    <row r="10" spans="1:48" s="22" customFormat="1" x14ac:dyDescent="0.2">
      <c r="A10" s="80" t="s">
        <v>151</v>
      </c>
      <c r="B10" s="87" t="s">
        <v>148</v>
      </c>
      <c r="C10" s="80"/>
      <c r="D10" s="81"/>
      <c r="E10" s="90"/>
      <c r="F10" s="74"/>
      <c r="G10" s="74"/>
      <c r="H10" s="74"/>
      <c r="I10" s="74"/>
      <c r="J10" s="74"/>
      <c r="K10" s="93"/>
      <c r="L10" s="80"/>
      <c r="M10" s="74"/>
      <c r="N10" s="74"/>
      <c r="O10" s="81"/>
      <c r="P10" s="90"/>
      <c r="Q10" s="74"/>
      <c r="R10" s="74"/>
      <c r="S10" s="93"/>
      <c r="T10" s="80">
        <v>86400</v>
      </c>
      <c r="U10" s="81" t="s">
        <v>71</v>
      </c>
      <c r="V10" s="90"/>
      <c r="W10" s="74"/>
      <c r="X10" s="74"/>
      <c r="Y10" s="93"/>
      <c r="Z10" s="99">
        <v>8.1</v>
      </c>
      <c r="AA10" s="75">
        <v>32.1</v>
      </c>
      <c r="AB10" s="75"/>
      <c r="AC10" s="100"/>
      <c r="AD10" s="96" t="s">
        <v>129</v>
      </c>
      <c r="AE10" s="93"/>
      <c r="AF10" s="80" t="s">
        <v>47</v>
      </c>
      <c r="AG10" s="81"/>
      <c r="AH10" s="21"/>
      <c r="AI10" s="19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19"/>
      <c r="AU10" s="21"/>
      <c r="AV10" s="20"/>
    </row>
    <row r="11" spans="1:48" s="22" customFormat="1" x14ac:dyDescent="0.2">
      <c r="A11" s="80" t="s">
        <v>154</v>
      </c>
      <c r="B11" s="87" t="s">
        <v>131</v>
      </c>
      <c r="C11" s="80"/>
      <c r="D11" s="81"/>
      <c r="E11" s="90"/>
      <c r="F11" s="74"/>
      <c r="G11" s="74"/>
      <c r="H11" s="74"/>
      <c r="I11" s="74"/>
      <c r="J11" s="74"/>
      <c r="K11" s="93"/>
      <c r="L11" s="80"/>
      <c r="M11" s="74"/>
      <c r="N11" s="74"/>
      <c r="O11" s="81"/>
      <c r="P11" s="90"/>
      <c r="Q11" s="74"/>
      <c r="R11" s="74"/>
      <c r="S11" s="93"/>
      <c r="T11" s="80">
        <v>86400</v>
      </c>
      <c r="U11" s="81" t="s">
        <v>71</v>
      </c>
      <c r="V11" s="90"/>
      <c r="W11" s="74"/>
      <c r="X11" s="74"/>
      <c r="Y11" s="93"/>
      <c r="Z11" s="99">
        <v>8.1</v>
      </c>
      <c r="AA11" s="75">
        <v>32.1</v>
      </c>
      <c r="AB11" s="74"/>
      <c r="AC11" s="81"/>
      <c r="AD11" s="96" t="s">
        <v>129</v>
      </c>
      <c r="AE11" s="93"/>
      <c r="AF11" s="80" t="s">
        <v>47</v>
      </c>
      <c r="AG11" s="81"/>
      <c r="AH11" s="21"/>
      <c r="AI11" s="19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19"/>
      <c r="AU11" s="21"/>
      <c r="AV11" s="20"/>
    </row>
    <row r="12" spans="1:48" s="22" customFormat="1" ht="25.5" x14ac:dyDescent="0.2">
      <c r="A12" s="80" t="s">
        <v>155</v>
      </c>
      <c r="B12" s="87" t="s">
        <v>157</v>
      </c>
      <c r="C12" s="80"/>
      <c r="D12" s="81"/>
      <c r="E12" s="90"/>
      <c r="F12" s="74"/>
      <c r="G12" s="74"/>
      <c r="H12" s="74"/>
      <c r="I12" s="74"/>
      <c r="J12" s="74"/>
      <c r="K12" s="93"/>
      <c r="L12" s="80"/>
      <c r="M12" s="74"/>
      <c r="N12" s="74"/>
      <c r="O12" s="81"/>
      <c r="P12" s="90"/>
      <c r="Q12" s="74"/>
      <c r="R12" s="74"/>
      <c r="S12" s="93"/>
      <c r="T12" s="80">
        <v>86400</v>
      </c>
      <c r="U12" s="81" t="s">
        <v>71</v>
      </c>
      <c r="V12" s="90"/>
      <c r="W12" s="74"/>
      <c r="X12" s="74"/>
      <c r="Y12" s="93"/>
      <c r="Z12" s="99" t="s">
        <v>141</v>
      </c>
      <c r="AA12" s="75">
        <v>32.1</v>
      </c>
      <c r="AB12" s="75"/>
      <c r="AC12" s="100"/>
      <c r="AD12" s="96" t="s">
        <v>129</v>
      </c>
      <c r="AE12" s="93"/>
      <c r="AF12" s="80" t="s">
        <v>47</v>
      </c>
      <c r="AG12" s="81"/>
      <c r="AH12" s="21"/>
      <c r="AI12" s="19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19"/>
      <c r="AU12" s="21"/>
      <c r="AV12" s="20"/>
    </row>
    <row r="13" spans="1:48" s="22" customFormat="1" x14ac:dyDescent="0.2">
      <c r="A13" s="80" t="s">
        <v>152</v>
      </c>
      <c r="B13" s="87" t="s">
        <v>142</v>
      </c>
      <c r="C13" s="80"/>
      <c r="D13" s="81"/>
      <c r="E13" s="90"/>
      <c r="F13" s="74"/>
      <c r="G13" s="74"/>
      <c r="H13" s="74"/>
      <c r="I13" s="74"/>
      <c r="J13" s="74"/>
      <c r="K13" s="93"/>
      <c r="L13" s="80"/>
      <c r="M13" s="74"/>
      <c r="N13" s="74"/>
      <c r="O13" s="81"/>
      <c r="P13" s="90"/>
      <c r="Q13" s="74"/>
      <c r="R13" s="74"/>
      <c r="S13" s="93"/>
      <c r="T13" s="80">
        <v>86400</v>
      </c>
      <c r="U13" s="81" t="s">
        <v>71</v>
      </c>
      <c r="V13" s="90"/>
      <c r="W13" s="74"/>
      <c r="X13" s="74"/>
      <c r="Y13" s="93"/>
      <c r="Z13" s="99">
        <v>8.1</v>
      </c>
      <c r="AA13" s="75" t="s">
        <v>163</v>
      </c>
      <c r="AB13" s="74"/>
      <c r="AC13" s="81"/>
      <c r="AD13" s="96" t="s">
        <v>129</v>
      </c>
      <c r="AE13" s="93"/>
      <c r="AF13" s="80" t="s">
        <v>48</v>
      </c>
      <c r="AG13" s="81"/>
      <c r="AH13" s="21"/>
      <c r="AI13" s="19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19"/>
      <c r="AU13" s="21"/>
      <c r="AV13" s="20"/>
    </row>
    <row r="14" spans="1:48" s="22" customFormat="1" ht="13.5" thickBot="1" x14ac:dyDescent="0.25">
      <c r="A14" s="82" t="s">
        <v>161</v>
      </c>
      <c r="B14" s="88" t="s">
        <v>162</v>
      </c>
      <c r="C14" s="82"/>
      <c r="D14" s="85"/>
      <c r="E14" s="91"/>
      <c r="F14" s="83"/>
      <c r="G14" s="83"/>
      <c r="H14" s="83"/>
      <c r="I14" s="83"/>
      <c r="J14" s="83"/>
      <c r="K14" s="94"/>
      <c r="L14" s="82"/>
      <c r="M14" s="83"/>
      <c r="N14" s="83"/>
      <c r="O14" s="85"/>
      <c r="P14" s="91"/>
      <c r="Q14" s="83"/>
      <c r="R14" s="83"/>
      <c r="S14" s="94"/>
      <c r="T14" s="82">
        <v>86400</v>
      </c>
      <c r="U14" s="85" t="s">
        <v>71</v>
      </c>
      <c r="V14" s="91"/>
      <c r="W14" s="83"/>
      <c r="X14" s="83"/>
      <c r="Y14" s="94"/>
      <c r="Z14" s="101">
        <f>15-230*0.03</f>
        <v>8.1000000000000014</v>
      </c>
      <c r="AA14" s="84" t="s">
        <v>174</v>
      </c>
      <c r="AB14" s="83"/>
      <c r="AC14" s="85"/>
      <c r="AD14" s="97" t="s">
        <v>129</v>
      </c>
      <c r="AE14" s="94"/>
      <c r="AF14" s="82" t="s">
        <v>48</v>
      </c>
      <c r="AG14" s="85"/>
      <c r="AH14" s="21"/>
      <c r="AI14" s="19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19"/>
      <c r="AU14" s="21"/>
      <c r="AV14" s="20"/>
    </row>
    <row r="15" spans="1:48" s="22" customFormat="1" ht="13.5" thickBot="1" x14ac:dyDescent="0.25">
      <c r="A15" s="19" t="s">
        <v>57</v>
      </c>
      <c r="B15" s="55" t="s">
        <v>139</v>
      </c>
      <c r="C15" s="19"/>
      <c r="D15" s="20"/>
      <c r="E15" s="19"/>
      <c r="F15" s="21"/>
      <c r="G15" s="21"/>
      <c r="H15" s="21"/>
      <c r="I15" s="21"/>
      <c r="J15" s="21"/>
      <c r="K15" s="21"/>
      <c r="L15" s="19"/>
      <c r="M15" s="21"/>
      <c r="N15" s="21"/>
      <c r="O15" s="20"/>
      <c r="P15" s="21"/>
      <c r="Q15" s="21"/>
      <c r="R15" s="21"/>
      <c r="S15" s="21"/>
      <c r="T15" s="19">
        <v>86400</v>
      </c>
      <c r="U15" s="20" t="s">
        <v>71</v>
      </c>
      <c r="V15" s="21"/>
      <c r="W15" s="21"/>
      <c r="X15" s="21"/>
      <c r="Y15" s="20"/>
      <c r="Z15" s="39">
        <v>5.8</v>
      </c>
      <c r="AA15" s="39">
        <v>37.799999999999997</v>
      </c>
      <c r="AB15" s="21"/>
      <c r="AC15" s="21"/>
      <c r="AD15" s="38" t="s">
        <v>130</v>
      </c>
      <c r="AE15" s="20"/>
      <c r="AF15" s="21" t="s">
        <v>48</v>
      </c>
      <c r="AG15" s="20"/>
      <c r="AH15" s="21"/>
      <c r="AI15" s="19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9"/>
      <c r="AU15" s="21"/>
      <c r="AV15" s="20"/>
    </row>
    <row r="16" spans="1:48" s="57" customFormat="1" x14ac:dyDescent="0.2">
      <c r="A16" s="51" t="s">
        <v>156</v>
      </c>
      <c r="B16" s="63" t="s">
        <v>159</v>
      </c>
      <c r="T16" s="51"/>
      <c r="U16" s="53"/>
      <c r="Z16" s="51">
        <f>18-459*0.0196</f>
        <v>9.0036000000000005</v>
      </c>
      <c r="AA16" s="57">
        <f>18+(800-459)*0.0196</f>
        <v>24.683599999999998</v>
      </c>
      <c r="AC16" s="53"/>
      <c r="AD16" s="57" t="s">
        <v>158</v>
      </c>
      <c r="AF16" s="51" t="s">
        <v>47</v>
      </c>
      <c r="AG16" s="53"/>
    </row>
    <row r="17" spans="1:33" s="21" customFormat="1" x14ac:dyDescent="0.2">
      <c r="A17" s="19" t="s">
        <v>176</v>
      </c>
      <c r="B17" s="62" t="s">
        <v>160</v>
      </c>
      <c r="T17" s="19"/>
      <c r="U17" s="20"/>
      <c r="Z17" s="19" t="s">
        <v>141</v>
      </c>
      <c r="AA17" s="21">
        <f>18+(800-459)*0.0196</f>
        <v>24.683599999999998</v>
      </c>
      <c r="AC17" s="20"/>
      <c r="AF17" s="19" t="s">
        <v>47</v>
      </c>
      <c r="AG17" s="20"/>
    </row>
    <row r="18" spans="1:33" s="56" customFormat="1" ht="13.5" thickBot="1" x14ac:dyDescent="0.25">
      <c r="A18" s="52" t="s">
        <v>173</v>
      </c>
      <c r="B18" s="64" t="s">
        <v>175</v>
      </c>
      <c r="T18" s="52"/>
      <c r="U18" s="54"/>
      <c r="Z18" s="52" t="s">
        <v>141</v>
      </c>
      <c r="AA18" s="56">
        <f>-3*(24.836-9)/(800-0)</f>
        <v>-5.9384999999999993E-2</v>
      </c>
      <c r="AC18" s="54"/>
      <c r="AF18" s="52"/>
      <c r="AG18" s="54"/>
    </row>
    <row r="23" spans="1:33" x14ac:dyDescent="0.2">
      <c r="Z23" s="8">
        <f>(15-3)/2</f>
        <v>6</v>
      </c>
    </row>
  </sheetData>
  <mergeCells count="10">
    <mergeCell ref="V1:AC1"/>
    <mergeCell ref="V2:Y2"/>
    <mergeCell ref="Z2:AC2"/>
    <mergeCell ref="P2:S2"/>
    <mergeCell ref="L2:O2"/>
    <mergeCell ref="E2:K2"/>
    <mergeCell ref="T2:U2"/>
    <mergeCell ref="AT2:AV2"/>
    <mergeCell ref="AF2:AG2"/>
    <mergeCell ref="AD2:A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1" sqref="C41:C43"/>
    </sheetView>
  </sheetViews>
  <sheetFormatPr defaultColWidth="11.5703125" defaultRowHeight="15" x14ac:dyDescent="0.25"/>
  <sheetData>
    <row r="1" spans="1:8" s="1" customFormat="1" x14ac:dyDescent="0.25">
      <c r="A1" s="1" t="s">
        <v>43</v>
      </c>
      <c r="E1" s="1" t="s">
        <v>26</v>
      </c>
    </row>
    <row r="2" spans="1:8" x14ac:dyDescent="0.25">
      <c r="A2" s="2" t="s">
        <v>12</v>
      </c>
      <c r="B2" s="2">
        <v>0.06</v>
      </c>
      <c r="C2" s="2"/>
      <c r="D2" s="2"/>
      <c r="E2" s="3" t="s">
        <v>14</v>
      </c>
      <c r="F2" s="2">
        <v>11</v>
      </c>
      <c r="G2" s="2">
        <v>0</v>
      </c>
      <c r="H2" s="2" t="s">
        <v>15</v>
      </c>
    </row>
    <row r="3" spans="1:8" x14ac:dyDescent="0.25">
      <c r="A3" s="2" t="s">
        <v>13</v>
      </c>
      <c r="B3" s="2">
        <v>3</v>
      </c>
      <c r="C3" s="2"/>
      <c r="D3" s="2"/>
      <c r="E3" s="3" t="s">
        <v>16</v>
      </c>
      <c r="F3" s="4">
        <v>23</v>
      </c>
      <c r="G3" s="2">
        <v>460</v>
      </c>
      <c r="H3" s="2" t="s">
        <v>15</v>
      </c>
    </row>
    <row r="4" spans="1:8" x14ac:dyDescent="0.25">
      <c r="A4" s="3" t="s">
        <v>14</v>
      </c>
      <c r="B4" s="2">
        <v>15</v>
      </c>
      <c r="C4" s="2">
        <v>670</v>
      </c>
      <c r="D4" s="2" t="s">
        <v>15</v>
      </c>
      <c r="E4" s="2"/>
    </row>
    <row r="5" spans="1:8" x14ac:dyDescent="0.25">
      <c r="A5" s="3" t="s">
        <v>16</v>
      </c>
      <c r="B5" s="4" t="s">
        <v>17</v>
      </c>
      <c r="C5" s="2">
        <v>800</v>
      </c>
      <c r="D5" s="2" t="s">
        <v>15</v>
      </c>
      <c r="E5" s="2" t="s">
        <v>23</v>
      </c>
      <c r="F5">
        <f>(F2-F3)/(G2-G3)</f>
        <v>2.6086956521739129E-2</v>
      </c>
    </row>
    <row r="6" spans="1:8" x14ac:dyDescent="0.25">
      <c r="A6" s="2"/>
      <c r="B6" s="2" t="s">
        <v>18</v>
      </c>
      <c r="C6" s="2"/>
      <c r="D6" s="2"/>
      <c r="E6" s="2" t="s">
        <v>25</v>
      </c>
      <c r="F6">
        <f>B3*F5</f>
        <v>7.8260869565217384E-2</v>
      </c>
    </row>
    <row r="7" spans="1:8" x14ac:dyDescent="0.25">
      <c r="A7" s="2"/>
      <c r="B7" s="2" t="s">
        <v>19</v>
      </c>
      <c r="C7" s="2"/>
      <c r="D7" s="2"/>
      <c r="E7" s="2"/>
    </row>
    <row r="8" spans="1:8" x14ac:dyDescent="0.25">
      <c r="A8" s="2"/>
      <c r="B8" s="2" t="s">
        <v>20</v>
      </c>
      <c r="C8" s="2"/>
      <c r="D8" s="2"/>
      <c r="E8" s="6" t="s">
        <v>27</v>
      </c>
      <c r="F8" s="1">
        <f>F2-F5*G2</f>
        <v>11</v>
      </c>
      <c r="G8" s="1">
        <v>0</v>
      </c>
      <c r="H8" s="1" t="s">
        <v>15</v>
      </c>
    </row>
    <row r="9" spans="1:8" x14ac:dyDescent="0.25">
      <c r="A9" s="2"/>
      <c r="B9" s="2" t="s">
        <v>21</v>
      </c>
      <c r="C9" s="2"/>
      <c r="D9" s="2"/>
      <c r="E9" s="6" t="s">
        <v>28</v>
      </c>
      <c r="F9" s="1">
        <f>F8+F5*G9</f>
        <v>31.869565217391305</v>
      </c>
      <c r="G9" s="1">
        <v>800</v>
      </c>
      <c r="H9" s="1" t="s">
        <v>15</v>
      </c>
    </row>
    <row r="10" spans="1:8" x14ac:dyDescent="0.25">
      <c r="A10" s="2" t="s">
        <v>22</v>
      </c>
      <c r="B10" s="2">
        <f>B4-B2*(C4-C5)/B3</f>
        <v>17.600000000000001</v>
      </c>
      <c r="C10" s="2" t="s">
        <v>24</v>
      </c>
      <c r="D10" s="2"/>
      <c r="E10" s="2"/>
    </row>
    <row r="11" spans="1:8" x14ac:dyDescent="0.25">
      <c r="A11" s="2" t="s">
        <v>23</v>
      </c>
      <c r="B11" s="2">
        <f>(B10-B4)/(C5-C4)</f>
        <v>2.0000000000000011E-2</v>
      </c>
      <c r="C11" s="5"/>
      <c r="D11" s="2"/>
      <c r="E11" s="2"/>
    </row>
    <row r="13" spans="1:8" x14ac:dyDescent="0.25">
      <c r="A13" s="1" t="s">
        <v>44</v>
      </c>
      <c r="B13" s="1"/>
      <c r="C13" s="1"/>
      <c r="D13" s="1"/>
    </row>
    <row r="14" spans="1:8" x14ac:dyDescent="0.25">
      <c r="A14" s="3" t="s">
        <v>14</v>
      </c>
      <c r="B14" s="2">
        <v>10</v>
      </c>
      <c r="C14" s="2">
        <v>70</v>
      </c>
      <c r="D14" s="2" t="s">
        <v>15</v>
      </c>
    </row>
    <row r="15" spans="1:8" x14ac:dyDescent="0.25">
      <c r="A15" s="3" t="s">
        <v>16</v>
      </c>
      <c r="B15" s="4">
        <v>15</v>
      </c>
      <c r="C15" s="2">
        <v>230</v>
      </c>
      <c r="D15" s="2" t="s">
        <v>15</v>
      </c>
    </row>
    <row r="16" spans="1:8" x14ac:dyDescent="0.25">
      <c r="A16" s="2"/>
      <c r="B16" s="1"/>
      <c r="C16" s="1"/>
      <c r="D16" s="1"/>
    </row>
    <row r="17" spans="1:4" x14ac:dyDescent="0.25">
      <c r="A17" s="2" t="s">
        <v>23</v>
      </c>
      <c r="B17" s="1">
        <f>(B14-B15)/(C14-C15)</f>
        <v>3.125E-2</v>
      </c>
      <c r="C17" s="1"/>
      <c r="D17" s="1"/>
    </row>
    <row r="18" spans="1:4" x14ac:dyDescent="0.25">
      <c r="A18" s="2" t="s">
        <v>25</v>
      </c>
      <c r="B18" s="1">
        <f>B3*B17</f>
        <v>9.375E-2</v>
      </c>
      <c r="C18" s="1"/>
      <c r="D18" s="1"/>
    </row>
    <row r="20" spans="1:4" x14ac:dyDescent="0.25">
      <c r="A20" s="6" t="s">
        <v>27</v>
      </c>
      <c r="B20">
        <f>B14-B17*C14</f>
        <v>7.8125</v>
      </c>
      <c r="C20">
        <v>0</v>
      </c>
      <c r="D20" t="s">
        <v>15</v>
      </c>
    </row>
    <row r="21" spans="1:4" x14ac:dyDescent="0.25">
      <c r="A21" s="6" t="s">
        <v>28</v>
      </c>
      <c r="B21">
        <f>B20+B17*C21</f>
        <v>32.8125</v>
      </c>
      <c r="C21">
        <v>800</v>
      </c>
      <c r="D21" t="s">
        <v>15</v>
      </c>
    </row>
  </sheetData>
  <hyperlinks>
    <hyperlink ref="A4" r:id="rId1"/>
    <hyperlink ref="A5" r:id="rId2"/>
    <hyperlink ref="E2" r:id="rId3"/>
    <hyperlink ref="E3" r:id="rId4"/>
    <hyperlink ref="A14" r:id="rId5"/>
    <hyperlink ref="A15" r:id="rId6"/>
    <hyperlink ref="A20" r:id="rId7"/>
    <hyperlink ref="A21" r:id="rId8"/>
    <hyperlink ref="E8" r:id="rId9"/>
    <hyperlink ref="E9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18" sqref="B18"/>
    </sheetView>
  </sheetViews>
  <sheetFormatPr defaultColWidth="11.5703125" defaultRowHeight="15" x14ac:dyDescent="0.25"/>
  <cols>
    <col min="1" max="1" width="19" bestFit="1" customWidth="1"/>
    <col min="2" max="2" width="18.7109375" bestFit="1" customWidth="1"/>
  </cols>
  <sheetData>
    <row r="1" spans="1:19" s="1" customFormat="1" x14ac:dyDescent="0.25">
      <c r="A1" s="1" t="s">
        <v>78</v>
      </c>
      <c r="C1" s="1" t="s">
        <v>101</v>
      </c>
    </row>
    <row r="2" spans="1:19" x14ac:dyDescent="0.25">
      <c r="A2" t="s">
        <v>100</v>
      </c>
      <c r="C2" t="s">
        <v>102</v>
      </c>
      <c r="D2" t="s">
        <v>99</v>
      </c>
    </row>
    <row r="3" spans="1:19" x14ac:dyDescent="0.25">
      <c r="A3" t="s">
        <v>67</v>
      </c>
      <c r="C3" t="s">
        <v>70</v>
      </c>
      <c r="D3" t="s">
        <v>69</v>
      </c>
    </row>
    <row r="4" spans="1:19" s="1" customFormat="1" x14ac:dyDescent="0.25">
      <c r="A4" s="1" t="s">
        <v>79</v>
      </c>
      <c r="C4" s="1" t="s">
        <v>104</v>
      </c>
      <c r="D4" s="1" t="s">
        <v>105</v>
      </c>
    </row>
    <row r="5" spans="1:19" s="1" customFormat="1" x14ac:dyDescent="0.25"/>
    <row r="6" spans="1:19" s="1" customFormat="1" x14ac:dyDescent="0.25">
      <c r="A6" s="1" t="s">
        <v>66</v>
      </c>
      <c r="B6" s="1">
        <v>8000</v>
      </c>
      <c r="D6" s="1" t="s">
        <v>12</v>
      </c>
      <c r="E6" s="7">
        <v>1E-4</v>
      </c>
    </row>
    <row r="7" spans="1:19" s="1" customFormat="1" x14ac:dyDescent="0.25">
      <c r="A7" t="s">
        <v>65</v>
      </c>
      <c r="B7" s="7">
        <v>1.8E-5</v>
      </c>
      <c r="C7" t="s">
        <v>68</v>
      </c>
      <c r="D7" s="1" t="s">
        <v>66</v>
      </c>
      <c r="E7" s="7">
        <f>E6*B7/B8</f>
        <v>8241.7582417582416</v>
      </c>
    </row>
    <row r="8" spans="1:19" x14ac:dyDescent="0.25">
      <c r="A8" t="s">
        <v>13</v>
      </c>
      <c r="B8">
        <v>2.1840000000000001E-13</v>
      </c>
      <c r="C8" t="s">
        <v>64</v>
      </c>
    </row>
    <row r="9" spans="1:19" x14ac:dyDescent="0.25">
      <c r="A9" t="s">
        <v>12</v>
      </c>
      <c r="B9" s="7">
        <f>(B8*B6)/B7</f>
        <v>9.7066666666666677E-5</v>
      </c>
    </row>
    <row r="10" spans="1:19" ht="15.75" thickBot="1" x14ac:dyDescent="0.3"/>
    <row r="11" spans="1:19" ht="15.75" thickBot="1" x14ac:dyDescent="0.3">
      <c r="A11" s="25" t="s">
        <v>106</v>
      </c>
      <c r="B11" s="26"/>
      <c r="C11" s="27" t="s">
        <v>1</v>
      </c>
      <c r="D11" s="1"/>
      <c r="E11" s="1"/>
      <c r="H11" s="25" t="s">
        <v>106</v>
      </c>
      <c r="I11" s="26"/>
      <c r="J11" s="27" t="s">
        <v>168</v>
      </c>
      <c r="K11" s="1"/>
      <c r="L11" s="1"/>
    </row>
    <row r="12" spans="1:19" ht="15.75" thickBot="1" x14ac:dyDescent="0.3">
      <c r="A12" s="1"/>
      <c r="B12" s="1"/>
      <c r="C12" s="1"/>
      <c r="D12" s="1"/>
      <c r="E12" s="1"/>
      <c r="H12" s="1"/>
      <c r="I12" s="1"/>
      <c r="J12" s="1"/>
      <c r="K12" s="1"/>
      <c r="L12" s="1"/>
    </row>
    <row r="13" spans="1:19" ht="15.75" thickBot="1" x14ac:dyDescent="0.3">
      <c r="A13" s="1" t="s">
        <v>107</v>
      </c>
      <c r="B13" s="28">
        <v>0.1</v>
      </c>
      <c r="C13" s="1"/>
      <c r="D13" s="1"/>
      <c r="E13" s="1"/>
      <c r="H13" s="1" t="s">
        <v>107</v>
      </c>
      <c r="I13" s="28">
        <v>1</v>
      </c>
      <c r="J13" s="1"/>
      <c r="K13" s="1"/>
      <c r="L13" s="1"/>
    </row>
    <row r="14" spans="1:19" ht="15.75" thickBot="1" x14ac:dyDescent="0.3">
      <c r="A14" s="1" t="s">
        <v>108</v>
      </c>
      <c r="B14" s="28">
        <f>400*0.0000001*200/1000</f>
        <v>7.9999999999999996E-6</v>
      </c>
      <c r="C14" s="1" t="s">
        <v>75</v>
      </c>
      <c r="D14" s="1" t="s">
        <v>127</v>
      </c>
      <c r="E14" s="1"/>
      <c r="H14" s="1" t="s">
        <v>108</v>
      </c>
      <c r="I14" s="32">
        <v>1E-3</v>
      </c>
      <c r="J14" s="1" t="s">
        <v>75</v>
      </c>
      <c r="K14" s="1" t="s">
        <v>127</v>
      </c>
      <c r="L14" s="1"/>
      <c r="P14" s="30" t="s">
        <v>111</v>
      </c>
      <c r="Q14" s="30" t="s">
        <v>170</v>
      </c>
      <c r="R14" s="30" t="s">
        <v>171</v>
      </c>
      <c r="S14" s="30" t="s">
        <v>172</v>
      </c>
    </row>
    <row r="15" spans="1:19" x14ac:dyDescent="0.25">
      <c r="A15" s="1" t="s">
        <v>109</v>
      </c>
      <c r="B15" s="1">
        <v>400</v>
      </c>
      <c r="C15" s="1" t="s">
        <v>64</v>
      </c>
      <c r="D15" s="1"/>
      <c r="E15" s="1"/>
      <c r="H15" s="1" t="s">
        <v>109</v>
      </c>
      <c r="I15" s="1">
        <v>80</v>
      </c>
      <c r="J15" s="1" t="s">
        <v>64</v>
      </c>
      <c r="K15" s="1"/>
      <c r="L15" s="1"/>
      <c r="P15">
        <f>60*60*24</f>
        <v>86400</v>
      </c>
      <c r="Q15">
        <v>365</v>
      </c>
      <c r="R15" s="30" t="s">
        <v>169</v>
      </c>
      <c r="S15">
        <v>30</v>
      </c>
    </row>
    <row r="16" spans="1:19" x14ac:dyDescent="0.25">
      <c r="A16" s="1" t="s">
        <v>12</v>
      </c>
      <c r="B16" s="29">
        <f>B14/B15</f>
        <v>2E-8</v>
      </c>
      <c r="C16" s="1" t="s">
        <v>77</v>
      </c>
      <c r="D16" s="1"/>
      <c r="E16" s="1"/>
      <c r="H16" s="1" t="s">
        <v>12</v>
      </c>
      <c r="I16" s="29">
        <f>I14/I15</f>
        <v>1.2500000000000001E-5</v>
      </c>
      <c r="J16" s="1" t="s">
        <v>77</v>
      </c>
      <c r="K16" s="1"/>
      <c r="L16" s="1"/>
      <c r="P16">
        <f>60*60</f>
        <v>3600</v>
      </c>
      <c r="Q16">
        <f>24*365</f>
        <v>8760</v>
      </c>
      <c r="R16" s="30" t="s">
        <v>169</v>
      </c>
      <c r="S16">
        <f>24*30</f>
        <v>720</v>
      </c>
    </row>
    <row r="17" spans="1:12" s="1" customFormat="1" ht="15.75" thickBot="1" x14ac:dyDescent="0.3">
      <c r="A17" s="31" t="s">
        <v>103</v>
      </c>
      <c r="B17" s="29">
        <f>B16/B13</f>
        <v>1.9999999999999999E-7</v>
      </c>
      <c r="D17" s="1" t="s">
        <v>164</v>
      </c>
      <c r="E17" s="1" t="s">
        <v>165</v>
      </c>
      <c r="F17" s="1" t="s">
        <v>166</v>
      </c>
      <c r="H17" s="31" t="s">
        <v>103</v>
      </c>
      <c r="I17" s="29">
        <f>I16/I13</f>
        <v>1.2500000000000001E-5</v>
      </c>
      <c r="K17" s="1" t="s">
        <v>164</v>
      </c>
      <c r="L17" s="1" t="s">
        <v>165</v>
      </c>
    </row>
    <row r="18" spans="1:12" ht="15.75" thickBot="1" x14ac:dyDescent="0.3">
      <c r="A18" s="1" t="s">
        <v>110</v>
      </c>
      <c r="B18" s="28">
        <f>60*60*24</f>
        <v>86400</v>
      </c>
      <c r="C18" s="1" t="s">
        <v>111</v>
      </c>
      <c r="D18" s="1">
        <f>24*365</f>
        <v>8760</v>
      </c>
      <c r="E18" s="1">
        <f>60*60</f>
        <v>3600</v>
      </c>
      <c r="F18">
        <f>E18/30</f>
        <v>120</v>
      </c>
      <c r="H18" s="1" t="s">
        <v>110</v>
      </c>
      <c r="I18" s="28">
        <f>60*60</f>
        <v>3600</v>
      </c>
      <c r="J18" s="1" t="s">
        <v>111</v>
      </c>
      <c r="K18" s="1">
        <v>2160</v>
      </c>
      <c r="L18" s="1">
        <v>3600</v>
      </c>
    </row>
    <row r="19" spans="1:12" ht="15.75" thickBot="1" x14ac:dyDescent="0.3">
      <c r="A19" s="1" t="s">
        <v>112</v>
      </c>
      <c r="B19" s="33">
        <v>2</v>
      </c>
      <c r="C19" s="1" t="s">
        <v>15</v>
      </c>
      <c r="D19" s="1"/>
      <c r="E19" s="1"/>
      <c r="H19" s="1" t="s">
        <v>112</v>
      </c>
      <c r="I19" s="33">
        <f>6/3.5</f>
        <v>1.7142857142857142</v>
      </c>
      <c r="J19" s="1" t="s">
        <v>15</v>
      </c>
      <c r="K19" s="1"/>
      <c r="L19" s="1"/>
    </row>
    <row r="20" spans="1:12" ht="15.75" thickBot="1" x14ac:dyDescent="0.3">
      <c r="A20" s="1" t="s">
        <v>126</v>
      </c>
      <c r="B20" s="32">
        <f>3.14/(950*2650)</f>
        <v>1.2472691161866931E-6</v>
      </c>
      <c r="C20" s="1" t="s">
        <v>15</v>
      </c>
      <c r="D20" s="1"/>
      <c r="E20" s="1"/>
      <c r="H20" s="1" t="s">
        <v>126</v>
      </c>
      <c r="I20" s="32">
        <f>0.31/(1500*1380)</f>
        <v>1.497584541062802E-7</v>
      </c>
      <c r="J20" s="1" t="s">
        <v>15</v>
      </c>
      <c r="K20" s="1"/>
      <c r="L20" s="1"/>
    </row>
    <row r="21" spans="1:12" x14ac:dyDescent="0.25">
      <c r="A21" s="1" t="s">
        <v>167</v>
      </c>
      <c r="B21" s="7">
        <v>0.5</v>
      </c>
      <c r="C21" s="1" t="s">
        <v>15</v>
      </c>
      <c r="D21" s="1"/>
      <c r="E21" s="1"/>
      <c r="H21" s="1" t="s">
        <v>167</v>
      </c>
      <c r="I21" s="7">
        <v>0.5</v>
      </c>
      <c r="J21" s="1" t="s">
        <v>15</v>
      </c>
      <c r="K21" s="1"/>
      <c r="L21" s="1"/>
    </row>
    <row r="22" spans="1:12" s="1" customFormat="1" x14ac:dyDescent="0.25">
      <c r="A22" s="31" t="s">
        <v>177</v>
      </c>
      <c r="B22" s="7">
        <v>0.5</v>
      </c>
      <c r="I22" s="7"/>
    </row>
    <row r="23" spans="1:12" s="1" customFormat="1" x14ac:dyDescent="0.25">
      <c r="A23" s="31" t="s">
        <v>178</v>
      </c>
      <c r="B23" s="7">
        <f>B20+B21*B17</f>
        <v>1.3472691161866933E-6</v>
      </c>
      <c r="H23" s="31" t="s">
        <v>128</v>
      </c>
      <c r="I23" s="7">
        <f>I20+I21*I17</f>
        <v>6.3997584541062802E-6</v>
      </c>
    </row>
    <row r="24" spans="1:12" x14ac:dyDescent="0.25">
      <c r="A24" s="34" t="s">
        <v>113</v>
      </c>
      <c r="B24" s="35">
        <f>B19*B19/2</f>
        <v>2</v>
      </c>
      <c r="C24" s="34" t="s">
        <v>114</v>
      </c>
      <c r="D24" s="1"/>
      <c r="E24" s="1"/>
      <c r="H24" s="34" t="s">
        <v>113</v>
      </c>
      <c r="I24" s="35">
        <f>I19*I19/2</f>
        <v>1.4693877551020407</v>
      </c>
      <c r="J24" s="34" t="s">
        <v>114</v>
      </c>
      <c r="K24" s="1"/>
      <c r="L24" s="1"/>
    </row>
    <row r="25" spans="1:12" x14ac:dyDescent="0.25">
      <c r="A25" s="34" t="s">
        <v>115</v>
      </c>
      <c r="B25" s="35">
        <f>B24*B13</f>
        <v>0.2</v>
      </c>
      <c r="C25" s="34" t="s">
        <v>116</v>
      </c>
      <c r="D25" s="1"/>
      <c r="E25" s="1"/>
      <c r="H25" s="34" t="s">
        <v>115</v>
      </c>
      <c r="I25" s="35">
        <f>I24*I13</f>
        <v>1.4693877551020407</v>
      </c>
      <c r="J25" s="34" t="s">
        <v>116</v>
      </c>
      <c r="K25" s="1"/>
      <c r="L25" s="1"/>
    </row>
    <row r="26" spans="1:12" x14ac:dyDescent="0.25">
      <c r="A26" s="34" t="s">
        <v>117</v>
      </c>
      <c r="B26" s="34">
        <f>B14*B18</f>
        <v>0.69119999999999993</v>
      </c>
      <c r="C26" s="34" t="s">
        <v>75</v>
      </c>
      <c r="D26" s="1"/>
      <c r="E26" s="1"/>
      <c r="H26" s="34" t="s">
        <v>117</v>
      </c>
      <c r="I26" s="34">
        <f>I14*I18</f>
        <v>3.6</v>
      </c>
      <c r="J26" s="34" t="s">
        <v>75</v>
      </c>
      <c r="K26" s="1"/>
      <c r="L26" s="1"/>
    </row>
    <row r="27" spans="1:12" ht="15.75" thickBot="1" x14ac:dyDescent="0.3">
      <c r="A27" s="1"/>
      <c r="B27" s="1"/>
      <c r="C27" s="1"/>
      <c r="D27" s="1"/>
      <c r="E27" s="1"/>
      <c r="H27" s="1"/>
      <c r="I27" s="1"/>
      <c r="J27" s="1"/>
      <c r="K27" s="1"/>
      <c r="L27" s="1"/>
    </row>
    <row r="28" spans="1:12" x14ac:dyDescent="0.25">
      <c r="A28" s="65" t="s">
        <v>10</v>
      </c>
      <c r="B28" s="66">
        <f>B17*B18/B19</f>
        <v>8.6400000000000001E-3</v>
      </c>
      <c r="C28" s="67" t="s">
        <v>118</v>
      </c>
      <c r="D28" s="1" t="s">
        <v>119</v>
      </c>
      <c r="E28" s="1"/>
      <c r="H28" s="65" t="s">
        <v>10</v>
      </c>
      <c r="I28" s="66">
        <f>I17*I18/I19</f>
        <v>2.6250000000000006E-2</v>
      </c>
      <c r="J28" s="67" t="s">
        <v>118</v>
      </c>
      <c r="K28" s="1" t="s">
        <v>119</v>
      </c>
      <c r="L28" s="1"/>
    </row>
    <row r="29" spans="1:12" x14ac:dyDescent="0.25">
      <c r="A29" s="68" t="s">
        <v>9</v>
      </c>
      <c r="B29" s="69">
        <f>B23*B18/(B19*B19)</f>
        <v>2.9101012909632573E-2</v>
      </c>
      <c r="C29" s="70" t="s">
        <v>120</v>
      </c>
      <c r="D29" s="1" t="s">
        <v>121</v>
      </c>
      <c r="E29" s="1"/>
      <c r="H29" s="68" t="s">
        <v>9</v>
      </c>
      <c r="I29" s="69">
        <f>I23*I18/(I19*I19)</f>
        <v>7.8397041062801941E-3</v>
      </c>
      <c r="J29" s="70" t="s">
        <v>120</v>
      </c>
      <c r="K29" s="1" t="s">
        <v>121</v>
      </c>
      <c r="L29" s="1"/>
    </row>
    <row r="30" spans="1:12" ht="15.75" thickBot="1" x14ac:dyDescent="0.3">
      <c r="A30" s="71" t="s">
        <v>58</v>
      </c>
      <c r="B30" s="72">
        <f>B17*B19/B23</f>
        <v>0.29689688214048793</v>
      </c>
      <c r="C30" s="73">
        <f>B19/B21</f>
        <v>4</v>
      </c>
      <c r="D30" s="1" t="s">
        <v>122</v>
      </c>
      <c r="E30" s="1" t="s">
        <v>123</v>
      </c>
      <c r="H30" s="71" t="s">
        <v>58</v>
      </c>
      <c r="I30" s="72">
        <f>I17*I19/I23</f>
        <v>3.3483406572668697</v>
      </c>
      <c r="J30" s="73">
        <f>I19/I21</f>
        <v>3.4285714285714284</v>
      </c>
      <c r="K30" s="1" t="s">
        <v>122</v>
      </c>
      <c r="L30" s="1" t="s">
        <v>123</v>
      </c>
    </row>
    <row r="31" spans="1:12" x14ac:dyDescent="0.25">
      <c r="A31" s="1"/>
      <c r="B31" s="1"/>
      <c r="C31" s="1"/>
      <c r="D31" s="1" t="s">
        <v>124</v>
      </c>
      <c r="E31" s="1" t="s">
        <v>125</v>
      </c>
      <c r="H31" s="1"/>
      <c r="I31" s="1"/>
      <c r="J31" s="1"/>
      <c r="K31" s="1" t="s">
        <v>124</v>
      </c>
      <c r="L31" s="1" t="s">
        <v>125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</vt:lpstr>
      <vt:lpstr>Gradient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2020-01-26T08:26:45Z</dcterms:created>
  <dcterms:modified xsi:type="dcterms:W3CDTF">2020-04-15T10:09:10Z</dcterms:modified>
</cp:coreProperties>
</file>