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en\Documents\phD\Data_phD\BHE_Paper\"/>
    </mc:Choice>
  </mc:AlternateContent>
  <xr:revisionPtr revIDLastSave="0" documentId="13_ncr:1_{E88DE89C-4CF2-476A-8BFF-AC156F5D377B}" xr6:coauthVersionLast="46" xr6:coauthVersionMax="46" xr10:uidLastSave="{00000000-0000-0000-0000-000000000000}"/>
  <bookViews>
    <workbookView xWindow="12" yWindow="12" windowWidth="16296" windowHeight="8736" activeTab="1" xr2:uid="{73875DB1-B17C-473F-B81D-6A5CAFF304B5}"/>
  </bookViews>
  <sheets>
    <sheet name="Feuil1" sheetId="1" r:id="rId1"/>
    <sheet name="Feuil2" sheetId="2" r:id="rId2"/>
    <sheet name="Feuil3" sheetId="3" r:id="rId3"/>
    <sheet name="Feuil4" sheetId="4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F15" i="4"/>
  <c r="J16" i="4"/>
  <c r="J15" i="4"/>
  <c r="J11" i="4"/>
  <c r="F4" i="4"/>
  <c r="F3" i="4"/>
  <c r="J4" i="4"/>
  <c r="J3" i="4"/>
  <c r="A15" i="3"/>
  <c r="F19" i="3"/>
  <c r="F18" i="3"/>
  <c r="A12" i="3"/>
  <c r="A14" i="3" s="1"/>
  <c r="D16" i="3"/>
  <c r="D17" i="3" s="1"/>
  <c r="D2" i="3"/>
  <c r="A11" i="3"/>
  <c r="A5" i="3"/>
  <c r="D3" i="3"/>
  <c r="D4" i="3"/>
  <c r="D5" i="3"/>
  <c r="D6" i="3"/>
  <c r="D7" i="3"/>
  <c r="D8" i="3"/>
  <c r="D9" i="3"/>
  <c r="D10" i="3"/>
  <c r="D11" i="3"/>
  <c r="D12" i="3"/>
  <c r="D13" i="3"/>
  <c r="F10" i="3"/>
  <c r="A8" i="3"/>
  <c r="A7" i="3"/>
  <c r="A13" i="3" l="1"/>
  <c r="F29" i="3" l="1"/>
  <c r="A17" i="3"/>
  <c r="A4" i="3"/>
  <c r="C10" i="3" s="1"/>
  <c r="A3" i="3"/>
  <c r="G2" i="3"/>
  <c r="F2" i="3"/>
  <c r="H2" i="3" s="1"/>
  <c r="I2" i="3" s="1"/>
  <c r="E2" i="3"/>
  <c r="B24" i="2"/>
  <c r="B25" i="2" s="1"/>
  <c r="B26" i="2" s="1"/>
  <c r="C14" i="2"/>
  <c r="C15" i="2" s="1"/>
  <c r="C7" i="2"/>
  <c r="C8" i="2" s="1"/>
  <c r="C9" i="2" s="1"/>
  <c r="C10" i="2" s="1"/>
  <c r="B4" i="2"/>
  <c r="C4" i="2" s="1"/>
  <c r="C6" i="2" s="1"/>
  <c r="A4" i="2"/>
  <c r="B10" i="1"/>
  <c r="B7" i="1"/>
  <c r="B12" i="1"/>
  <c r="B13" i="1" s="1"/>
  <c r="B14" i="1" s="1"/>
  <c r="G10" i="3" l="1"/>
  <c r="H10" i="3"/>
  <c r="I10" i="3" s="1"/>
  <c r="E10" i="3"/>
  <c r="C5" i="3"/>
  <c r="C9" i="3"/>
  <c r="C3" i="3"/>
  <c r="C8" i="3"/>
  <c r="C12" i="3"/>
  <c r="C13" i="3"/>
  <c r="C4" i="3"/>
  <c r="C7" i="3"/>
  <c r="C11" i="3"/>
  <c r="C6" i="3"/>
  <c r="C22" i="2"/>
  <c r="E15" i="2"/>
  <c r="D15" i="2"/>
  <c r="E7" i="2"/>
  <c r="E8" i="2" s="1"/>
  <c r="E9" i="2" s="1"/>
  <c r="E10" i="2" s="1"/>
  <c r="F7" i="3" l="1"/>
  <c r="E7" i="3"/>
  <c r="G7" i="3"/>
  <c r="G4" i="3"/>
  <c r="F4" i="3"/>
  <c r="H4" i="3" s="1"/>
  <c r="I4" i="3" s="1"/>
  <c r="E4" i="3"/>
  <c r="E13" i="3"/>
  <c r="G13" i="3"/>
  <c r="F13" i="3"/>
  <c r="G12" i="3"/>
  <c r="F12" i="3"/>
  <c r="H12" i="3" s="1"/>
  <c r="I12" i="3" s="1"/>
  <c r="E12" i="3"/>
  <c r="G8" i="3"/>
  <c r="F8" i="3"/>
  <c r="H8" i="3" s="1"/>
  <c r="I8" i="3" s="1"/>
  <c r="E8" i="3"/>
  <c r="E9" i="3"/>
  <c r="G9" i="3"/>
  <c r="F9" i="3"/>
  <c r="H9" i="3" s="1"/>
  <c r="I9" i="3" s="1"/>
  <c r="F3" i="3"/>
  <c r="G3" i="3"/>
  <c r="E3" i="3"/>
  <c r="F6" i="3"/>
  <c r="E6" i="3"/>
  <c r="G6" i="3"/>
  <c r="F11" i="3"/>
  <c r="G11" i="3"/>
  <c r="E11" i="3"/>
  <c r="E5" i="3"/>
  <c r="G5" i="3"/>
  <c r="F5" i="3"/>
  <c r="H5" i="3" s="1"/>
  <c r="I5" i="3" s="1"/>
  <c r="C28" i="2"/>
  <c r="C29" i="2" s="1"/>
  <c r="C30" i="2" s="1"/>
  <c r="E24" i="2"/>
  <c r="E25" i="2" s="1"/>
  <c r="E26" i="2" s="1"/>
  <c r="D24" i="2"/>
  <c r="D25" i="2" s="1"/>
  <c r="D26" i="2" s="1"/>
  <c r="C24" i="2"/>
  <c r="C25" i="2" s="1"/>
  <c r="C26" i="2" s="1"/>
  <c r="H3" i="3" l="1"/>
  <c r="I3" i="3" s="1"/>
  <c r="H13" i="3"/>
  <c r="I13" i="3" s="1"/>
  <c r="A18" i="3"/>
  <c r="B18" i="3" s="1"/>
  <c r="H11" i="3"/>
  <c r="I11" i="3" s="1"/>
  <c r="H7" i="3"/>
  <c r="I7" i="3" s="1"/>
  <c r="H6" i="3"/>
  <c r="I6" i="3" s="1"/>
</calcChain>
</file>

<file path=xl/sharedStrings.xml><?xml version="1.0" encoding="utf-8"?>
<sst xmlns="http://schemas.openxmlformats.org/spreadsheetml/2006/main" count="74" uniqueCount="59">
  <si>
    <t>alpha</t>
  </si>
  <si>
    <t>lamda</t>
  </si>
  <si>
    <t>porosity</t>
  </si>
  <si>
    <t>lambda w</t>
  </si>
  <si>
    <t>lamnda c</t>
  </si>
  <si>
    <t>cw</t>
  </si>
  <si>
    <t>cr</t>
  </si>
  <si>
    <t>c</t>
  </si>
  <si>
    <t>dw</t>
  </si>
  <si>
    <t>dr</t>
  </si>
  <si>
    <t>d</t>
  </si>
  <si>
    <t>gamma</t>
  </si>
  <si>
    <t>W/°C.m</t>
  </si>
  <si>
    <t>kg/m3</t>
  </si>
  <si>
    <t>J/kg.C</t>
  </si>
  <si>
    <t>DT</t>
  </si>
  <si>
    <t>J</t>
  </si>
  <si>
    <t>m3</t>
  </si>
  <si>
    <t>m²</t>
  </si>
  <si>
    <t xml:space="preserve">A = pi r² </t>
  </si>
  <si>
    <t xml:space="preserve">m </t>
  </si>
  <si>
    <t>gradient</t>
  </si>
  <si>
    <t>W/m²</t>
  </si>
  <si>
    <t>BHE length</t>
  </si>
  <si>
    <t>AREA</t>
  </si>
  <si>
    <t>radius impact</t>
  </si>
  <si>
    <t>geothermal %</t>
  </si>
  <si>
    <t>solar %</t>
  </si>
  <si>
    <t>total recharge</t>
  </si>
  <si>
    <t>radial heat flux</t>
  </si>
  <si>
    <t>geothermal flux</t>
  </si>
  <si>
    <t>40m BHE</t>
  </si>
  <si>
    <t>1D</t>
  </si>
  <si>
    <t>3D</t>
  </si>
  <si>
    <t>3D INCLUDING UNDERLYING/OVERLYING ROCK</t>
  </si>
  <si>
    <t>100m BHE</t>
  </si>
  <si>
    <t>t1 - 29m²</t>
  </si>
  <si>
    <t>t30 - 872 m²</t>
  </si>
  <si>
    <t>BHE x&lt;4,8</t>
  </si>
  <si>
    <t>inner/outer x&lt;26,3</t>
  </si>
  <si>
    <t>BHE x&lt;3</t>
  </si>
  <si>
    <t>inner/outer x&lt;16,6</t>
  </si>
  <si>
    <t>t1 - 73 m²</t>
  </si>
  <si>
    <t>inner/outer x&lt;150</t>
  </si>
  <si>
    <t>over/underlying</t>
  </si>
  <si>
    <t>1D - axial (OUT)</t>
  </si>
  <si>
    <t>t30 - 872 m² -deep</t>
  </si>
  <si>
    <t>t1 - 188m²</t>
  </si>
  <si>
    <t>t30 - 188m²</t>
  </si>
  <si>
    <t>inner/outer x&lt;8</t>
  </si>
  <si>
    <t>t30 -2180 m²</t>
  </si>
  <si>
    <t>Within the first year (no axial recharge): about 20% of heat source from the BHE area and 90% within x &lt; 16,6 m</t>
  </si>
  <si>
    <t>outside</t>
  </si>
  <si>
    <t>After 30 years (no axial recharge): only 1,7% of heat source from the BHE area and 25% within x &lt; 16,6 m</t>
  </si>
  <si>
    <t>Axial recharge provide &lt;5% recharge within the first year and 18% recharge after 30 years</t>
  </si>
  <si>
    <t>For a 100-m BHE</t>
  </si>
  <si>
    <t>Increasing the borehole depth increases the contribution from axial recharge after 30 years (up to 22%)</t>
  </si>
  <si>
    <t xml:space="preserve">The area located with the single property can provide only 60% of the energy withing the first year and &lt;10% after 30 years </t>
  </si>
  <si>
    <t>The smaller the BHE the greater the axial recharge (up to 10% afte a year and 40% after 10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</si>
</sst>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2" borderId="0" xfId="0" applyFill="1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/>
    <xf numFmtId="9" fontId="0" fillId="2" borderId="0" xfId="0" applyNumberFormat="1" applyFill="1"/>
    <xf numFmtId="9" fontId="0" fillId="0" borderId="0" xfId="0" applyNumberFormat="1" applyFill="1"/>
    <xf numFmtId="9" fontId="1" fillId="2" borderId="0" xfId="0" applyNumberFormat="1" applyFont="1" applyFill="1"/>
    <xf numFmtId="9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/>
    </xf>
    <xf numFmtId="9" fontId="3" fillId="0" borderId="0" xfId="0" applyNumberFormat="1" applyFont="1" applyFill="1" applyAlignment="1">
      <alignment horizontal="right"/>
    </xf>
    <xf numFmtId="9" fontId="2" fillId="0" borderId="0" xfId="0" applyNumberFormat="1" applyFont="1"/>
    <xf numFmtId="9" fontId="1" fillId="0" borderId="0" xfId="0" applyNumberFormat="1" applyFont="1" applyFill="1" applyAlignment="1">
      <alignment horizontal="right"/>
    </xf>
    <xf numFmtId="164" fontId="1" fillId="0" borderId="0" xfId="0" applyNumberFormat="1" applyFont="1"/>
    <xf numFmtId="10" fontId="1" fillId="0" borderId="0" xfId="0" applyNumberFormat="1" applyFont="1"/>
    <xf numFmtId="164" fontId="2" fillId="0" borderId="0" xfId="0" applyNumberFormat="1" applyFont="1" applyFill="1" applyAlignment="1">
      <alignment horizontal="right"/>
    </xf>
    <xf numFmtId="9" fontId="2" fillId="0" borderId="0" xfId="0" applyNumberFormat="1" applyFont="1" applyFill="1"/>
    <xf numFmtId="9" fontId="1" fillId="0" borderId="0" xfId="0" applyNumberFormat="1" applyFont="1" applyFill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[1]Feuil2!$B$3:$B$13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[1]Feuil2!$D$3:$D$13</c:f>
              <c:numCache>
                <c:formatCode>General</c:formatCode>
                <c:ptCount val="11"/>
                <c:pt idx="0">
                  <c:v>6.8017729627564538</c:v>
                </c:pt>
                <c:pt idx="1">
                  <c:v>5.5536243683372941</c:v>
                </c:pt>
                <c:pt idx="2">
                  <c:v>4.8095797860564025</c:v>
                </c:pt>
                <c:pt idx="3">
                  <c:v>4.3018189379324046</c:v>
                </c:pt>
                <c:pt idx="4">
                  <c:v>3.927005451014157</c:v>
                </c:pt>
                <c:pt idx="5">
                  <c:v>3.6357005784652801</c:v>
                </c:pt>
                <c:pt idx="6">
                  <c:v>3.4008864813782269</c:v>
                </c:pt>
                <c:pt idx="7">
                  <c:v>3.2063865240376019</c:v>
                </c:pt>
                <c:pt idx="8">
                  <c:v>3.0418453424487151</c:v>
                </c:pt>
                <c:pt idx="9">
                  <c:v>2.9002857362957974</c:v>
                </c:pt>
                <c:pt idx="10">
                  <c:v>2.7768121841686471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6-47EF-B1F8-926569DC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60688"/>
        <c:axId val="456470288"/>
      </c:scatterChart>
      <c:valAx>
        <c:axId val="45646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0288"/>
        <c:crosses val="autoZero"/>
        <c:crossBetween val="midCat"/>
      </c:valAx>
      <c:valAx>
        <c:axId val="4564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6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472440</xdr:colOff>
      <xdr:row>1</xdr:row>
      <xdr:rowOff>45720</xdr:rowOff>
    </xdr:from>
    <xdr:to>
      <xdr:col>15</xdr:col>
      <xdr:colOff>289560</xdr:colOff>
      <xdr:row>16</xdr:row>
      <xdr:rowOff>45720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713DB5D-2357-476D-B595-4B7CB8E7D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eu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</sheetNames>
    <sheetDataSet>
      <sheetData sheetId="0"/>
      <sheetData sheetId="1">
        <row r="3">
          <cell r="B3">
            <v>20</v>
          </cell>
          <cell r="D3">
            <v>6.8017729627564538</v>
          </cell>
        </row>
        <row r="4">
          <cell r="B4">
            <v>30</v>
          </cell>
          <cell r="D4">
            <v>5.5536243683372941</v>
          </cell>
        </row>
        <row r="5">
          <cell r="B5">
            <v>40</v>
          </cell>
          <cell r="D5">
            <v>4.8095797860564025</v>
          </cell>
        </row>
        <row r="6">
          <cell r="B6">
            <v>50</v>
          </cell>
          <cell r="D6">
            <v>4.3018189379324046</v>
          </cell>
        </row>
        <row r="7">
          <cell r="B7">
            <v>60</v>
          </cell>
          <cell r="D7">
            <v>3.927005451014157</v>
          </cell>
        </row>
        <row r="8">
          <cell r="B8">
            <v>70</v>
          </cell>
          <cell r="D8">
            <v>3.6357005784652801</v>
          </cell>
        </row>
        <row r="9">
          <cell r="B9">
            <v>80</v>
          </cell>
          <cell r="D9">
            <v>3.4008864813782269</v>
          </cell>
        </row>
        <row r="10">
          <cell r="B10">
            <v>90</v>
          </cell>
          <cell r="D10">
            <v>3.2063865240376019</v>
          </cell>
        </row>
        <row r="11">
          <cell r="B11">
            <v>100</v>
          </cell>
          <cell r="D11">
            <v>3.0418453424487151</v>
          </cell>
        </row>
        <row r="12">
          <cell r="B12">
            <v>110</v>
          </cell>
          <cell r="D12">
            <v>2.9002857362957974</v>
          </cell>
        </row>
        <row r="13">
          <cell r="B13">
            <v>120</v>
          </cell>
          <cell r="D13">
            <v>2.7768121841686471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6461-620C-4A8C-BEB2-E971EB625F3B}">
  <dimension ref="A1:C14"/>
  <sheetViews>
    <sheetView workbookViewId="0">
      <selection activeCell="B5" sqref="B5"/>
    </sheetView>
  </sheetViews>
  <sheetFormatPr baseColWidth="10" defaultRowHeight="14.4" x14ac:dyDescent="0.3"/>
  <cols>
    <col min="2" max="2" width="12" bestFit="1" customWidth="1"/>
  </cols>
  <sheetData>
    <row r="1" spans="1:3" x14ac:dyDescent="0.3">
      <c r="A1" t="s">
        <v>2</v>
      </c>
      <c r="B1">
        <v>0.1</v>
      </c>
    </row>
    <row r="2" spans="1:3" x14ac:dyDescent="0.3">
      <c r="A2" t="s">
        <v>3</v>
      </c>
      <c r="B2">
        <v>0.6</v>
      </c>
    </row>
    <row r="3" spans="1:3" x14ac:dyDescent="0.3">
      <c r="A3" t="s">
        <v>4</v>
      </c>
      <c r="B3">
        <v>2.4</v>
      </c>
    </row>
    <row r="4" spans="1:3" x14ac:dyDescent="0.3">
      <c r="A4" t="s">
        <v>1</v>
      </c>
      <c r="B4">
        <v>2.2000000000000002</v>
      </c>
      <c r="C4" t="s">
        <v>12</v>
      </c>
    </row>
    <row r="5" spans="1:3" x14ac:dyDescent="0.3">
      <c r="A5" t="s">
        <v>5</v>
      </c>
      <c r="B5">
        <v>4680</v>
      </c>
    </row>
    <row r="6" spans="1:3" x14ac:dyDescent="0.3">
      <c r="A6" t="s">
        <v>6</v>
      </c>
      <c r="B6">
        <v>950</v>
      </c>
    </row>
    <row r="7" spans="1:3" x14ac:dyDescent="0.3">
      <c r="A7" t="s">
        <v>7</v>
      </c>
      <c r="B7">
        <f>B1*B5+(1-B1)*B3</f>
        <v>470.16</v>
      </c>
      <c r="C7" t="s">
        <v>14</v>
      </c>
    </row>
    <row r="8" spans="1:3" x14ac:dyDescent="0.3">
      <c r="A8" t="s">
        <v>8</v>
      </c>
      <c r="B8">
        <v>1000</v>
      </c>
    </row>
    <row r="9" spans="1:3" x14ac:dyDescent="0.3">
      <c r="A9" t="s">
        <v>9</v>
      </c>
      <c r="B9">
        <v>2500</v>
      </c>
    </row>
    <row r="10" spans="1:3" x14ac:dyDescent="0.3">
      <c r="A10" t="s">
        <v>10</v>
      </c>
      <c r="B10">
        <f>B1*B8+(1-B1)*B9</f>
        <v>2350</v>
      </c>
      <c r="C10" t="s">
        <v>13</v>
      </c>
    </row>
    <row r="12" spans="1:3" x14ac:dyDescent="0.3">
      <c r="A12" t="s">
        <v>0</v>
      </c>
      <c r="B12">
        <f>B4/(B7*B10)</f>
        <v>1.9911736701675123E-6</v>
      </c>
    </row>
    <row r="13" spans="1:3" x14ac:dyDescent="0.3">
      <c r="A13" t="s">
        <v>11</v>
      </c>
      <c r="B13">
        <f>SQRT(PI()/366*86400*B12)</f>
        <v>3.8427827747474413E-2</v>
      </c>
    </row>
    <row r="14" spans="1:3" x14ac:dyDescent="0.3">
      <c r="A14" t="s">
        <v>10</v>
      </c>
      <c r="B14">
        <f>1/B13</f>
        <v>26.022808433810649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60DC8-45AC-4B58-862A-77C6F782F516}">
  <dimension ref="A1:E30"/>
  <sheetViews>
    <sheetView tabSelected="1" topLeftCell="A5" workbookViewId="0">
      <selection activeCell="F16" sqref="F16"/>
    </sheetView>
  </sheetViews>
  <sheetFormatPr baseColWidth="10" defaultRowHeight="14.4" x14ac:dyDescent="0.3"/>
  <cols>
    <col min="3" max="3" width="12" bestFit="1" customWidth="1"/>
    <col min="5" max="5" width="12" bestFit="1" customWidth="1"/>
  </cols>
  <sheetData>
    <row r="1" spans="1:5" x14ac:dyDescent="0.3">
      <c r="A1">
        <v>0.1</v>
      </c>
    </row>
    <row r="2" spans="1:5" x14ac:dyDescent="0.3">
      <c r="A2">
        <v>2500</v>
      </c>
      <c r="B2">
        <v>1000</v>
      </c>
    </row>
    <row r="3" spans="1:5" x14ac:dyDescent="0.3">
      <c r="A3">
        <v>950</v>
      </c>
      <c r="B3">
        <v>4680</v>
      </c>
    </row>
    <row r="4" spans="1:5" x14ac:dyDescent="0.3">
      <c r="A4">
        <f>(1-$A$1)*A2*A3</f>
        <v>2137500</v>
      </c>
      <c r="B4">
        <f>$A$1*B2*B3</f>
        <v>468000</v>
      </c>
      <c r="C4">
        <f>B4+A4</f>
        <v>2605500</v>
      </c>
    </row>
    <row r="5" spans="1:5" x14ac:dyDescent="0.3">
      <c r="C5" s="1">
        <v>5</v>
      </c>
      <c r="D5" t="s">
        <v>15</v>
      </c>
    </row>
    <row r="6" spans="1:5" x14ac:dyDescent="0.3">
      <c r="C6" s="1">
        <f>C4*C5</f>
        <v>13027500</v>
      </c>
    </row>
    <row r="7" spans="1:5" x14ac:dyDescent="0.3">
      <c r="C7">
        <f>1200*365.25*86400</f>
        <v>37869120000</v>
      </c>
      <c r="D7" t="s">
        <v>16</v>
      </c>
      <c r="E7">
        <f>C7*30</f>
        <v>1136073600000</v>
      </c>
    </row>
    <row r="8" spans="1:5" x14ac:dyDescent="0.3">
      <c r="C8" s="1">
        <f>C7/C6</f>
        <v>2906.8601036269429</v>
      </c>
      <c r="D8" t="s">
        <v>17</v>
      </c>
      <c r="E8" s="1">
        <f>E7/C6</f>
        <v>87205.803108808293</v>
      </c>
    </row>
    <row r="9" spans="1:5" x14ac:dyDescent="0.3">
      <c r="C9">
        <f>C8/100</f>
        <v>29.068601036269428</v>
      </c>
      <c r="D9" t="s">
        <v>18</v>
      </c>
      <c r="E9" s="1">
        <f>E8/100</f>
        <v>872.05803108808288</v>
      </c>
    </row>
    <row r="10" spans="1:5" x14ac:dyDescent="0.3">
      <c r="B10" t="s">
        <v>19</v>
      </c>
      <c r="C10">
        <f>SQRT(C9/PI())</f>
        <v>3.0418453424487151</v>
      </c>
      <c r="D10" t="s">
        <v>20</v>
      </c>
      <c r="E10">
        <f>SQRT(E9/PI())</f>
        <v>16.660873105011881</v>
      </c>
    </row>
    <row r="13" spans="1:5" x14ac:dyDescent="0.3">
      <c r="A13">
        <v>0.1</v>
      </c>
    </row>
    <row r="14" spans="1:5" x14ac:dyDescent="0.3">
      <c r="A14">
        <v>2.4</v>
      </c>
      <c r="B14">
        <v>0.6</v>
      </c>
      <c r="C14" s="2">
        <f>A1*B14+(1-A1)*A14</f>
        <v>2.2200000000000002</v>
      </c>
      <c r="D14" s="1">
        <v>29</v>
      </c>
      <c r="E14" s="1">
        <v>872</v>
      </c>
    </row>
    <row r="15" spans="1:5" x14ac:dyDescent="0.3">
      <c r="A15" t="s">
        <v>21</v>
      </c>
      <c r="B15">
        <v>2.5600000000000001E-2</v>
      </c>
      <c r="C15">
        <f>C14*B15</f>
        <v>5.6832000000000008E-2</v>
      </c>
      <c r="D15">
        <f>D14*C15</f>
        <v>1.6481280000000003</v>
      </c>
      <c r="E15">
        <f>E14*C15</f>
        <v>49.557504000000009</v>
      </c>
    </row>
    <row r="22" spans="2:5" x14ac:dyDescent="0.3">
      <c r="B22">
        <v>1.8</v>
      </c>
      <c r="C22">
        <f>C15</f>
        <v>5.6832000000000008E-2</v>
      </c>
    </row>
    <row r="23" spans="2:5" x14ac:dyDescent="0.3">
      <c r="B23">
        <v>188</v>
      </c>
      <c r="C23">
        <v>29</v>
      </c>
      <c r="D23">
        <v>188</v>
      </c>
      <c r="E23">
        <v>226</v>
      </c>
    </row>
    <row r="24" spans="2:5" x14ac:dyDescent="0.3">
      <c r="B24">
        <f>B22*B23</f>
        <v>338.40000000000003</v>
      </c>
      <c r="C24">
        <f>C22*C23</f>
        <v>1.6481280000000003</v>
      </c>
      <c r="D24">
        <f>D23*C22</f>
        <v>10.684416000000001</v>
      </c>
      <c r="E24">
        <f>E23*C22</f>
        <v>12.844032000000002</v>
      </c>
    </row>
    <row r="25" spans="2:5" x14ac:dyDescent="0.3">
      <c r="B25">
        <f>B24*365.25*86400</f>
        <v>10679091840</v>
      </c>
      <c r="C25" s="1">
        <f>C24*86400*365.25</f>
        <v>52010964.172800012</v>
      </c>
      <c r="D25" s="1">
        <f t="shared" ref="D25:E25" si="0">D24*86400*365.25</f>
        <v>337174526.36160004</v>
      </c>
      <c r="E25" s="1">
        <f t="shared" si="0"/>
        <v>405326824.24320006</v>
      </c>
    </row>
    <row r="26" spans="2:5" x14ac:dyDescent="0.3">
      <c r="B26" s="3">
        <f>B25/C7</f>
        <v>0.28199999999999997</v>
      </c>
      <c r="C26" s="3">
        <f>C25/$C$7</f>
        <v>1.3734400000000003E-3</v>
      </c>
      <c r="D26" s="3">
        <f t="shared" ref="D26:E26" si="1">D25/$C$7</f>
        <v>8.9036800000000006E-3</v>
      </c>
      <c r="E26" s="3">
        <f t="shared" si="1"/>
        <v>1.0703360000000002E-2</v>
      </c>
    </row>
    <row r="28" spans="2:5" x14ac:dyDescent="0.3">
      <c r="C28">
        <f>C22</f>
        <v>5.6832000000000008E-2</v>
      </c>
      <c r="D28" t="s">
        <v>22</v>
      </c>
    </row>
    <row r="29" spans="2:5" x14ac:dyDescent="0.3">
      <c r="C29">
        <f>1200/C28</f>
        <v>21114.864864864863</v>
      </c>
    </row>
    <row r="30" spans="2:5" x14ac:dyDescent="0.3">
      <c r="C30">
        <f>C29/188</f>
        <v>112.31311098332374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7920-C388-4C7D-AD40-0489D60E4EB2}">
  <dimension ref="A1:I29"/>
  <sheetViews>
    <sheetView workbookViewId="0">
      <selection activeCell="E10" sqref="E10"/>
    </sheetView>
  </sheetViews>
  <sheetFormatPr baseColWidth="10" defaultRowHeight="14.4" x14ac:dyDescent="0.3"/>
  <cols>
    <col min="1" max="1" width="12" bestFit="1" customWidth="1"/>
  </cols>
  <sheetData>
    <row r="1" spans="1:9" x14ac:dyDescent="0.3">
      <c r="B1" t="s">
        <v>23</v>
      </c>
      <c r="C1" t="s">
        <v>24</v>
      </c>
      <c r="D1" t="s">
        <v>30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3">
      <c r="C2">
        <v>188</v>
      </c>
      <c r="D2">
        <f>C2*$A$8</f>
        <v>10.684416000000001</v>
      </c>
      <c r="E2">
        <f>SQRT(C2/PI())</f>
        <v>7.7357778278950491</v>
      </c>
      <c r="F2" s="3">
        <f>($A$8*C2)/1200</f>
        <v>8.9036800000000006E-3</v>
      </c>
      <c r="G2" s="3">
        <f>($A$9*C2)/1200</f>
        <v>0.28200000000000003</v>
      </c>
      <c r="H2" s="3">
        <f>F2+G2</f>
        <v>0.29090368000000005</v>
      </c>
      <c r="I2">
        <f>1200-H2*1200</f>
        <v>850.91558399999985</v>
      </c>
    </row>
    <row r="3" spans="1:9" x14ac:dyDescent="0.3">
      <c r="A3">
        <f>((0.1*1000*4680)+(0.9*950*2500))*5</f>
        <v>13027500</v>
      </c>
      <c r="B3">
        <v>20</v>
      </c>
      <c r="C3">
        <f>$A$5/B3</f>
        <v>145.34300518134714</v>
      </c>
      <c r="D3">
        <f t="shared" ref="D3:D13" si="0">C3*$A$8</f>
        <v>8.2601336704663222</v>
      </c>
      <c r="E3">
        <f>SQRT(C3/PI())</f>
        <v>6.8017729627564538</v>
      </c>
      <c r="F3" s="3">
        <f>($A$8*C3)/1200</f>
        <v>6.8834447253886015E-3</v>
      </c>
      <c r="G3" s="3">
        <f>($A$9*C3)/1200</f>
        <v>0.21801450777202072</v>
      </c>
      <c r="H3" s="3">
        <f>F3+G3</f>
        <v>0.22489795249740932</v>
      </c>
      <c r="I3">
        <f t="shared" ref="I3:I13" si="1">1200-H3*1200</f>
        <v>930.12245700310882</v>
      </c>
    </row>
    <row r="4" spans="1:9" x14ac:dyDescent="0.3">
      <c r="A4">
        <f>1200*365.25*86400</f>
        <v>37869120000</v>
      </c>
      <c r="B4">
        <v>30</v>
      </c>
      <c r="C4">
        <f t="shared" ref="C4:C13" si="2">$A$5/B4</f>
        <v>96.895336787564759</v>
      </c>
      <c r="D4">
        <f t="shared" si="0"/>
        <v>5.5067557803108809</v>
      </c>
      <c r="E4">
        <f t="shared" ref="E4:E13" si="3">SQRT(C4/PI())</f>
        <v>5.5536243683372941</v>
      </c>
      <c r="F4" s="3">
        <f t="shared" ref="F4:F13" si="4">($A$8*C4)/1200</f>
        <v>4.5889631502590671E-3</v>
      </c>
      <c r="G4" s="3">
        <f t="shared" ref="G4:G13" si="5">($A$9*C4)/1200</f>
        <v>0.14534300518134713</v>
      </c>
      <c r="H4" s="3">
        <f t="shared" ref="H4:H13" si="6">F4+G4</f>
        <v>0.14993196833160619</v>
      </c>
      <c r="I4">
        <f t="shared" si="1"/>
        <v>1020.0816380020726</v>
      </c>
    </row>
    <row r="5" spans="1:9" x14ac:dyDescent="0.3">
      <c r="A5">
        <f>A4/A3</f>
        <v>2906.8601036269429</v>
      </c>
      <c r="B5">
        <v>40</v>
      </c>
      <c r="C5">
        <f t="shared" si="2"/>
        <v>72.671502590673569</v>
      </c>
      <c r="D5">
        <f t="shared" si="0"/>
        <v>4.1300668352331611</v>
      </c>
      <c r="E5">
        <f t="shared" si="3"/>
        <v>4.8095797860564025</v>
      </c>
      <c r="F5" s="3">
        <f t="shared" si="4"/>
        <v>3.4417223626943007E-3</v>
      </c>
      <c r="G5" s="3">
        <f t="shared" si="5"/>
        <v>0.10900725388601036</v>
      </c>
      <c r="H5" s="3">
        <f t="shared" si="6"/>
        <v>0.11244897624870466</v>
      </c>
      <c r="I5">
        <f>1200-H5*1200</f>
        <v>1065.0612285015545</v>
      </c>
    </row>
    <row r="6" spans="1:9" x14ac:dyDescent="0.3">
      <c r="B6">
        <v>50</v>
      </c>
      <c r="C6">
        <f t="shared" si="2"/>
        <v>58.137202072538855</v>
      </c>
      <c r="D6">
        <f t="shared" si="0"/>
        <v>3.3040534681865288</v>
      </c>
      <c r="E6">
        <f t="shared" si="3"/>
        <v>4.3018189379324046</v>
      </c>
      <c r="F6" s="3">
        <f t="shared" si="4"/>
        <v>2.7533778901554407E-3</v>
      </c>
      <c r="G6" s="3">
        <f t="shared" si="5"/>
        <v>8.720580310880828E-2</v>
      </c>
      <c r="H6" s="3">
        <f t="shared" si="6"/>
        <v>8.9959180998963717E-2</v>
      </c>
      <c r="I6">
        <f t="shared" si="1"/>
        <v>1092.0489828012435</v>
      </c>
    </row>
    <row r="7" spans="1:9" x14ac:dyDescent="0.3">
      <c r="A7">
        <f>0.1*0.6+2.4*0.9</f>
        <v>2.2200000000000002</v>
      </c>
      <c r="B7">
        <v>60</v>
      </c>
      <c r="C7">
        <f t="shared" si="2"/>
        <v>48.447668393782379</v>
      </c>
      <c r="D7">
        <f t="shared" si="0"/>
        <v>2.7533778901554404</v>
      </c>
      <c r="E7">
        <f t="shared" si="3"/>
        <v>3.927005451014157</v>
      </c>
      <c r="F7" s="3">
        <f t="shared" si="4"/>
        <v>2.2944815751295335E-3</v>
      </c>
      <c r="G7" s="3">
        <f t="shared" si="5"/>
        <v>7.2671502590673565E-2</v>
      </c>
      <c r="H7" s="3">
        <f t="shared" si="6"/>
        <v>7.4965984165803093E-2</v>
      </c>
      <c r="I7">
        <f t="shared" si="1"/>
        <v>1110.0408190010362</v>
      </c>
    </row>
    <row r="8" spans="1:9" x14ac:dyDescent="0.3">
      <c r="A8">
        <f>A7*0.0256</f>
        <v>5.6832000000000008E-2</v>
      </c>
      <c r="B8">
        <v>70</v>
      </c>
      <c r="C8">
        <f t="shared" si="2"/>
        <v>41.526572908956325</v>
      </c>
      <c r="D8">
        <f t="shared" si="0"/>
        <v>2.3600381915618063</v>
      </c>
      <c r="E8">
        <f t="shared" si="3"/>
        <v>3.6357005784652801</v>
      </c>
      <c r="F8" s="3">
        <f t="shared" si="4"/>
        <v>1.9666984929681717E-3</v>
      </c>
      <c r="G8" s="3">
        <f t="shared" si="5"/>
        <v>6.2289859363434487E-2</v>
      </c>
      <c r="H8" s="3">
        <f t="shared" si="6"/>
        <v>6.4256557856402663E-2</v>
      </c>
      <c r="I8">
        <f t="shared" si="1"/>
        <v>1122.8921305723168</v>
      </c>
    </row>
    <row r="9" spans="1:9" x14ac:dyDescent="0.3">
      <c r="A9">
        <v>1.8</v>
      </c>
      <c r="B9">
        <v>80</v>
      </c>
      <c r="C9">
        <f t="shared" si="2"/>
        <v>36.335751295336784</v>
      </c>
      <c r="D9">
        <f t="shared" si="0"/>
        <v>2.0650334176165805</v>
      </c>
      <c r="E9">
        <f t="shared" si="3"/>
        <v>3.4008864813782269</v>
      </c>
      <c r="F9" s="3">
        <f t="shared" si="4"/>
        <v>1.7208611813471504E-3</v>
      </c>
      <c r="G9" s="3">
        <f t="shared" si="5"/>
        <v>5.450362694300518E-2</v>
      </c>
      <c r="H9" s="3">
        <f t="shared" si="6"/>
        <v>5.622448812435233E-2</v>
      </c>
      <c r="I9">
        <f t="shared" si="1"/>
        <v>1132.5306142507773</v>
      </c>
    </row>
    <row r="10" spans="1:9" x14ac:dyDescent="0.3">
      <c r="B10">
        <v>90</v>
      </c>
      <c r="C10">
        <f t="shared" si="2"/>
        <v>32.298445595854922</v>
      </c>
      <c r="D10">
        <f t="shared" si="0"/>
        <v>1.8355852601036271</v>
      </c>
      <c r="E10">
        <f t="shared" si="3"/>
        <v>3.2063865240376019</v>
      </c>
      <c r="F10" s="3">
        <f>($A$8*C10)/1200</f>
        <v>1.5296543834196893E-3</v>
      </c>
      <c r="G10" s="3">
        <f t="shared" si="5"/>
        <v>4.8447668393782388E-2</v>
      </c>
      <c r="H10" s="3">
        <f t="shared" si="6"/>
        <v>4.9977322777202078E-2</v>
      </c>
      <c r="I10">
        <f t="shared" si="1"/>
        <v>1140.0272126673576</v>
      </c>
    </row>
    <row r="11" spans="1:9" x14ac:dyDescent="0.3">
      <c r="A11">
        <f>A5*30</f>
        <v>87205.803108808293</v>
      </c>
      <c r="B11">
        <v>100</v>
      </c>
      <c r="C11">
        <f t="shared" si="2"/>
        <v>29.068601036269428</v>
      </c>
      <c r="D11">
        <f t="shared" si="0"/>
        <v>1.6520267340932644</v>
      </c>
      <c r="E11">
        <f t="shared" si="3"/>
        <v>3.0418453424487151</v>
      </c>
      <c r="F11" s="3">
        <f t="shared" si="4"/>
        <v>1.3766889450777203E-3</v>
      </c>
      <c r="G11" s="3">
        <f t="shared" si="5"/>
        <v>4.360290155440414E-2</v>
      </c>
      <c r="H11" s="3">
        <f t="shared" si="6"/>
        <v>4.4979590499481859E-2</v>
      </c>
      <c r="I11">
        <f t="shared" si="1"/>
        <v>1146.0244914006219</v>
      </c>
    </row>
    <row r="12" spans="1:9" x14ac:dyDescent="0.3">
      <c r="A12">
        <f>A11/40</f>
        <v>2180.1450777202072</v>
      </c>
      <c r="B12">
        <v>110</v>
      </c>
      <c r="C12">
        <f t="shared" si="2"/>
        <v>26.426000942063116</v>
      </c>
      <c r="D12">
        <f t="shared" si="0"/>
        <v>1.5018424855393311</v>
      </c>
      <c r="E12">
        <f t="shared" si="3"/>
        <v>2.9002857362957974</v>
      </c>
      <c r="F12" s="3">
        <f t="shared" si="4"/>
        <v>1.2515354046161093E-3</v>
      </c>
      <c r="G12" s="3">
        <f t="shared" si="5"/>
        <v>3.963900141309467E-2</v>
      </c>
      <c r="H12" s="3">
        <f t="shared" si="6"/>
        <v>4.0890536817710779E-2</v>
      </c>
      <c r="I12">
        <f t="shared" si="1"/>
        <v>1150.9313558187471</v>
      </c>
    </row>
    <row r="13" spans="1:9" x14ac:dyDescent="0.3">
      <c r="A13">
        <f>A12*A8</f>
        <v>123.90200505699482</v>
      </c>
      <c r="B13">
        <v>120</v>
      </c>
      <c r="C13">
        <f t="shared" si="2"/>
        <v>24.22383419689119</v>
      </c>
      <c r="D13">
        <f t="shared" si="0"/>
        <v>1.3766889450777202</v>
      </c>
      <c r="E13">
        <f t="shared" si="3"/>
        <v>2.7768121841686471</v>
      </c>
      <c r="F13" s="3">
        <f t="shared" si="4"/>
        <v>1.1472407875647668E-3</v>
      </c>
      <c r="G13" s="3">
        <f t="shared" si="5"/>
        <v>3.6335751295336782E-2</v>
      </c>
      <c r="H13" s="3">
        <f t="shared" si="6"/>
        <v>3.7482992082901546E-2</v>
      </c>
      <c r="I13">
        <f t="shared" si="1"/>
        <v>1155.0204095005181</v>
      </c>
    </row>
    <row r="14" spans="1:9" x14ac:dyDescent="0.3">
      <c r="A14">
        <f>SQRT(A12/PI())</f>
        <v>26.343153409439626</v>
      </c>
    </row>
    <row r="15" spans="1:9" x14ac:dyDescent="0.3">
      <c r="A15">
        <f>150+A14</f>
        <v>176.34315340943962</v>
      </c>
    </row>
    <row r="16" spans="1:9" x14ac:dyDescent="0.3">
      <c r="D16">
        <f>7.7*2</f>
        <v>15.4</v>
      </c>
    </row>
    <row r="17" spans="1:6" x14ac:dyDescent="0.3">
      <c r="A17">
        <f>(1200-1.7)/(2*3.14*3*100)</f>
        <v>0.63604033970276008</v>
      </c>
      <c r="D17">
        <f>D16/1</f>
        <v>15.4</v>
      </c>
    </row>
    <row r="18" spans="1:6" x14ac:dyDescent="0.3">
      <c r="A18">
        <f>(1200-(1200*G11))/(2*PI()*E11*100)</f>
        <v>0.60048546315833851</v>
      </c>
      <c r="B18">
        <f>A18/0.057</f>
        <v>10.534832686988395</v>
      </c>
      <c r="F18">
        <f>145.2-143.7</f>
        <v>1.5</v>
      </c>
    </row>
    <row r="19" spans="1:6" x14ac:dyDescent="0.3">
      <c r="F19">
        <f>154.8+F18</f>
        <v>156.30000000000001</v>
      </c>
    </row>
    <row r="29" spans="1:6" x14ac:dyDescent="0.3">
      <c r="F29">
        <f>0.025*2.04</f>
        <v>5.1000000000000004E-2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6088D-FCCC-43DF-97B9-3AC3AF2DFE70}">
  <dimension ref="A1:J30"/>
  <sheetViews>
    <sheetView workbookViewId="0">
      <selection activeCell="C17" sqref="C17"/>
    </sheetView>
  </sheetViews>
  <sheetFormatPr baseColWidth="10" defaultRowHeight="14.4" x14ac:dyDescent="0.3"/>
  <cols>
    <col min="2" max="2" width="21.88671875" customWidth="1"/>
    <col min="5" max="5" width="16.21875" bestFit="1" customWidth="1"/>
    <col min="6" max="6" width="16.21875" customWidth="1"/>
    <col min="7" max="7" width="21.21875" customWidth="1"/>
    <col min="8" max="8" width="20" customWidth="1"/>
    <col min="9" max="9" width="15.6640625" bestFit="1" customWidth="1"/>
  </cols>
  <sheetData>
    <row r="1" spans="1:10" x14ac:dyDescent="0.3">
      <c r="D1" t="s">
        <v>33</v>
      </c>
      <c r="G1" t="s">
        <v>34</v>
      </c>
    </row>
    <row r="2" spans="1:10" x14ac:dyDescent="0.3">
      <c r="C2" t="s">
        <v>45</v>
      </c>
      <c r="D2" t="s">
        <v>38</v>
      </c>
      <c r="E2" t="s">
        <v>39</v>
      </c>
      <c r="F2" t="s">
        <v>52</v>
      </c>
      <c r="G2" t="s">
        <v>38</v>
      </c>
      <c r="H2" t="s">
        <v>39</v>
      </c>
      <c r="I2" t="s">
        <v>43</v>
      </c>
      <c r="J2" t="s">
        <v>44</v>
      </c>
    </row>
    <row r="3" spans="1:10" x14ac:dyDescent="0.3">
      <c r="A3" t="s">
        <v>31</v>
      </c>
      <c r="B3" t="s">
        <v>42</v>
      </c>
      <c r="C3" s="14">
        <v>0.1</v>
      </c>
      <c r="D3" s="4">
        <v>0.36</v>
      </c>
      <c r="E3" s="4">
        <v>0.98</v>
      </c>
      <c r="F3" s="4">
        <f>1-E3</f>
        <v>2.0000000000000018E-2</v>
      </c>
      <c r="G3" s="4">
        <v>0.33</v>
      </c>
      <c r="H3" s="4">
        <v>0.85</v>
      </c>
      <c r="I3" s="4">
        <v>0.87</v>
      </c>
      <c r="J3" s="14">
        <f>1-I3</f>
        <v>0.13</v>
      </c>
    </row>
    <row r="4" spans="1:10" x14ac:dyDescent="0.3">
      <c r="A4" t="s">
        <v>31</v>
      </c>
      <c r="B4" t="s">
        <v>50</v>
      </c>
      <c r="C4" s="14">
        <v>0.39</v>
      </c>
      <c r="D4" s="5">
        <v>3.6999999999999998E-2</v>
      </c>
      <c r="E4" s="4">
        <v>0.44</v>
      </c>
      <c r="F4" s="4">
        <f>1-E4</f>
        <v>0.56000000000000005</v>
      </c>
      <c r="G4" s="5">
        <v>2.9000000000000001E-2</v>
      </c>
      <c r="H4" s="4">
        <v>0.28999999999999998</v>
      </c>
      <c r="I4" s="4">
        <v>0.61</v>
      </c>
      <c r="J4" s="14">
        <f>1-I4</f>
        <v>0.39</v>
      </c>
    </row>
    <row r="8" spans="1:10" x14ac:dyDescent="0.3">
      <c r="C8" t="s">
        <v>32</v>
      </c>
      <c r="D8" t="s">
        <v>40</v>
      </c>
      <c r="E8" t="s">
        <v>41</v>
      </c>
      <c r="F8" t="s">
        <v>52</v>
      </c>
      <c r="G8" t="s">
        <v>40</v>
      </c>
      <c r="H8" t="s">
        <v>41</v>
      </c>
      <c r="I8" t="s">
        <v>43</v>
      </c>
      <c r="J8" t="s">
        <v>44</v>
      </c>
    </row>
    <row r="9" spans="1:10" x14ac:dyDescent="0.3">
      <c r="A9" t="s">
        <v>35</v>
      </c>
      <c r="B9" t="s">
        <v>36</v>
      </c>
      <c r="C9" s="11">
        <v>3.9E-2</v>
      </c>
      <c r="D9" s="9">
        <v>0.2</v>
      </c>
      <c r="E9" s="9">
        <v>0.9</v>
      </c>
      <c r="F9" s="9">
        <v>0.1</v>
      </c>
      <c r="G9" s="9">
        <v>0.2</v>
      </c>
      <c r="H9" s="7">
        <v>0.85</v>
      </c>
      <c r="I9" s="7">
        <v>0.95</v>
      </c>
      <c r="J9" s="10">
        <v>0.05</v>
      </c>
    </row>
    <row r="10" spans="1:10" x14ac:dyDescent="0.3">
      <c r="B10" t="s">
        <v>37</v>
      </c>
      <c r="C10" s="14">
        <v>0.17</v>
      </c>
      <c r="D10" s="12">
        <v>1.7000000000000001E-2</v>
      </c>
      <c r="E10" s="13">
        <v>0.25</v>
      </c>
      <c r="F10" s="15">
        <v>0.75</v>
      </c>
      <c r="G10" s="16">
        <v>1.6E-2</v>
      </c>
      <c r="H10" s="4">
        <v>0.21</v>
      </c>
      <c r="I10" s="4">
        <v>0.82</v>
      </c>
      <c r="J10" s="14">
        <v>0.18</v>
      </c>
    </row>
    <row r="11" spans="1:10" x14ac:dyDescent="0.3">
      <c r="B11" t="s">
        <v>46</v>
      </c>
      <c r="C11" s="14">
        <v>0.21</v>
      </c>
      <c r="D11" s="12">
        <v>1.7000000000000001E-2</v>
      </c>
      <c r="E11" s="13">
        <v>0.25</v>
      </c>
      <c r="F11" s="15">
        <v>0.75</v>
      </c>
      <c r="G11" s="17">
        <v>1.4999999999999999E-2</v>
      </c>
      <c r="H11" s="4">
        <v>0.21</v>
      </c>
      <c r="I11" s="4">
        <v>0.78</v>
      </c>
      <c r="J11" s="14">
        <f>1-I11</f>
        <v>0.21999999999999997</v>
      </c>
    </row>
    <row r="14" spans="1:10" x14ac:dyDescent="0.3">
      <c r="C14" t="s">
        <v>32</v>
      </c>
      <c r="E14" t="s">
        <v>49</v>
      </c>
      <c r="F14" t="s">
        <v>52</v>
      </c>
      <c r="H14" t="s">
        <v>49</v>
      </c>
      <c r="I14" t="s">
        <v>43</v>
      </c>
      <c r="J14" t="s">
        <v>44</v>
      </c>
    </row>
    <row r="15" spans="1:10" x14ac:dyDescent="0.3">
      <c r="A15" t="s">
        <v>35</v>
      </c>
      <c r="B15" t="s">
        <v>47</v>
      </c>
      <c r="C15" s="18">
        <v>3.9E-2</v>
      </c>
      <c r="D15" s="8"/>
      <c r="E15" s="20">
        <v>0.6</v>
      </c>
      <c r="F15" s="20">
        <f>1-E15</f>
        <v>0.4</v>
      </c>
      <c r="G15" s="8"/>
      <c r="H15" s="8">
        <v>0.56999999999999995</v>
      </c>
      <c r="I15" s="20">
        <v>0.95</v>
      </c>
      <c r="J15" s="19">
        <f>1-I15</f>
        <v>5.0000000000000044E-2</v>
      </c>
    </row>
    <row r="16" spans="1:10" x14ac:dyDescent="0.3">
      <c r="B16" t="s">
        <v>48</v>
      </c>
      <c r="C16" s="14">
        <v>0.17</v>
      </c>
      <c r="E16" s="17">
        <v>8.5000000000000006E-2</v>
      </c>
      <c r="F16" s="20">
        <f>1-E16</f>
        <v>0.91500000000000004</v>
      </c>
      <c r="H16" s="6">
        <v>7.5999999999999998E-2</v>
      </c>
      <c r="I16" s="21">
        <v>0.82</v>
      </c>
      <c r="J16" s="14">
        <f>1-I16</f>
        <v>0.18000000000000005</v>
      </c>
    </row>
    <row r="24" spans="3:3" x14ac:dyDescent="0.3">
      <c r="C24" t="s">
        <v>55</v>
      </c>
    </row>
    <row r="25" spans="3:3" x14ac:dyDescent="0.3">
      <c r="C25" t="s">
        <v>51</v>
      </c>
    </row>
    <row r="26" spans="3:3" x14ac:dyDescent="0.3">
      <c r="C26" t="s">
        <v>53</v>
      </c>
    </row>
    <row r="27" spans="3:3" x14ac:dyDescent="0.3">
      <c r="C27" t="s">
        <v>57</v>
      </c>
    </row>
    <row r="28" spans="3:3" x14ac:dyDescent="0.3">
      <c r="C28" t="s">
        <v>54</v>
      </c>
    </row>
    <row r="29" spans="3:3" x14ac:dyDescent="0.3">
      <c r="C29" t="s">
        <v>56</v>
      </c>
    </row>
    <row r="30" spans="3:3" x14ac:dyDescent="0.3">
      <c r="C30" t="s">
        <v>58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Mylène RECEVEUR</cp:lastModifiedBy>
  <dcterms:created xsi:type="dcterms:W3CDTF">2021-02-19T19:55:20Z</dcterms:created>
  <dcterms:modified xsi:type="dcterms:W3CDTF">2021-04-18T22:05:39Z</dcterms:modified>
</cp:coreProperties>
</file>