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GitHub\Data_phD\Data\Modeling\"/>
    </mc:Choice>
  </mc:AlternateContent>
  <bookViews>
    <workbookView xWindow="-108" yWindow="-108" windowWidth="23256" windowHeight="1272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9" i="1" l="1"/>
  <c r="F159" i="1"/>
  <c r="G159" i="1"/>
  <c r="H159" i="1"/>
  <c r="I159" i="1"/>
  <c r="J159" i="1"/>
  <c r="K159" i="1"/>
  <c r="L159" i="1"/>
  <c r="D159" i="1"/>
  <c r="D158" i="1"/>
  <c r="I158" i="1"/>
  <c r="J158" i="1"/>
  <c r="K158" i="1"/>
  <c r="L158" i="1"/>
  <c r="E158" i="1"/>
  <c r="F158" i="1"/>
  <c r="G158" i="1"/>
  <c r="H158" i="1"/>
  <c r="D155" i="1"/>
  <c r="D156" i="1"/>
  <c r="P148" i="1"/>
  <c r="P1" i="1"/>
  <c r="B156" i="1"/>
  <c r="P119" i="1" l="1"/>
  <c r="L119" i="1"/>
  <c r="P113" i="1"/>
  <c r="L113" i="1"/>
  <c r="L137" i="1"/>
  <c r="L132" i="1"/>
  <c r="L126" i="1"/>
  <c r="L108" i="1"/>
  <c r="P90" i="1"/>
  <c r="L90" i="1"/>
  <c r="L147" i="1"/>
  <c r="P147" i="1"/>
  <c r="P108" i="1"/>
  <c r="P137" i="1"/>
  <c r="P132" i="1"/>
  <c r="P126" i="1"/>
  <c r="P15" i="1"/>
  <c r="L15" i="1"/>
  <c r="P10" i="1"/>
  <c r="L10" i="1"/>
  <c r="P42" i="1"/>
  <c r="L42" i="1"/>
  <c r="P32" i="1"/>
  <c r="L32" i="1"/>
  <c r="P22" i="1"/>
  <c r="L22" i="1"/>
  <c r="L1" i="1"/>
  <c r="I173" i="1" l="1"/>
  <c r="I174" i="1" s="1"/>
  <c r="Q152" i="1" s="1"/>
  <c r="B178" i="1"/>
  <c r="B179" i="1"/>
  <c r="B177" i="1"/>
  <c r="B176" i="1"/>
  <c r="B188" i="1"/>
  <c r="B190" i="1"/>
  <c r="P27" i="1"/>
  <c r="P37" i="1"/>
  <c r="P55" i="1"/>
  <c r="P103" i="1"/>
  <c r="P6" i="1"/>
  <c r="L103" i="1"/>
  <c r="L55" i="1"/>
  <c r="L37" i="1"/>
  <c r="L27" i="1"/>
  <c r="L6" i="1"/>
  <c r="Q151" i="1" l="1"/>
  <c r="Q153" i="1" s="1"/>
  <c r="B180" i="1"/>
  <c r="B181" i="1" s="1"/>
</calcChain>
</file>

<file path=xl/sharedStrings.xml><?xml version="1.0" encoding="utf-8"?>
<sst xmlns="http://schemas.openxmlformats.org/spreadsheetml/2006/main" count="279" uniqueCount="143">
  <si>
    <t>Case 1</t>
  </si>
  <si>
    <t>N</t>
  </si>
  <si>
    <t>-</t>
  </si>
  <si>
    <t>No flow BC</t>
  </si>
  <si>
    <t>Y - No regional flow</t>
  </si>
  <si>
    <t>Laterally</t>
  </si>
  <si>
    <t>Y - Regional flow</t>
  </si>
  <si>
    <t>Head gradient to allow flow of water</t>
  </si>
  <si>
    <t>Case 6</t>
  </si>
  <si>
    <t>DT</t>
  </si>
  <si>
    <t>q=</t>
  </si>
  <si>
    <t>- 35W</t>
  </si>
  <si>
    <t>Relationship power extracted VS Flow rate</t>
  </si>
  <si>
    <t>If we consider energy from water with cooling of 5 °C across the heat exchanger</t>
  </si>
  <si>
    <t>Qhp</t>
  </si>
  <si>
    <t>W</t>
  </si>
  <si>
    <t>The energy from cooling is: E (J) = DT * rho c V</t>
  </si>
  <si>
    <t>In terms of rate: Q (W) = DT * rho c Qf</t>
  </si>
  <si>
    <t>The volumetric rate of water required is therefore</t>
  </si>
  <si>
    <t xml:space="preserve">Qf </t>
  </si>
  <si>
    <t>°C</t>
  </si>
  <si>
    <t>m3/s</t>
  </si>
  <si>
    <t>-1,5e-6 m3/s</t>
  </si>
  <si>
    <t>Results case 6</t>
  </si>
  <si>
    <t>If head gradient but recharging water has the same temperature (not ST or temperature BC), no temperature change expected in the system with extraction of water</t>
  </si>
  <si>
    <t>Change in rock temperature du to cold water injection is:</t>
  </si>
  <si>
    <t>DTr=</t>
  </si>
  <si>
    <t xml:space="preserve">Considering V system = </t>
  </si>
  <si>
    <t>m3</t>
  </si>
  <si>
    <t>And a production time t=</t>
  </si>
  <si>
    <t>s</t>
  </si>
  <si>
    <t>If recharge water is rainwater or recharge water with smaller temperature --&gt; decrease in system temperature is expected</t>
  </si>
  <si>
    <t>Expected results:</t>
  </si>
  <si>
    <t>If ST = 1,5e-6 m3/s, great instabilities so need to figure out how to do</t>
  </si>
  <si>
    <t>DTr = (Qw t rhow cw DTw)/(V (1-phi) rhoc)</t>
  </si>
  <si>
    <t>Convert HEAD - PRESSURE</t>
  </si>
  <si>
    <t>Q=K A * dh/dl</t>
  </si>
  <si>
    <t>Q (m3/s)</t>
  </si>
  <si>
    <t xml:space="preserve">Q=-kA(p1-p2)/µL </t>
  </si>
  <si>
    <t>k (m2)</t>
  </si>
  <si>
    <t>PERMEABILITY TENSOR</t>
  </si>
  <si>
    <t>q=-k * Dp / µL</t>
  </si>
  <si>
    <t>µ (Pa.s)</t>
  </si>
  <si>
    <t>dynamic viscosity</t>
  </si>
  <si>
    <t>K=rho * k * g / µ (m/s)</t>
  </si>
  <si>
    <t>v = µ/rho</t>
  </si>
  <si>
    <t>kinematic viscosity (m2/s)</t>
  </si>
  <si>
    <t>P=</t>
  </si>
  <si>
    <t>µ=</t>
  </si>
  <si>
    <t xml:space="preserve">Pa.s </t>
  </si>
  <si>
    <t>k=</t>
  </si>
  <si>
    <t>m2</t>
  </si>
  <si>
    <t>L=</t>
  </si>
  <si>
    <t>K=</t>
  </si>
  <si>
    <t>dh</t>
  </si>
  <si>
    <t>v=</t>
  </si>
  <si>
    <t>Tests</t>
  </si>
  <si>
    <t>No flow BC during simulation of extraction as ST required on the left, and gradient disapear if constant heat on the right - would require iterative loop (Cauchy BC)</t>
  </si>
  <si>
    <t>q= K dh/dl</t>
  </si>
  <si>
    <t>K</t>
  </si>
  <si>
    <t>h</t>
  </si>
  <si>
    <t>l</t>
  </si>
  <si>
    <t>2) equivalent flux</t>
  </si>
  <si>
    <t>q</t>
  </si>
  <si>
    <t>m/s</t>
  </si>
  <si>
    <t>Q</t>
  </si>
  <si>
    <t>Dh = 2m using flux Q in PROD/INJ Polylines</t>
  </si>
  <si>
    <t>Qf</t>
  </si>
  <si>
    <t>Qp</t>
  </si>
  <si>
    <t>Try to use HEAD instead of LIQUID FLOW --&gt; It works !</t>
  </si>
  <si>
    <t xml:space="preserve">3) add prod  by substracting Qf to regional flux Q on the left BOUNDARY - Extraction </t>
  </si>
  <si>
    <t>C0</t>
  </si>
  <si>
    <t>no water in the model</t>
  </si>
  <si>
    <t>contant temperature BC on the right</t>
  </si>
  <si>
    <t>No flow BC, constant T BC on the right</t>
  </si>
  <si>
    <t>Case 0b</t>
  </si>
  <si>
    <t>Case 0c</t>
  </si>
  <si>
    <t>Constant head BC to allow natural water recharge (constant T BC on the right)</t>
  </si>
  <si>
    <t xml:space="preserve">Injection </t>
  </si>
  <si>
    <t>Case 4b</t>
  </si>
  <si>
    <t>Case 0a</t>
  </si>
  <si>
    <t>[14; 20]</t>
  </si>
  <si>
    <t>None</t>
  </si>
  <si>
    <t>Constant head BC and constant T BC on the right</t>
  </si>
  <si>
    <t>No flow BC + Injection at WELL 2</t>
  </si>
  <si>
    <t>Constant Head BC + Injection at WELL 2</t>
  </si>
  <si>
    <t>Case 3b</t>
  </si>
  <si>
    <t>[10; 14]</t>
  </si>
  <si>
    <t>Case 3c</t>
  </si>
  <si>
    <t>Constant Head BC on right + no flow left  and constant T BC on the right</t>
  </si>
  <si>
    <t>Case 4c</t>
  </si>
  <si>
    <t>Case 4d</t>
  </si>
  <si>
    <t>Case 4a</t>
  </si>
  <si>
    <t>Increases Capacity of coal bed to 1380</t>
  </si>
  <si>
    <t>Reduce Density of coal bed to 1500</t>
  </si>
  <si>
    <t>Case 4e</t>
  </si>
  <si>
    <t>Case 4f</t>
  </si>
  <si>
    <t>[-14; 20]</t>
  </si>
  <si>
    <t>Case 0d</t>
  </si>
  <si>
    <t>[0; 20]</t>
  </si>
  <si>
    <t>Case 0e</t>
  </si>
  <si>
    <t>[-14; 14]</t>
  </si>
  <si>
    <t>To compare C3 (diff/adv) with diffusion only</t>
  </si>
  <si>
    <t>Case 3a</t>
  </si>
  <si>
    <t>Case 4c2</t>
  </si>
  <si>
    <t>Case 4g</t>
  </si>
  <si>
    <t xml:space="preserve">Head gradient to allow flow of water as Initial condition </t>
  </si>
  <si>
    <t>1) steady state simulation with hydro sT for extraction / injection (1000s)</t>
  </si>
  <si>
    <t>Case 6H</t>
  </si>
  <si>
    <t>Case 6H1</t>
  </si>
  <si>
    <t>2) reload with T BC for injection at WELL 2</t>
  </si>
  <si>
    <t>Reversed WELL1(Inj) and WELL2(inj)</t>
  </si>
  <si>
    <t>Injection</t>
  </si>
  <si>
    <t>Case 6H2</t>
  </si>
  <si>
    <t>Case 6q1</t>
  </si>
  <si>
    <t xml:space="preserve">Flux based on head gradient to allow flow of water as Initial condition </t>
  </si>
  <si>
    <t>1) based on steady state 1000 s using BC (h=2m on left), calculate steady state equivalent flux = 1.61e-05 in PROD/INJ with extraction/injection at wells</t>
  </si>
  <si>
    <t>2) add temperature at WELL2</t>
  </si>
  <si>
    <t xml:space="preserve">If same boundary </t>
  </si>
  <si>
    <t xml:space="preserve">Laterally </t>
  </si>
  <si>
    <t>Head gradient to model natural recharge</t>
  </si>
  <si>
    <t>Extraction at WELL 2</t>
  </si>
  <si>
    <t>Constant T=20°C at PROD (left) BC</t>
  </si>
  <si>
    <t>Case 5</t>
  </si>
  <si>
    <t>Extraction at WELL 1</t>
  </si>
  <si>
    <t>Notes</t>
  </si>
  <si>
    <t>[14,45; 14,95]</t>
  </si>
  <si>
    <t>[15; 20]</t>
  </si>
  <si>
    <t>Increase hydraulic conductivity of coal bed from 2,14e-04 to -02</t>
  </si>
  <si>
    <t>Reduce hydraulic conductivity of coal bed from 2,14e-04 to -06</t>
  </si>
  <si>
    <t>Case 4bL</t>
  </si>
  <si>
    <t>useless as mainly conductive</t>
  </si>
  <si>
    <t xml:space="preserve"> </t>
  </si>
  <si>
    <t>Increase porosity of coal bed from 0,25 to 0,50</t>
  </si>
  <si>
    <t>Case 6Hb</t>
  </si>
  <si>
    <t>Case 6Hc</t>
  </si>
  <si>
    <t>Increase hydraulic conductivity of coal bed from 2,14e-04 to 8,14e-04</t>
  </si>
  <si>
    <t>down to -18</t>
  </si>
  <si>
    <t>down to -14</t>
  </si>
  <si>
    <t>down to 0</t>
  </si>
  <si>
    <t>Tr=</t>
  </si>
  <si>
    <t>poro</t>
  </si>
  <si>
    <t>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</si>
</sst>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/>
    <xf numFmtId="11" fontId="1" fillId="0" borderId="0" xfId="0" applyNumberFormat="1" applyFont="1"/>
    <xf numFmtId="0" fontId="1" fillId="0" borderId="0" xfId="0" quotePrefix="1" applyFont="1"/>
    <xf numFmtId="11" fontId="0" fillId="2" borderId="0" xfId="0" applyNumberFormat="1" applyFill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Reservoir temperature change as a</a:t>
            </a:r>
            <a:r>
              <a:rPr lang="en-GB" sz="1200" baseline="0"/>
              <a:t> function of porosity</a:t>
            </a:r>
            <a:endParaRPr lang="en-GB" sz="1200"/>
          </a:p>
        </c:rich>
      </c:tx>
      <c:layout>
        <c:manualLayout>
          <c:xMode val="edge"/>
          <c:yMode val="edge"/>
          <c:x val="0.133346998980499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Feuil1!$C$158</c:f>
              <c:strCache>
                <c:ptCount val="1"/>
                <c:pt idx="0">
                  <c:v>Tr=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Feuil1!$D$157:$L$157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Feuil1!$D$158:$L$158</c:f>
              <c:numCache>
                <c:formatCode>General</c:formatCode>
                <c:ptCount val="9"/>
                <c:pt idx="0">
                  <c:v>17.716547368421054</c:v>
                </c:pt>
                <c:pt idx="1">
                  <c:v>19.931115789473683</c:v>
                </c:pt>
                <c:pt idx="2">
                  <c:v>22.778418045112783</c:v>
                </c:pt>
                <c:pt idx="3">
                  <c:v>26.574821052631577</c:v>
                </c:pt>
                <c:pt idx="4">
                  <c:v>31.889785263157894</c:v>
                </c:pt>
                <c:pt idx="5">
                  <c:v>39.862231578947366</c:v>
                </c:pt>
                <c:pt idx="6">
                  <c:v>53.149642105263148</c:v>
                </c:pt>
                <c:pt idx="7">
                  <c:v>79.724463157894746</c:v>
                </c:pt>
                <c:pt idx="8">
                  <c:v>159.44892631578949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0-4538-BC3E-AE8C0E5CE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529264"/>
        <c:axId val="670527296"/>
      </c:scatterChart>
      <c:valAx>
        <c:axId val="67052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27296"/>
        <c:crosses val="autoZero"/>
        <c:crossBetween val="midCat"/>
      </c:valAx>
      <c:valAx>
        <c:axId val="6705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2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chart" Target="../charts/chart1.xml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716279</xdr:colOff>
      <xdr:row>176</xdr:row>
      <xdr:rowOff>140021</xdr:rowOff>
    </xdr:from>
    <xdr:to>
      <xdr:col>12</xdr:col>
      <xdr:colOff>625786</xdr:colOff>
      <xdr:row>183</xdr:row>
      <xdr:rowOff>94998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60F4A90-34AF-4C75-9D20-F86B37346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3679" y="6836096"/>
          <a:ext cx="4643432" cy="122942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22</xdr:row>
      <xdr:rowOff>66675</xdr:rowOff>
    </xdr:from>
    <xdr:to>
      <xdr:col>4</xdr:col>
      <xdr:colOff>396241</xdr:colOff>
      <xdr:row>24</xdr:row>
      <xdr:rowOff>169545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3B8051A-E6AA-420E-BA87-8D1078774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5426" y="2419350"/>
          <a:ext cx="3177540" cy="472440"/>
        </a:xfrm>
        <a:prstGeom prst="rect">
          <a:avLst/>
        </a:prstGeom>
      </xdr:spPr>
    </xdr:pic>
    <xdr:clientData/>
  </xdr:twoCellAnchor>
  <xdr:twoCellAnchor editAs="oneCell">
    <xdr:from>
      <xdr:col>1</xdr:col>
      <xdr:colOff>3360</xdr:colOff>
      <xdr:row>27</xdr:row>
      <xdr:rowOff>66675</xdr:rowOff>
    </xdr:from>
    <xdr:to>
      <xdr:col>4</xdr:col>
      <xdr:colOff>398145</xdr:colOff>
      <xdr:row>29</xdr:row>
      <xdr:rowOff>171451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D853BA4-D159-4002-B2C4-3CFA87349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9735" y="4953000"/>
          <a:ext cx="3208470" cy="462916"/>
        </a:xfrm>
        <a:prstGeom prst="rect">
          <a:avLst/>
        </a:prstGeom>
      </xdr:spPr>
    </xdr:pic>
    <xdr:clientData/>
  </xdr:twoCellAnchor>
  <xdr:twoCellAnchor editAs="oneCell">
    <xdr:from>
      <xdr:col>0</xdr:col>
      <xdr:colOff>1463040</xdr:colOff>
      <xdr:row>5</xdr:row>
      <xdr:rowOff>163830</xdr:rowOff>
    </xdr:from>
    <xdr:to>
      <xdr:col>4</xdr:col>
      <xdr:colOff>301686</xdr:colOff>
      <xdr:row>8</xdr:row>
      <xdr:rowOff>59055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AFBE35A6-8282-421A-8673-D835DBB34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3040" y="1068705"/>
          <a:ext cx="3124896" cy="445770"/>
        </a:xfrm>
        <a:prstGeom prst="rect">
          <a:avLst/>
        </a:prstGeom>
      </xdr:spPr>
    </xdr:pic>
    <xdr:clientData/>
  </xdr:twoCellAnchor>
  <xdr:twoCellAnchor editAs="oneCell">
    <xdr:from>
      <xdr:col>0</xdr:col>
      <xdr:colOff>1463040</xdr:colOff>
      <xdr:row>0</xdr:row>
      <xdr:rowOff>163697</xdr:rowOff>
    </xdr:from>
    <xdr:to>
      <xdr:col>4</xdr:col>
      <xdr:colOff>396955</xdr:colOff>
      <xdr:row>3</xdr:row>
      <xdr:rowOff>76200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881D7A1-E90C-4837-BF71-CC4AEF02A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3040" y="163697"/>
          <a:ext cx="3223975" cy="455428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1447800</xdr:colOff>
      <xdr:row>37</xdr:row>
      <xdr:rowOff>38100</xdr:rowOff>
    </xdr:from>
    <xdr:to>
      <xdr:col>4</xdr:col>
      <xdr:colOff>302895</xdr:colOff>
      <xdr:row>39</xdr:row>
      <xdr:rowOff>134747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49E1E79C-ECC0-471A-8770-3E6015D76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7800" y="3838575"/>
          <a:ext cx="3141345" cy="454787"/>
        </a:xfrm>
        <a:prstGeom prst="rect">
          <a:avLst/>
        </a:prstGeom>
      </xdr:spPr>
    </xdr:pic>
    <xdr:clientData/>
  </xdr:twoCellAnchor>
  <xdr:twoCellAnchor editAs="oneCell">
    <xdr:from>
      <xdr:col>1</xdr:col>
      <xdr:colOff>21958</xdr:colOff>
      <xdr:row>55</xdr:row>
      <xdr:rowOff>27065</xdr:rowOff>
    </xdr:from>
    <xdr:to>
      <xdr:col>4</xdr:col>
      <xdr:colOff>325755</xdr:colOff>
      <xdr:row>57</xdr:row>
      <xdr:rowOff>117768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6B0CA253-9AD7-4726-BA4B-3FB651F00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98333" y="5637290"/>
          <a:ext cx="3121292" cy="4526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11431</xdr:colOff>
      <xdr:row>32</xdr:row>
      <xdr:rowOff>15240</xdr:rowOff>
    </xdr:from>
    <xdr:to>
      <xdr:col>4</xdr:col>
      <xdr:colOff>323850</xdr:colOff>
      <xdr:row>34</xdr:row>
      <xdr:rowOff>95220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E965ADBF-0EE2-4443-86A0-B86826EDB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87806" y="4720590"/>
          <a:ext cx="3112769" cy="44574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42</xdr:row>
      <xdr:rowOff>85725</xdr:rowOff>
    </xdr:from>
    <xdr:to>
      <xdr:col>4</xdr:col>
      <xdr:colOff>285750</xdr:colOff>
      <xdr:row>44</xdr:row>
      <xdr:rowOff>172176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EA957578-AC54-4E0D-94B2-D1DD20090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04950" y="5695950"/>
          <a:ext cx="3053715" cy="435066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47</xdr:row>
      <xdr:rowOff>0</xdr:rowOff>
    </xdr:from>
    <xdr:ext cx="3169585" cy="495300"/>
    <xdr:pic>
      <xdr:nvPicPr>
        <xdr:cNvPr id="16" name="Image 15">
          <a:extLst>
            <a:ext uri="{FF2B5EF4-FFF2-40B4-BE49-F238E27FC236}">
              <a16:creationId xmlns:a16="http://schemas.microsoft.com/office/drawing/2014/main" id="{DDE35DBF-BEE2-4B54-9E7A-5DABA9F74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76375" y="8324850"/>
          <a:ext cx="3169585" cy="495300"/>
        </a:xfrm>
        <a:prstGeom prst="rect">
          <a:avLst/>
        </a:prstGeom>
      </xdr:spPr>
    </xdr:pic>
    <xdr:clientData/>
  </xdr:oneCellAnchor>
  <xdr:twoCellAnchor editAs="oneCell">
    <xdr:from>
      <xdr:col>0</xdr:col>
      <xdr:colOff>1463041</xdr:colOff>
      <xdr:row>59</xdr:row>
      <xdr:rowOff>171449</xdr:rowOff>
    </xdr:from>
    <xdr:to>
      <xdr:col>5</xdr:col>
      <xdr:colOff>22650</xdr:colOff>
      <xdr:row>62</xdr:row>
      <xdr:rowOff>175259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ABA9EB02-C304-416F-9167-CB3669D4C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63041" y="10125074"/>
          <a:ext cx="3644054" cy="542925"/>
        </a:xfrm>
        <a:prstGeom prst="rect">
          <a:avLst/>
        </a:prstGeom>
      </xdr:spPr>
    </xdr:pic>
    <xdr:clientData/>
  </xdr:twoCellAnchor>
  <xdr:twoCellAnchor editAs="oneCell">
    <xdr:from>
      <xdr:col>0</xdr:col>
      <xdr:colOff>1464947</xdr:colOff>
      <xdr:row>0</xdr:row>
      <xdr:rowOff>135256</xdr:rowOff>
    </xdr:from>
    <xdr:to>
      <xdr:col>5</xdr:col>
      <xdr:colOff>15241</xdr:colOff>
      <xdr:row>3</xdr:row>
      <xdr:rowOff>154740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DABF6FA1-2585-4C5B-A334-FABC3D9C7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64947" y="135256"/>
          <a:ext cx="3621404" cy="562409"/>
        </a:xfrm>
        <a:prstGeom prst="rect">
          <a:avLst/>
        </a:prstGeom>
      </xdr:spPr>
    </xdr:pic>
    <xdr:clientData/>
  </xdr:twoCellAnchor>
  <xdr:twoCellAnchor editAs="oneCell">
    <xdr:from>
      <xdr:col>0</xdr:col>
      <xdr:colOff>1409701</xdr:colOff>
      <xdr:row>5</xdr:row>
      <xdr:rowOff>173355</xdr:rowOff>
    </xdr:from>
    <xdr:to>
      <xdr:col>5</xdr:col>
      <xdr:colOff>15240</xdr:colOff>
      <xdr:row>8</xdr:row>
      <xdr:rowOff>132704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E11A35E2-4FA8-472D-AE11-3CF31F62D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09701" y="1078230"/>
          <a:ext cx="3676649" cy="5137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76201</xdr:rowOff>
    </xdr:from>
    <xdr:to>
      <xdr:col>4</xdr:col>
      <xdr:colOff>781050</xdr:colOff>
      <xdr:row>13</xdr:row>
      <xdr:rowOff>57516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C84EA5C1-9DDB-4EE7-8FF5-5B24B37DC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76375" y="1885951"/>
          <a:ext cx="3590925" cy="51662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</xdr:colOff>
      <xdr:row>22</xdr:row>
      <xdr:rowOff>81916</xdr:rowOff>
    </xdr:from>
    <xdr:to>
      <xdr:col>5</xdr:col>
      <xdr:colOff>53340</xdr:colOff>
      <xdr:row>25</xdr:row>
      <xdr:rowOff>54882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833D018B-D764-4D9A-8931-C4D7E2367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82090" y="4063366"/>
          <a:ext cx="3642360" cy="5063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15239</xdr:rowOff>
    </xdr:from>
    <xdr:to>
      <xdr:col>5</xdr:col>
      <xdr:colOff>34460</xdr:colOff>
      <xdr:row>29</xdr:row>
      <xdr:rowOff>173354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EB7088A-B9E9-486E-AA87-84628BE90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76375" y="4901564"/>
          <a:ext cx="3634910" cy="50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1459230</xdr:colOff>
      <xdr:row>37</xdr:row>
      <xdr:rowOff>26670</xdr:rowOff>
    </xdr:from>
    <xdr:to>
      <xdr:col>5</xdr:col>
      <xdr:colOff>0</xdr:colOff>
      <xdr:row>39</xdr:row>
      <xdr:rowOff>171264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D4BDAA38-3C99-4B3C-BBA0-9303C64C5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59230" y="5817870"/>
          <a:ext cx="3617595" cy="516069"/>
        </a:xfrm>
        <a:prstGeom prst="rect">
          <a:avLst/>
        </a:prstGeom>
      </xdr:spPr>
    </xdr:pic>
    <xdr:clientData/>
  </xdr:twoCellAnchor>
  <xdr:twoCellAnchor editAs="oneCell">
    <xdr:from>
      <xdr:col>0</xdr:col>
      <xdr:colOff>1457325</xdr:colOff>
      <xdr:row>32</xdr:row>
      <xdr:rowOff>15240</xdr:rowOff>
    </xdr:from>
    <xdr:to>
      <xdr:col>5</xdr:col>
      <xdr:colOff>18700</xdr:colOff>
      <xdr:row>35</xdr:row>
      <xdr:rowOff>0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A75AA72B-DB76-46AF-8BEE-7F4A5F995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57325" y="6711315"/>
          <a:ext cx="3651535" cy="52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</xdr:colOff>
      <xdr:row>42</xdr:row>
      <xdr:rowOff>68581</xdr:rowOff>
    </xdr:from>
    <xdr:to>
      <xdr:col>5</xdr:col>
      <xdr:colOff>20955</xdr:colOff>
      <xdr:row>45</xdr:row>
      <xdr:rowOff>56239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98A9D3E4-E773-47A2-9A75-268BCF1FE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87805" y="7669531"/>
          <a:ext cx="3615690" cy="530583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1447801</xdr:colOff>
      <xdr:row>47</xdr:row>
      <xdr:rowOff>0</xdr:rowOff>
    </xdr:from>
    <xdr:to>
      <xdr:col>4</xdr:col>
      <xdr:colOff>758190</xdr:colOff>
      <xdr:row>49</xdr:row>
      <xdr:rowOff>172491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84090665-7626-44D2-887F-0B1905661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447801" y="8505825"/>
          <a:ext cx="3596639" cy="52682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55</xdr:row>
      <xdr:rowOff>15992</xdr:rowOff>
    </xdr:from>
    <xdr:to>
      <xdr:col>5</xdr:col>
      <xdr:colOff>16294</xdr:colOff>
      <xdr:row>58</xdr:row>
      <xdr:rowOff>15240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3BB1CCC8-6E76-4A17-BB44-B4A308800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83995" y="9245717"/>
          <a:ext cx="3612934" cy="545983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1447800</xdr:colOff>
      <xdr:row>64</xdr:row>
      <xdr:rowOff>15240</xdr:rowOff>
    </xdr:from>
    <xdr:to>
      <xdr:col>5</xdr:col>
      <xdr:colOff>15240</xdr:colOff>
      <xdr:row>67</xdr:row>
      <xdr:rowOff>18932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B9084E3C-5B1F-4ED4-BDE1-C14256C89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447800" y="10873740"/>
          <a:ext cx="3648075" cy="550427"/>
        </a:xfrm>
        <a:prstGeom prst="rect">
          <a:avLst/>
        </a:prstGeom>
      </xdr:spPr>
    </xdr:pic>
    <xdr:clientData/>
  </xdr:twoCellAnchor>
  <xdr:twoCellAnchor editAs="oneCell">
    <xdr:from>
      <xdr:col>0</xdr:col>
      <xdr:colOff>1436370</xdr:colOff>
      <xdr:row>59</xdr:row>
      <xdr:rowOff>152400</xdr:rowOff>
    </xdr:from>
    <xdr:to>
      <xdr:col>5</xdr:col>
      <xdr:colOff>38100</xdr:colOff>
      <xdr:row>62</xdr:row>
      <xdr:rowOff>135776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86589DB7-53B8-4DD1-9C70-85C9D2362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436370" y="10106025"/>
          <a:ext cx="3678555" cy="533921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69</xdr:row>
      <xdr:rowOff>47625</xdr:rowOff>
    </xdr:from>
    <xdr:to>
      <xdr:col>8</xdr:col>
      <xdr:colOff>20955</xdr:colOff>
      <xdr:row>72</xdr:row>
      <xdr:rowOff>592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4C5EF53B-07BB-43D4-B305-8E58FAF82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057650" y="11811000"/>
          <a:ext cx="3417570" cy="495892"/>
        </a:xfrm>
        <a:prstGeom prst="rect">
          <a:avLst/>
        </a:prstGeom>
      </xdr:spPr>
    </xdr:pic>
    <xdr:clientData/>
  </xdr:twoCellAnchor>
  <xdr:twoCellAnchor editAs="oneCell">
    <xdr:from>
      <xdr:col>3</xdr:col>
      <xdr:colOff>598170</xdr:colOff>
      <xdr:row>74</xdr:row>
      <xdr:rowOff>102871</xdr:rowOff>
    </xdr:from>
    <xdr:to>
      <xdr:col>8</xdr:col>
      <xdr:colOff>21107</xdr:colOff>
      <xdr:row>77</xdr:row>
      <xdr:rowOff>53340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397ACB-ACD5-43E7-B4BC-C615F8D76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093845" y="12771121"/>
          <a:ext cx="3368192" cy="487679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80</xdr:row>
      <xdr:rowOff>9525</xdr:rowOff>
    </xdr:from>
    <xdr:to>
      <xdr:col>8</xdr:col>
      <xdr:colOff>53340</xdr:colOff>
      <xdr:row>82</xdr:row>
      <xdr:rowOff>173846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413F96DD-2791-4C09-B4BE-749CCF968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095750" y="13763625"/>
          <a:ext cx="3409950" cy="522461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85</xdr:row>
      <xdr:rowOff>76201</xdr:rowOff>
    </xdr:from>
    <xdr:to>
      <xdr:col>8</xdr:col>
      <xdr:colOff>38100</xdr:colOff>
      <xdr:row>88</xdr:row>
      <xdr:rowOff>19361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E92FE9F1-5FDF-4BD5-A5D8-33C11AE52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105275" y="14735176"/>
          <a:ext cx="3381375" cy="48989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51</xdr:row>
      <xdr:rowOff>1</xdr:rowOff>
    </xdr:from>
    <xdr:to>
      <xdr:col>5</xdr:col>
      <xdr:colOff>19051</xdr:colOff>
      <xdr:row>53</xdr:row>
      <xdr:rowOff>170981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D1FC8466-0D60-4030-9214-75A191B0F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476376" y="9229726"/>
          <a:ext cx="3619500" cy="540550"/>
        </a:xfrm>
        <a:prstGeom prst="rect">
          <a:avLst/>
        </a:prstGeom>
      </xdr:spPr>
    </xdr:pic>
    <xdr:clientData/>
  </xdr:twoCellAnchor>
  <xdr:twoCellAnchor editAs="oneCell">
    <xdr:from>
      <xdr:col>0</xdr:col>
      <xdr:colOff>1463041</xdr:colOff>
      <xdr:row>126</xdr:row>
      <xdr:rowOff>15239</xdr:rowOff>
    </xdr:from>
    <xdr:to>
      <xdr:col>5</xdr:col>
      <xdr:colOff>57581</xdr:colOff>
      <xdr:row>128</xdr:row>
      <xdr:rowOff>169544</xdr:rowOff>
    </xdr:to>
    <xdr:pic>
      <xdr:nvPicPr>
        <xdr:cNvPr id="39" name="Image 38">
          <a:extLst>
            <a:ext uri="{FF2B5EF4-FFF2-40B4-BE49-F238E27FC236}">
              <a16:creationId xmlns:a16="http://schemas.microsoft.com/office/drawing/2014/main" id="{66F81283-64F0-4E3E-8400-506C57E21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463041" y="16302989"/>
          <a:ext cx="3667555" cy="50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1476374</xdr:colOff>
      <xdr:row>132</xdr:row>
      <xdr:rowOff>11431</xdr:rowOff>
    </xdr:from>
    <xdr:to>
      <xdr:col>5</xdr:col>
      <xdr:colOff>57149</xdr:colOff>
      <xdr:row>135</xdr:row>
      <xdr:rowOff>18912</xdr:rowOff>
    </xdr:to>
    <xdr:pic>
      <xdr:nvPicPr>
        <xdr:cNvPr id="40" name="Image 39">
          <a:extLst>
            <a:ext uri="{FF2B5EF4-FFF2-40B4-BE49-F238E27FC236}">
              <a16:creationId xmlns:a16="http://schemas.microsoft.com/office/drawing/2014/main" id="{F33B6A20-0776-4802-8D88-1B51C9B5B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476374" y="17385031"/>
          <a:ext cx="3667125" cy="546596"/>
        </a:xfrm>
        <a:prstGeom prst="rect">
          <a:avLst/>
        </a:prstGeom>
      </xdr:spPr>
    </xdr:pic>
    <xdr:clientData/>
  </xdr:twoCellAnchor>
  <xdr:twoCellAnchor editAs="oneCell">
    <xdr:from>
      <xdr:col>0</xdr:col>
      <xdr:colOff>1424941</xdr:colOff>
      <xdr:row>137</xdr:row>
      <xdr:rowOff>114301</xdr:rowOff>
    </xdr:from>
    <xdr:to>
      <xdr:col>5</xdr:col>
      <xdr:colOff>91787</xdr:colOff>
      <xdr:row>140</xdr:row>
      <xdr:rowOff>93346</xdr:rowOff>
    </xdr:to>
    <xdr:pic>
      <xdr:nvPicPr>
        <xdr:cNvPr id="41" name="Image 40">
          <a:extLst>
            <a:ext uri="{FF2B5EF4-FFF2-40B4-BE49-F238E27FC236}">
              <a16:creationId xmlns:a16="http://schemas.microsoft.com/office/drawing/2014/main" id="{EDAFFD28-BB00-42AF-B6C0-D0D25FE05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424941" y="18585181"/>
          <a:ext cx="3737956" cy="5410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28575</xdr:rowOff>
    </xdr:from>
    <xdr:to>
      <xdr:col>5</xdr:col>
      <xdr:colOff>22081</xdr:colOff>
      <xdr:row>106</xdr:row>
      <xdr:rowOff>17145</xdr:rowOff>
    </xdr:to>
    <xdr:pic>
      <xdr:nvPicPr>
        <xdr:cNvPr id="42" name="Image 41">
          <a:extLst>
            <a:ext uri="{FF2B5EF4-FFF2-40B4-BE49-F238E27FC236}">
              <a16:creationId xmlns:a16="http://schemas.microsoft.com/office/drawing/2014/main" id="{CA85773A-279B-4B05-B181-FE7BE723F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476375" y="16316325"/>
          <a:ext cx="3618721" cy="53530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15241</xdr:colOff>
      <xdr:row>108</xdr:row>
      <xdr:rowOff>38100</xdr:rowOff>
    </xdr:from>
    <xdr:to>
      <xdr:col>5</xdr:col>
      <xdr:colOff>17145</xdr:colOff>
      <xdr:row>110</xdr:row>
      <xdr:rowOff>174860</xdr:rowOff>
    </xdr:to>
    <xdr:pic>
      <xdr:nvPicPr>
        <xdr:cNvPr id="44" name="Image 43">
          <a:extLst>
            <a:ext uri="{FF2B5EF4-FFF2-40B4-BE49-F238E27FC236}">
              <a16:creationId xmlns:a16="http://schemas.microsoft.com/office/drawing/2014/main" id="{4F6C22F0-FD5F-4E87-924F-7F7E4A953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491616" y="17230725"/>
          <a:ext cx="3613784" cy="504425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85</xdr:row>
      <xdr:rowOff>81915</xdr:rowOff>
    </xdr:from>
    <xdr:to>
      <xdr:col>8</xdr:col>
      <xdr:colOff>20955</xdr:colOff>
      <xdr:row>88</xdr:row>
      <xdr:rowOff>19667</xdr:rowOff>
    </xdr:to>
    <xdr:pic>
      <xdr:nvPicPr>
        <xdr:cNvPr id="47" name="Image 46">
          <a:extLst>
            <a:ext uri="{FF2B5EF4-FFF2-40B4-BE49-F238E27FC236}">
              <a16:creationId xmlns:a16="http://schemas.microsoft.com/office/drawing/2014/main" id="{B791B293-BFD4-4468-BA44-DCD582C0D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105275" y="15464790"/>
          <a:ext cx="3364230" cy="473057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609601</xdr:colOff>
      <xdr:row>80</xdr:row>
      <xdr:rowOff>43816</xdr:rowOff>
    </xdr:from>
    <xdr:to>
      <xdr:col>8</xdr:col>
      <xdr:colOff>38100</xdr:colOff>
      <xdr:row>82</xdr:row>
      <xdr:rowOff>168895</xdr:rowOff>
    </xdr:to>
    <xdr:pic>
      <xdr:nvPicPr>
        <xdr:cNvPr id="48" name="Image 47">
          <a:extLst>
            <a:ext uri="{FF2B5EF4-FFF2-40B4-BE49-F238E27FC236}">
              <a16:creationId xmlns:a16="http://schemas.microsoft.com/office/drawing/2014/main" id="{4B404B85-27B4-415A-B33A-BBBD94B4C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105276" y="14521816"/>
          <a:ext cx="3381374" cy="47750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</xdr:colOff>
      <xdr:row>90</xdr:row>
      <xdr:rowOff>53340</xdr:rowOff>
    </xdr:from>
    <xdr:to>
      <xdr:col>4</xdr:col>
      <xdr:colOff>748665</xdr:colOff>
      <xdr:row>99</xdr:row>
      <xdr:rowOff>60956</xdr:rowOff>
    </xdr:to>
    <xdr:pic>
      <xdr:nvPicPr>
        <xdr:cNvPr id="49" name="Image 48">
          <a:extLst>
            <a:ext uri="{FF2B5EF4-FFF2-40B4-BE49-F238E27FC236}">
              <a16:creationId xmlns:a16="http://schemas.microsoft.com/office/drawing/2014/main" id="{BF422148-056A-4C64-A177-3A2D5E73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493520" y="16341090"/>
          <a:ext cx="3545205" cy="1628771"/>
        </a:xfrm>
        <a:prstGeom prst="rect">
          <a:avLst/>
        </a:prstGeom>
      </xdr:spPr>
    </xdr:pic>
    <xdr:clientData/>
  </xdr:twoCellAnchor>
  <xdr:twoCellAnchor editAs="oneCell">
    <xdr:from>
      <xdr:col>0</xdr:col>
      <xdr:colOff>1463040</xdr:colOff>
      <xdr:row>114</xdr:row>
      <xdr:rowOff>15240</xdr:rowOff>
    </xdr:from>
    <xdr:to>
      <xdr:col>5</xdr:col>
      <xdr:colOff>15240</xdr:colOff>
      <xdr:row>117</xdr:row>
      <xdr:rowOff>18034</xdr:rowOff>
    </xdr:to>
    <xdr:pic>
      <xdr:nvPicPr>
        <xdr:cNvPr id="50" name="Image 49">
          <a:extLst>
            <a:ext uri="{FF2B5EF4-FFF2-40B4-BE49-F238E27FC236}">
              <a16:creationId xmlns:a16="http://schemas.microsoft.com/office/drawing/2014/main" id="{E8CDE84B-4648-4586-B085-018B24601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463040" y="20646390"/>
          <a:ext cx="3632835" cy="549529"/>
        </a:xfrm>
        <a:prstGeom prst="rect">
          <a:avLst/>
        </a:prstGeom>
      </xdr:spPr>
    </xdr:pic>
    <xdr:clientData/>
  </xdr:twoCellAnchor>
  <xdr:twoCellAnchor editAs="oneCell">
    <xdr:from>
      <xdr:col>0</xdr:col>
      <xdr:colOff>1459231</xdr:colOff>
      <xdr:row>120</xdr:row>
      <xdr:rowOff>26670</xdr:rowOff>
    </xdr:from>
    <xdr:to>
      <xdr:col>5</xdr:col>
      <xdr:colOff>26671</xdr:colOff>
      <xdr:row>123</xdr:row>
      <xdr:rowOff>16600</xdr:rowOff>
    </xdr:to>
    <xdr:pic>
      <xdr:nvPicPr>
        <xdr:cNvPr id="51" name="Image 50">
          <a:extLst>
            <a:ext uri="{FF2B5EF4-FFF2-40B4-BE49-F238E27FC236}">
              <a16:creationId xmlns:a16="http://schemas.microsoft.com/office/drawing/2014/main" id="{93FC1473-3ED4-43D4-9145-87FA5314B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459231" y="21743670"/>
          <a:ext cx="3646170" cy="5290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1</xdr:rowOff>
    </xdr:from>
    <xdr:to>
      <xdr:col>5</xdr:col>
      <xdr:colOff>33017</xdr:colOff>
      <xdr:row>18</xdr:row>
      <xdr:rowOff>133351</xdr:rowOff>
    </xdr:to>
    <xdr:pic>
      <xdr:nvPicPr>
        <xdr:cNvPr id="52" name="Image 51">
          <a:extLst>
            <a:ext uri="{FF2B5EF4-FFF2-40B4-BE49-F238E27FC236}">
              <a16:creationId xmlns:a16="http://schemas.microsoft.com/office/drawing/2014/main" id="{FDFBD70A-6861-4E5A-B780-D24D625E5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476375" y="2895601"/>
          <a:ext cx="3633467" cy="495300"/>
        </a:xfrm>
        <a:prstGeom prst="rect">
          <a:avLst/>
        </a:prstGeom>
      </xdr:spPr>
    </xdr:pic>
    <xdr:clientData/>
  </xdr:twoCellAnchor>
  <xdr:twoCellAnchor>
    <xdr:from>
      <xdr:col>13</xdr:col>
      <xdr:colOff>68580</xdr:colOff>
      <xdr:row>156</xdr:row>
      <xdr:rowOff>38100</xdr:rowOff>
    </xdr:from>
    <xdr:to>
      <xdr:col>16</xdr:col>
      <xdr:colOff>2301240</xdr:colOff>
      <xdr:row>170</xdr:row>
      <xdr:rowOff>110490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0"/>
  <sheetViews>
    <sheetView tabSelected="1" topLeftCell="A81" workbookViewId="0">
      <selection activeCell="J151" sqref="J151"/>
    </sheetView>
  </sheetViews>
  <sheetFormatPr defaultColWidth="11.5546875" defaultRowHeight="14.4" x14ac:dyDescent="0.3"/>
  <cols>
    <col min="1" max="1" width="21.5546875" customWidth="1"/>
    <col min="2" max="2" width="17.88671875" bestFit="1" customWidth="1"/>
    <col min="10" max="10" width="11.5546875" style="6"/>
    <col min="13" max="13" width="11.5546875" style="2"/>
    <col min="14" max="14" width="11.5546875" style="6"/>
    <col min="15" max="16" width="11.5546875" style="2"/>
    <col min="17" max="17" width="37.33203125" bestFit="1" customWidth="1"/>
  </cols>
  <sheetData>
    <row r="1" spans="1:17" s="6" customFormat="1" x14ac:dyDescent="0.3">
      <c r="A1" s="9" t="s">
        <v>80</v>
      </c>
      <c r="B1" s="9" t="s">
        <v>1</v>
      </c>
      <c r="C1" s="11" t="s">
        <v>2</v>
      </c>
      <c r="D1" s="9" t="s">
        <v>2</v>
      </c>
      <c r="E1" s="9" t="s">
        <v>2</v>
      </c>
      <c r="F1" s="9">
        <v>2500</v>
      </c>
      <c r="G1" s="9">
        <v>1000</v>
      </c>
      <c r="H1" s="9">
        <v>950</v>
      </c>
      <c r="I1" s="9">
        <v>4680</v>
      </c>
      <c r="J1" s="9">
        <v>0.1</v>
      </c>
      <c r="K1" s="9">
        <v>0.25</v>
      </c>
      <c r="L1" s="9">
        <f>(F1*H1)*(1-K1)</f>
        <v>1781250</v>
      </c>
      <c r="M1" s="9">
        <v>2.78</v>
      </c>
      <c r="N1" s="9">
        <v>0.31</v>
      </c>
      <c r="O1" s="9">
        <v>0.6</v>
      </c>
      <c r="P1" s="9">
        <f>M1*(1-K1)+O1*K1</f>
        <v>2.2349999999999999</v>
      </c>
      <c r="Q1" s="9" t="s">
        <v>74</v>
      </c>
    </row>
    <row r="2" spans="1:17" s="6" customFormat="1" x14ac:dyDescent="0.3">
      <c r="A2" s="9"/>
      <c r="B2" s="9"/>
      <c r="C2" s="11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s="6" customFormat="1" x14ac:dyDescent="0.3">
      <c r="A3" s="6" t="s">
        <v>81</v>
      </c>
      <c r="B3" s="9"/>
      <c r="C3" s="11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s="6" customFormat="1" x14ac:dyDescent="0.3">
      <c r="A4" s="9"/>
      <c r="B4" s="9"/>
      <c r="C4" s="11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s="6" customFormat="1" x14ac:dyDescent="0.3">
      <c r="A5" s="9"/>
      <c r="B5" s="9"/>
      <c r="C5" s="11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3">
      <c r="A6" s="2" t="s">
        <v>75</v>
      </c>
      <c r="B6" s="2" t="s">
        <v>1</v>
      </c>
      <c r="C6" s="11" t="s">
        <v>11</v>
      </c>
      <c r="D6" s="2" t="s">
        <v>2</v>
      </c>
      <c r="E6" s="2" t="s">
        <v>2</v>
      </c>
      <c r="F6" s="2">
        <v>2500</v>
      </c>
      <c r="G6" s="2">
        <v>1000</v>
      </c>
      <c r="H6" s="2">
        <v>950</v>
      </c>
      <c r="I6" s="2">
        <v>4680</v>
      </c>
      <c r="J6" s="6">
        <v>0.1</v>
      </c>
      <c r="K6" s="2">
        <v>0.25</v>
      </c>
      <c r="L6" s="2">
        <f>(F6*H6)*(1-K6)</f>
        <v>1781250</v>
      </c>
      <c r="M6" s="2">
        <v>2.78</v>
      </c>
      <c r="N6" s="6">
        <v>0.31</v>
      </c>
      <c r="O6" s="2">
        <v>0.6</v>
      </c>
      <c r="P6" s="2">
        <f>M6*(1-K6)+O6*K6</f>
        <v>2.2349999999999999</v>
      </c>
      <c r="Q6" s="9" t="s">
        <v>74</v>
      </c>
    </row>
    <row r="7" spans="1:17" s="6" customFormat="1" x14ac:dyDescent="0.3">
      <c r="C7" s="11"/>
      <c r="Q7" s="9"/>
    </row>
    <row r="8" spans="1:17" s="6" customFormat="1" x14ac:dyDescent="0.3">
      <c r="A8" s="6" t="s">
        <v>97</v>
      </c>
      <c r="C8" s="11"/>
      <c r="M8" s="6" t="s">
        <v>138</v>
      </c>
      <c r="Q8" s="9"/>
    </row>
    <row r="9" spans="1:17" s="6" customFormat="1" x14ac:dyDescent="0.3">
      <c r="C9" s="11"/>
      <c r="Q9" s="9"/>
    </row>
    <row r="10" spans="1:17" s="6" customFormat="1" x14ac:dyDescent="0.3">
      <c r="A10" s="6" t="s">
        <v>76</v>
      </c>
      <c r="B10" s="6" t="s">
        <v>1</v>
      </c>
      <c r="C10" s="11" t="s">
        <v>11</v>
      </c>
      <c r="D10" s="6" t="s">
        <v>2</v>
      </c>
      <c r="E10" s="6" t="s">
        <v>2</v>
      </c>
      <c r="F10" s="6">
        <v>2500</v>
      </c>
      <c r="G10" s="6">
        <v>1000</v>
      </c>
      <c r="H10" s="6">
        <v>950</v>
      </c>
      <c r="I10" s="6">
        <v>4680</v>
      </c>
      <c r="J10" s="6">
        <v>0.1</v>
      </c>
      <c r="K10" s="6">
        <v>0.25</v>
      </c>
      <c r="L10" s="6">
        <f>(F10*H10)*(1-K10)</f>
        <v>1781250</v>
      </c>
      <c r="M10" s="13">
        <v>2.78</v>
      </c>
      <c r="N10" s="8">
        <v>2.78</v>
      </c>
      <c r="O10" s="6">
        <v>0.6</v>
      </c>
      <c r="P10" s="6">
        <f>M10*(1-K10)+O10*K10</f>
        <v>2.2349999999999999</v>
      </c>
      <c r="Q10" s="9" t="s">
        <v>74</v>
      </c>
    </row>
    <row r="11" spans="1:17" s="6" customFormat="1" x14ac:dyDescent="0.3">
      <c r="C11" s="11"/>
      <c r="Q11" s="9"/>
    </row>
    <row r="12" spans="1:17" s="6" customFormat="1" x14ac:dyDescent="0.3">
      <c r="C12" s="11"/>
      <c r="M12" s="6" t="s">
        <v>139</v>
      </c>
      <c r="Q12" s="9"/>
    </row>
    <row r="13" spans="1:17" s="6" customFormat="1" x14ac:dyDescent="0.3">
      <c r="A13" s="6" t="s">
        <v>99</v>
      </c>
      <c r="C13" s="11"/>
      <c r="Q13" s="9"/>
    </row>
    <row r="14" spans="1:17" s="6" customFormat="1" x14ac:dyDescent="0.3">
      <c r="C14" s="11"/>
      <c r="Q14" s="9"/>
    </row>
    <row r="15" spans="1:17" s="6" customFormat="1" x14ac:dyDescent="0.3">
      <c r="A15" s="6" t="s">
        <v>98</v>
      </c>
      <c r="B15" s="6" t="s">
        <v>1</v>
      </c>
      <c r="C15" s="11" t="s">
        <v>11</v>
      </c>
      <c r="D15" s="6" t="s">
        <v>2</v>
      </c>
      <c r="E15" s="6" t="s">
        <v>2</v>
      </c>
      <c r="F15" s="6">
        <v>2500</v>
      </c>
      <c r="G15" s="6">
        <v>1000</v>
      </c>
      <c r="H15" s="6">
        <v>950</v>
      </c>
      <c r="I15" s="6">
        <v>4680</v>
      </c>
      <c r="J15" s="6">
        <v>0.1</v>
      </c>
      <c r="K15" s="6">
        <v>0.25</v>
      </c>
      <c r="L15" s="6">
        <f>(F15*H15)*(1-K15)</f>
        <v>1781250</v>
      </c>
      <c r="M15" s="8">
        <v>1.75</v>
      </c>
      <c r="N15" s="13">
        <v>0.31</v>
      </c>
      <c r="O15" s="6">
        <v>0.6</v>
      </c>
      <c r="P15" s="6">
        <f>M15*(1-K15)+O15*K15</f>
        <v>1.4624999999999999</v>
      </c>
      <c r="Q15" s="9" t="s">
        <v>74</v>
      </c>
    </row>
    <row r="16" spans="1:17" s="6" customFormat="1" x14ac:dyDescent="0.3">
      <c r="C16" s="11"/>
      <c r="M16" s="13"/>
      <c r="N16" s="13"/>
      <c r="O16" s="13"/>
      <c r="Q16" s="9"/>
    </row>
    <row r="17" spans="1:17" s="6" customFormat="1" x14ac:dyDescent="0.3">
      <c r="C17" s="11"/>
      <c r="M17" s="13" t="s">
        <v>137</v>
      </c>
      <c r="N17" s="13"/>
      <c r="O17" s="13"/>
      <c r="Q17" s="9"/>
    </row>
    <row r="18" spans="1:17" s="6" customFormat="1" x14ac:dyDescent="0.3">
      <c r="A18" s="6" t="s">
        <v>97</v>
      </c>
      <c r="C18" s="11"/>
      <c r="M18" s="13"/>
      <c r="N18" s="13"/>
      <c r="O18" s="13"/>
      <c r="Q18" s="9"/>
    </row>
    <row r="19" spans="1:17" s="6" customFormat="1" x14ac:dyDescent="0.3">
      <c r="C19" s="11"/>
      <c r="M19" s="13"/>
      <c r="N19" s="13"/>
      <c r="O19" s="13"/>
      <c r="Q19" s="9"/>
    </row>
    <row r="20" spans="1:17" s="6" customFormat="1" x14ac:dyDescent="0.3">
      <c r="C20" s="11"/>
      <c r="M20" s="13"/>
      <c r="N20" s="13"/>
      <c r="O20" s="13"/>
      <c r="Q20" s="9"/>
    </row>
    <row r="21" spans="1:17" s="6" customFormat="1" x14ac:dyDescent="0.3">
      <c r="C21" s="11"/>
      <c r="Q21" s="9"/>
    </row>
    <row r="22" spans="1:17" s="6" customFormat="1" x14ac:dyDescent="0.3">
      <c r="A22" s="6" t="s">
        <v>100</v>
      </c>
      <c r="B22" s="6" t="s">
        <v>1</v>
      </c>
      <c r="C22" s="11" t="s">
        <v>11</v>
      </c>
      <c r="D22" s="6" t="s">
        <v>2</v>
      </c>
      <c r="E22" s="6" t="s">
        <v>2</v>
      </c>
      <c r="F22" s="6">
        <v>2500</v>
      </c>
      <c r="G22" s="6">
        <v>1000</v>
      </c>
      <c r="H22" s="6">
        <v>950</v>
      </c>
      <c r="I22" s="6">
        <v>4680</v>
      </c>
      <c r="J22" s="6">
        <v>0.1</v>
      </c>
      <c r="K22" s="6">
        <v>0.25</v>
      </c>
      <c r="L22" s="6">
        <f>(F22*H22)*(1-K22)</f>
        <v>1781250</v>
      </c>
      <c r="M22" s="6">
        <v>2.78</v>
      </c>
      <c r="N22" s="6">
        <v>0.31</v>
      </c>
      <c r="O22" s="6">
        <v>0.6</v>
      </c>
      <c r="P22" s="6">
        <f>M22*(1-K22)+O22*K22</f>
        <v>2.2349999999999999</v>
      </c>
      <c r="Q22" s="9" t="s">
        <v>3</v>
      </c>
    </row>
    <row r="23" spans="1:17" s="6" customFormat="1" x14ac:dyDescent="0.3">
      <c r="C23" s="11"/>
      <c r="Q23" s="9"/>
    </row>
    <row r="24" spans="1:17" s="6" customFormat="1" x14ac:dyDescent="0.3">
      <c r="A24" s="6" t="s">
        <v>101</v>
      </c>
      <c r="C24" s="11"/>
      <c r="Q24" s="9"/>
    </row>
    <row r="25" spans="1:17" s="6" customFormat="1" x14ac:dyDescent="0.3">
      <c r="C25" s="11"/>
      <c r="Q25" s="9"/>
    </row>
    <row r="26" spans="1:17" s="6" customFormat="1" x14ac:dyDescent="0.3">
      <c r="C26" s="11"/>
      <c r="Q26" s="9"/>
    </row>
    <row r="27" spans="1:17" x14ac:dyDescent="0.3">
      <c r="A27" s="2" t="s">
        <v>0</v>
      </c>
      <c r="B27" s="2" t="s">
        <v>4</v>
      </c>
      <c r="C27" s="11" t="s">
        <v>11</v>
      </c>
      <c r="D27" s="2" t="s">
        <v>2</v>
      </c>
      <c r="E27" s="2" t="s">
        <v>2</v>
      </c>
      <c r="F27" s="2">
        <v>2500</v>
      </c>
      <c r="G27" s="2">
        <v>1000</v>
      </c>
      <c r="H27" s="2">
        <v>950</v>
      </c>
      <c r="I27" s="2">
        <v>4680</v>
      </c>
      <c r="J27" s="6">
        <v>0.1</v>
      </c>
      <c r="K27" s="2">
        <v>0.25</v>
      </c>
      <c r="L27" s="2">
        <f>(F27*H27)*(1-K27)+(G27*I27)*K27</f>
        <v>2951250</v>
      </c>
      <c r="M27" s="2">
        <v>2.78</v>
      </c>
      <c r="N27" s="6">
        <v>0.31</v>
      </c>
      <c r="O27" s="2">
        <v>0.6</v>
      </c>
      <c r="P27" s="2">
        <f t="shared" ref="P27:P147" si="0">M27*(1-K27)+O27*K27</f>
        <v>2.2349999999999999</v>
      </c>
      <c r="Q27" s="2" t="s">
        <v>3</v>
      </c>
    </row>
    <row r="28" spans="1:17" s="6" customFormat="1" x14ac:dyDescent="0.3">
      <c r="C28" s="11"/>
    </row>
    <row r="29" spans="1:17" s="6" customFormat="1" x14ac:dyDescent="0.3">
      <c r="A29" s="6" t="s">
        <v>101</v>
      </c>
      <c r="C29" s="11"/>
    </row>
    <row r="30" spans="1:17" s="6" customFormat="1" x14ac:dyDescent="0.3">
      <c r="C30" s="11"/>
    </row>
    <row r="31" spans="1:17" s="6" customFormat="1" x14ac:dyDescent="0.3">
      <c r="C31" s="11"/>
    </row>
    <row r="32" spans="1:17" s="6" customFormat="1" x14ac:dyDescent="0.3">
      <c r="A32" s="6" t="s">
        <v>103</v>
      </c>
      <c r="B32" s="6" t="s">
        <v>4</v>
      </c>
      <c r="C32" s="3" t="s">
        <v>2</v>
      </c>
      <c r="D32" s="11" t="s">
        <v>82</v>
      </c>
      <c r="E32" s="11" t="s">
        <v>82</v>
      </c>
      <c r="F32" s="6">
        <v>2500</v>
      </c>
      <c r="G32" s="6">
        <v>1000</v>
      </c>
      <c r="H32" s="6">
        <v>950</v>
      </c>
      <c r="I32" s="6">
        <v>4680</v>
      </c>
      <c r="J32" s="6">
        <v>0.1</v>
      </c>
      <c r="K32" s="6">
        <v>0.25</v>
      </c>
      <c r="L32" s="6">
        <f>(F32*H32)*(1-K32)+(G32*I32)*K32</f>
        <v>2951250</v>
      </c>
      <c r="M32" s="6">
        <v>2.78</v>
      </c>
      <c r="N32" s="6">
        <v>0.31</v>
      </c>
      <c r="O32" s="6">
        <v>0.6</v>
      </c>
      <c r="P32" s="6">
        <f t="shared" ref="P32" si="1">M32*(1-K32)+O32*K32</f>
        <v>2.2349999999999999</v>
      </c>
      <c r="Q32" s="6" t="s">
        <v>83</v>
      </c>
    </row>
    <row r="33" spans="1:17" s="6" customFormat="1" x14ac:dyDescent="0.3">
      <c r="C33" s="3"/>
      <c r="D33" s="11"/>
      <c r="Q33" s="6" t="s">
        <v>102</v>
      </c>
    </row>
    <row r="34" spans="1:17" s="6" customFormat="1" x14ac:dyDescent="0.3">
      <c r="A34" s="6" t="s">
        <v>81</v>
      </c>
      <c r="C34" s="3"/>
      <c r="D34" s="11"/>
    </row>
    <row r="35" spans="1:17" s="6" customFormat="1" x14ac:dyDescent="0.3">
      <c r="C35" s="3"/>
      <c r="D35" s="11"/>
    </row>
    <row r="36" spans="1:17" s="6" customFormat="1" x14ac:dyDescent="0.3">
      <c r="C36" s="3"/>
      <c r="D36" s="11"/>
    </row>
    <row r="37" spans="1:17" x14ac:dyDescent="0.3">
      <c r="A37" s="2" t="s">
        <v>86</v>
      </c>
      <c r="B37" s="2" t="s">
        <v>4</v>
      </c>
      <c r="C37" s="3" t="s">
        <v>2</v>
      </c>
      <c r="D37" s="11" t="s">
        <v>22</v>
      </c>
      <c r="E37" s="2" t="s">
        <v>5</v>
      </c>
      <c r="F37" s="2">
        <v>2500</v>
      </c>
      <c r="G37" s="2">
        <v>1000</v>
      </c>
      <c r="H37" s="2">
        <v>950</v>
      </c>
      <c r="I37" s="2">
        <v>4680</v>
      </c>
      <c r="J37" s="6">
        <v>0.1</v>
      </c>
      <c r="K37" s="2">
        <v>0.25</v>
      </c>
      <c r="L37" s="2">
        <f>(F37*H37)*(1-K37)+(G37*I37)*K37</f>
        <v>2951250</v>
      </c>
      <c r="M37" s="2">
        <v>2.78</v>
      </c>
      <c r="N37" s="6">
        <v>0.31</v>
      </c>
      <c r="O37" s="2">
        <v>0.6</v>
      </c>
      <c r="P37" s="2">
        <f t="shared" si="0"/>
        <v>2.2349999999999999</v>
      </c>
      <c r="Q37" s="2" t="s">
        <v>77</v>
      </c>
    </row>
    <row r="38" spans="1:17" s="6" customFormat="1" x14ac:dyDescent="0.3">
      <c r="C38" s="3"/>
      <c r="D38" s="3"/>
    </row>
    <row r="39" spans="1:17" s="6" customFormat="1" x14ac:dyDescent="0.3">
      <c r="A39" s="6" t="s">
        <v>81</v>
      </c>
      <c r="C39" s="3"/>
      <c r="D39" s="3"/>
    </row>
    <row r="40" spans="1:17" s="6" customFormat="1" x14ac:dyDescent="0.3">
      <c r="C40" s="3"/>
      <c r="D40" s="3"/>
    </row>
    <row r="41" spans="1:17" s="6" customFormat="1" x14ac:dyDescent="0.3">
      <c r="C41" s="3"/>
      <c r="D41" s="3"/>
    </row>
    <row r="42" spans="1:17" s="6" customFormat="1" x14ac:dyDescent="0.3">
      <c r="A42" s="6" t="s">
        <v>88</v>
      </c>
      <c r="B42" s="6" t="s">
        <v>4</v>
      </c>
      <c r="C42" s="3" t="s">
        <v>2</v>
      </c>
      <c r="D42" s="11" t="s">
        <v>22</v>
      </c>
      <c r="E42" s="6" t="s">
        <v>5</v>
      </c>
      <c r="F42" s="6">
        <v>2500</v>
      </c>
      <c r="G42" s="6">
        <v>1000</v>
      </c>
      <c r="H42" s="6">
        <v>950</v>
      </c>
      <c r="I42" s="6">
        <v>4680</v>
      </c>
      <c r="J42" s="6">
        <v>0.1</v>
      </c>
      <c r="K42" s="6">
        <v>0.25</v>
      </c>
      <c r="L42" s="6">
        <f>(F42*H42)*(1-K42)+(G42*I42)*K42</f>
        <v>2951250</v>
      </c>
      <c r="M42" s="6">
        <v>2.78</v>
      </c>
      <c r="N42" s="6">
        <v>0.31</v>
      </c>
      <c r="O42" s="6">
        <v>0.6</v>
      </c>
      <c r="P42" s="6">
        <f t="shared" ref="P42" si="2">M42*(1-K42)+O42*K42</f>
        <v>2.2349999999999999</v>
      </c>
      <c r="Q42" s="6" t="s">
        <v>89</v>
      </c>
    </row>
    <row r="43" spans="1:17" s="6" customFormat="1" x14ac:dyDescent="0.3">
      <c r="C43" s="3"/>
      <c r="D43" s="3"/>
    </row>
    <row r="44" spans="1:17" s="6" customFormat="1" x14ac:dyDescent="0.3">
      <c r="A44" s="6" t="s">
        <v>81</v>
      </c>
      <c r="C44" s="3"/>
      <c r="D44" s="3"/>
    </row>
    <row r="45" spans="1:17" s="6" customFormat="1" x14ac:dyDescent="0.3">
      <c r="C45" s="3"/>
      <c r="D45" s="3"/>
    </row>
    <row r="46" spans="1:17" s="6" customFormat="1" x14ac:dyDescent="0.3">
      <c r="C46" s="3"/>
      <c r="D46" s="3"/>
    </row>
    <row r="47" spans="1:17" s="6" customFormat="1" x14ac:dyDescent="0.3">
      <c r="A47" s="6" t="s">
        <v>92</v>
      </c>
      <c r="B47" s="6" t="s">
        <v>4</v>
      </c>
      <c r="C47" s="3" t="s">
        <v>2</v>
      </c>
      <c r="D47" s="3" t="s">
        <v>22</v>
      </c>
      <c r="E47" s="6" t="s">
        <v>78</v>
      </c>
      <c r="F47" s="6">
        <v>2500</v>
      </c>
      <c r="G47" s="6">
        <v>1000</v>
      </c>
      <c r="H47" s="6">
        <v>950</v>
      </c>
      <c r="I47" s="6">
        <v>4680</v>
      </c>
      <c r="J47" s="6">
        <v>0.1</v>
      </c>
      <c r="K47" s="6">
        <v>0.25</v>
      </c>
      <c r="L47" s="6">
        <v>2951250</v>
      </c>
      <c r="M47" s="6">
        <v>2.78</v>
      </c>
      <c r="N47" s="6">
        <v>0.31</v>
      </c>
      <c r="O47" s="6">
        <v>0.6</v>
      </c>
      <c r="P47" s="6">
        <v>2.2349999999999999</v>
      </c>
      <c r="Q47" s="6" t="s">
        <v>84</v>
      </c>
    </row>
    <row r="48" spans="1:17" s="6" customFormat="1" x14ac:dyDescent="0.3">
      <c r="C48" s="3"/>
      <c r="D48" s="3"/>
    </row>
    <row r="49" spans="1:17" s="6" customFormat="1" x14ac:dyDescent="0.3">
      <c r="A49" s="6" t="s">
        <v>87</v>
      </c>
      <c r="C49" s="3"/>
      <c r="D49" s="3"/>
    </row>
    <row r="50" spans="1:17" s="6" customFormat="1" x14ac:dyDescent="0.3">
      <c r="C50" s="3"/>
      <c r="D50" s="3"/>
    </row>
    <row r="51" spans="1:17" s="6" customFormat="1" x14ac:dyDescent="0.3">
      <c r="A51" s="6" t="s">
        <v>92</v>
      </c>
      <c r="B51" s="6" t="s">
        <v>4</v>
      </c>
      <c r="C51" s="3" t="s">
        <v>2</v>
      </c>
      <c r="D51" s="3" t="s">
        <v>22</v>
      </c>
      <c r="E51" s="6" t="s">
        <v>78</v>
      </c>
      <c r="F51" s="6">
        <v>2500</v>
      </c>
      <c r="G51" s="6">
        <v>1000</v>
      </c>
      <c r="H51" s="6">
        <v>950</v>
      </c>
      <c r="I51" s="6">
        <v>4680</v>
      </c>
      <c r="J51" s="6">
        <v>0.1</v>
      </c>
      <c r="K51" s="6">
        <v>0.25</v>
      </c>
      <c r="L51" s="6">
        <v>2951250</v>
      </c>
      <c r="M51" s="6">
        <v>2.78</v>
      </c>
      <c r="N51" s="8">
        <v>2.78</v>
      </c>
      <c r="O51" s="6">
        <v>0.6</v>
      </c>
      <c r="P51" s="6">
        <v>2.2349999999999999</v>
      </c>
      <c r="Q51" s="6" t="s">
        <v>84</v>
      </c>
    </row>
    <row r="52" spans="1:17" s="6" customFormat="1" x14ac:dyDescent="0.3">
      <c r="C52" s="3"/>
      <c r="D52" s="3"/>
    </row>
    <row r="53" spans="1:17" s="6" customFormat="1" x14ac:dyDescent="0.3">
      <c r="A53" s="6" t="s">
        <v>87</v>
      </c>
      <c r="C53" s="3"/>
      <c r="D53" s="3"/>
    </row>
    <row r="54" spans="1:17" s="6" customFormat="1" x14ac:dyDescent="0.3">
      <c r="C54" s="3"/>
      <c r="D54" s="3"/>
    </row>
    <row r="55" spans="1:17" x14ac:dyDescent="0.3">
      <c r="A55" s="2" t="s">
        <v>79</v>
      </c>
      <c r="B55" s="2" t="s">
        <v>4</v>
      </c>
      <c r="C55" s="3" t="s">
        <v>2</v>
      </c>
      <c r="D55" s="11" t="s">
        <v>22</v>
      </c>
      <c r="E55" s="2" t="s">
        <v>78</v>
      </c>
      <c r="F55" s="2">
        <v>2500</v>
      </c>
      <c r="G55" s="2">
        <v>1000</v>
      </c>
      <c r="H55" s="2">
        <v>950</v>
      </c>
      <c r="I55" s="2">
        <v>4680</v>
      </c>
      <c r="J55" s="6">
        <v>0.1</v>
      </c>
      <c r="K55" s="2">
        <v>0.25</v>
      </c>
      <c r="L55" s="2">
        <f>(F55*H55)*(1-K55)+(G55*I55)*K55</f>
        <v>2951250</v>
      </c>
      <c r="M55" s="2">
        <v>2.78</v>
      </c>
      <c r="N55" s="6">
        <v>0.31</v>
      </c>
      <c r="O55" s="2">
        <v>0.6</v>
      </c>
      <c r="P55" s="2">
        <f t="shared" si="0"/>
        <v>2.2349999999999999</v>
      </c>
      <c r="Q55" s="2" t="s">
        <v>85</v>
      </c>
    </row>
    <row r="56" spans="1:17" s="6" customFormat="1" x14ac:dyDescent="0.3">
      <c r="C56" s="3"/>
      <c r="D56" s="3"/>
    </row>
    <row r="57" spans="1:17" s="6" customFormat="1" x14ac:dyDescent="0.3">
      <c r="A57" s="6" t="s">
        <v>87</v>
      </c>
      <c r="C57" s="3"/>
      <c r="D57" s="3"/>
    </row>
    <row r="58" spans="1:17" s="6" customFormat="1" x14ac:dyDescent="0.3">
      <c r="C58" s="3"/>
      <c r="D58" s="3"/>
    </row>
    <row r="59" spans="1:17" s="6" customFormat="1" x14ac:dyDescent="0.3">
      <c r="C59" s="3"/>
      <c r="D59" s="3"/>
    </row>
    <row r="60" spans="1:17" s="6" customFormat="1" x14ac:dyDescent="0.3">
      <c r="A60" s="6" t="s">
        <v>90</v>
      </c>
      <c r="B60" s="6" t="s">
        <v>4</v>
      </c>
      <c r="C60" s="3" t="s">
        <v>2</v>
      </c>
      <c r="D60" s="3" t="s">
        <v>22</v>
      </c>
      <c r="E60" s="6" t="s">
        <v>78</v>
      </c>
      <c r="F60" s="6">
        <v>2500</v>
      </c>
      <c r="G60" s="6">
        <v>1000</v>
      </c>
      <c r="H60" s="6">
        <v>950</v>
      </c>
      <c r="I60" s="6">
        <v>4680</v>
      </c>
      <c r="J60" s="6">
        <v>0.1</v>
      </c>
      <c r="K60" s="6">
        <v>0.25</v>
      </c>
      <c r="L60" s="6">
        <v>2951250</v>
      </c>
      <c r="M60" s="13">
        <v>2.78</v>
      </c>
      <c r="N60" s="8">
        <v>2.78</v>
      </c>
      <c r="O60" s="6">
        <v>0.6</v>
      </c>
      <c r="P60" s="6">
        <v>2.2349999999999999</v>
      </c>
      <c r="Q60" s="6" t="s">
        <v>85</v>
      </c>
    </row>
    <row r="61" spans="1:17" s="6" customFormat="1" x14ac:dyDescent="0.3">
      <c r="C61" s="3"/>
      <c r="D61" s="3"/>
    </row>
    <row r="62" spans="1:17" s="6" customFormat="1" x14ac:dyDescent="0.3">
      <c r="A62" s="6" t="s">
        <v>87</v>
      </c>
      <c r="C62" s="3"/>
      <c r="D62" s="3"/>
    </row>
    <row r="63" spans="1:17" s="6" customFormat="1" x14ac:dyDescent="0.3">
      <c r="C63" s="3"/>
      <c r="D63" s="3"/>
    </row>
    <row r="64" spans="1:17" s="6" customFormat="1" x14ac:dyDescent="0.3">
      <c r="A64" s="6" t="s">
        <v>104</v>
      </c>
      <c r="B64" s="6" t="s">
        <v>4</v>
      </c>
      <c r="C64" s="3" t="s">
        <v>2</v>
      </c>
      <c r="D64" s="3" t="s">
        <v>22</v>
      </c>
      <c r="E64" s="6" t="s">
        <v>78</v>
      </c>
      <c r="F64" s="6">
        <v>2500</v>
      </c>
      <c r="G64" s="6">
        <v>1000</v>
      </c>
      <c r="H64" s="6">
        <v>950</v>
      </c>
      <c r="I64" s="6">
        <v>4680</v>
      </c>
      <c r="J64" s="6">
        <v>0.1</v>
      </c>
      <c r="K64" s="6">
        <v>0.25</v>
      </c>
      <c r="L64" s="6">
        <v>2951250</v>
      </c>
      <c r="M64" s="8">
        <v>1.75</v>
      </c>
      <c r="N64" s="6">
        <v>0.31</v>
      </c>
      <c r="O64" s="6">
        <v>0.6</v>
      </c>
      <c r="P64" s="6">
        <v>2.2349999999999999</v>
      </c>
      <c r="Q64" s="6" t="s">
        <v>85</v>
      </c>
    </row>
    <row r="65" spans="1:17" s="6" customFormat="1" x14ac:dyDescent="0.3">
      <c r="C65" s="3"/>
      <c r="D65" s="3"/>
    </row>
    <row r="66" spans="1:17" s="6" customFormat="1" x14ac:dyDescent="0.3">
      <c r="A66" s="6" t="s">
        <v>87</v>
      </c>
      <c r="C66" s="3"/>
      <c r="D66" s="3"/>
    </row>
    <row r="67" spans="1:17" s="6" customFormat="1" x14ac:dyDescent="0.3">
      <c r="C67" s="3"/>
      <c r="D67" s="3"/>
    </row>
    <row r="68" spans="1:17" s="6" customFormat="1" x14ac:dyDescent="0.3">
      <c r="C68" s="3"/>
      <c r="D68" s="11"/>
    </row>
    <row r="69" spans="1:17" s="6" customFormat="1" x14ac:dyDescent="0.3">
      <c r="A69" s="6" t="s">
        <v>91</v>
      </c>
      <c r="B69" s="6" t="s">
        <v>4</v>
      </c>
      <c r="C69" s="3" t="s">
        <v>2</v>
      </c>
      <c r="D69" s="3" t="s">
        <v>22</v>
      </c>
      <c r="E69" s="6" t="s">
        <v>78</v>
      </c>
      <c r="F69" s="6">
        <v>2500</v>
      </c>
      <c r="G69" s="6">
        <v>1000</v>
      </c>
      <c r="H69" s="6">
        <v>950</v>
      </c>
      <c r="I69" s="6">
        <v>4680</v>
      </c>
      <c r="J69" s="6">
        <v>0.1</v>
      </c>
      <c r="K69" s="6">
        <v>0.25</v>
      </c>
      <c r="L69" s="6">
        <v>2951250</v>
      </c>
      <c r="M69" s="6">
        <v>2.78</v>
      </c>
      <c r="N69" s="6">
        <v>0.31</v>
      </c>
      <c r="O69" s="6">
        <v>0.6</v>
      </c>
      <c r="P69" s="6">
        <v>2.2349999999999999</v>
      </c>
      <c r="Q69" s="6" t="s">
        <v>85</v>
      </c>
    </row>
    <row r="70" spans="1:17" s="6" customFormat="1" x14ac:dyDescent="0.3">
      <c r="B70" s="6" t="s">
        <v>93</v>
      </c>
      <c r="C70" s="3"/>
      <c r="D70" s="3"/>
    </row>
    <row r="71" spans="1:17" s="6" customFormat="1" x14ac:dyDescent="0.3">
      <c r="A71" s="6" t="s">
        <v>87</v>
      </c>
      <c r="C71" s="3"/>
      <c r="D71" s="3"/>
    </row>
    <row r="72" spans="1:17" s="6" customFormat="1" x14ac:dyDescent="0.3">
      <c r="C72" s="3"/>
      <c r="D72" s="3"/>
    </row>
    <row r="73" spans="1:17" s="6" customFormat="1" x14ac:dyDescent="0.3">
      <c r="C73" s="3"/>
      <c r="D73" s="3"/>
    </row>
    <row r="74" spans="1:17" s="6" customFormat="1" x14ac:dyDescent="0.3">
      <c r="A74" s="6" t="s">
        <v>95</v>
      </c>
      <c r="B74" s="6" t="s">
        <v>4</v>
      </c>
      <c r="C74" s="3" t="s">
        <v>2</v>
      </c>
      <c r="D74" s="3" t="s">
        <v>22</v>
      </c>
      <c r="E74" s="6" t="s">
        <v>78</v>
      </c>
      <c r="F74" s="6">
        <v>2500</v>
      </c>
      <c r="G74" s="6">
        <v>1000</v>
      </c>
      <c r="H74" s="6">
        <v>950</v>
      </c>
      <c r="I74" s="6">
        <v>4680</v>
      </c>
      <c r="J74" s="6">
        <v>0.1</v>
      </c>
      <c r="K74" s="6">
        <v>0.25</v>
      </c>
      <c r="L74" s="6">
        <v>2951250</v>
      </c>
      <c r="M74" s="6">
        <v>2.78</v>
      </c>
      <c r="N74" s="6">
        <v>0.31</v>
      </c>
      <c r="O74" s="6">
        <v>0.6</v>
      </c>
      <c r="P74" s="6">
        <v>2.2349999999999999</v>
      </c>
      <c r="Q74" s="6" t="s">
        <v>85</v>
      </c>
    </row>
    <row r="75" spans="1:17" s="6" customFormat="1" x14ac:dyDescent="0.3">
      <c r="B75" s="6" t="s">
        <v>94</v>
      </c>
      <c r="C75" s="3"/>
      <c r="D75" s="3"/>
    </row>
    <row r="76" spans="1:17" s="6" customFormat="1" x14ac:dyDescent="0.3">
      <c r="A76" s="6" t="s">
        <v>87</v>
      </c>
      <c r="C76" s="3"/>
      <c r="D76" s="3"/>
    </row>
    <row r="77" spans="1:17" s="6" customFormat="1" x14ac:dyDescent="0.3">
      <c r="C77" s="3"/>
      <c r="D77" s="3"/>
    </row>
    <row r="78" spans="1:17" s="6" customFormat="1" x14ac:dyDescent="0.3">
      <c r="C78" s="3"/>
      <c r="D78" s="3"/>
    </row>
    <row r="79" spans="1:17" s="6" customFormat="1" x14ac:dyDescent="0.3">
      <c r="A79" s="6" t="s">
        <v>96</v>
      </c>
      <c r="B79" s="6" t="s">
        <v>4</v>
      </c>
      <c r="C79" s="3" t="s">
        <v>2</v>
      </c>
      <c r="D79" s="3" t="s">
        <v>22</v>
      </c>
      <c r="E79" s="6" t="s">
        <v>78</v>
      </c>
      <c r="F79" s="6">
        <v>2500</v>
      </c>
      <c r="G79" s="6">
        <v>1000</v>
      </c>
      <c r="H79" s="6">
        <v>950</v>
      </c>
      <c r="I79" s="6">
        <v>4680</v>
      </c>
      <c r="J79" s="6">
        <v>0.1</v>
      </c>
      <c r="K79" s="6">
        <v>0.25</v>
      </c>
      <c r="L79" s="6">
        <v>2951250</v>
      </c>
      <c r="M79" s="6">
        <v>2.78</v>
      </c>
      <c r="N79" s="6">
        <v>0.31</v>
      </c>
      <c r="O79" s="6">
        <v>0.6</v>
      </c>
      <c r="P79" s="6">
        <v>2.2349999999999999</v>
      </c>
      <c r="Q79" s="6" t="s">
        <v>85</v>
      </c>
    </row>
    <row r="80" spans="1:17" s="6" customFormat="1" x14ac:dyDescent="0.3">
      <c r="B80" s="6" t="s">
        <v>129</v>
      </c>
      <c r="C80" s="3"/>
      <c r="D80" s="3"/>
    </row>
    <row r="81" spans="1:17" s="6" customFormat="1" x14ac:dyDescent="0.3">
      <c r="A81" s="6" t="s">
        <v>87</v>
      </c>
      <c r="B81" s="6" t="s">
        <v>131</v>
      </c>
      <c r="C81" s="3"/>
      <c r="D81" s="3"/>
    </row>
    <row r="82" spans="1:17" s="6" customFormat="1" x14ac:dyDescent="0.3">
      <c r="C82" s="3"/>
      <c r="D82" s="3"/>
    </row>
    <row r="83" spans="1:17" s="6" customFormat="1" x14ac:dyDescent="0.3">
      <c r="C83" s="3"/>
      <c r="D83" s="3"/>
    </row>
    <row r="84" spans="1:17" s="6" customFormat="1" x14ac:dyDescent="0.3">
      <c r="A84" s="6" t="s">
        <v>105</v>
      </c>
      <c r="B84" s="6" t="s">
        <v>4</v>
      </c>
      <c r="C84" s="3" t="s">
        <v>2</v>
      </c>
      <c r="D84" s="3" t="s">
        <v>22</v>
      </c>
      <c r="E84" s="6" t="s">
        <v>78</v>
      </c>
      <c r="F84" s="6">
        <v>2500</v>
      </c>
      <c r="G84" s="6">
        <v>1000</v>
      </c>
      <c r="H84" s="6">
        <v>950</v>
      </c>
      <c r="I84" s="6">
        <v>4680</v>
      </c>
      <c r="J84" s="6">
        <v>0.1</v>
      </c>
      <c r="K84" s="6">
        <v>0.25</v>
      </c>
      <c r="L84" s="6">
        <v>2951250</v>
      </c>
      <c r="M84" s="6">
        <v>2.78</v>
      </c>
      <c r="N84" s="6">
        <v>0.31</v>
      </c>
      <c r="O84" s="6">
        <v>0.6</v>
      </c>
      <c r="P84" s="6">
        <v>2.2349999999999999</v>
      </c>
      <c r="Q84" s="6" t="s">
        <v>85</v>
      </c>
    </row>
    <row r="85" spans="1:17" s="6" customFormat="1" x14ac:dyDescent="0.3">
      <c r="B85" s="6" t="s">
        <v>128</v>
      </c>
      <c r="C85" s="3"/>
      <c r="D85" s="3"/>
    </row>
    <row r="86" spans="1:17" s="6" customFormat="1" x14ac:dyDescent="0.3">
      <c r="A86" s="6" t="s">
        <v>87</v>
      </c>
      <c r="B86" s="6" t="s">
        <v>131</v>
      </c>
      <c r="C86" s="3"/>
      <c r="D86" s="3"/>
    </row>
    <row r="87" spans="1:17" s="6" customFormat="1" x14ac:dyDescent="0.3">
      <c r="C87" s="3"/>
      <c r="D87" s="3"/>
    </row>
    <row r="88" spans="1:17" s="6" customFormat="1" x14ac:dyDescent="0.3">
      <c r="C88" s="3"/>
      <c r="D88" s="3"/>
    </row>
    <row r="89" spans="1:17" s="6" customFormat="1" x14ac:dyDescent="0.3">
      <c r="C89" s="3"/>
      <c r="D89" s="3"/>
    </row>
    <row r="90" spans="1:17" s="6" customFormat="1" x14ac:dyDescent="0.3">
      <c r="A90" s="6" t="s">
        <v>130</v>
      </c>
      <c r="B90" s="6" t="s">
        <v>4</v>
      </c>
      <c r="C90" s="3" t="s">
        <v>2</v>
      </c>
      <c r="D90" s="11" t="s">
        <v>22</v>
      </c>
      <c r="E90" s="6" t="s">
        <v>78</v>
      </c>
      <c r="F90" s="6">
        <v>2500</v>
      </c>
      <c r="G90" s="6">
        <v>1000</v>
      </c>
      <c r="H90" s="6">
        <v>950</v>
      </c>
      <c r="I90" s="6">
        <v>4680</v>
      </c>
      <c r="J90" s="6">
        <v>0.1</v>
      </c>
      <c r="K90" s="6">
        <v>0.25</v>
      </c>
      <c r="L90" s="6">
        <f>(F90*H90)*(1-K90)+(G90*I90)*K90</f>
        <v>2951250</v>
      </c>
      <c r="M90" s="6">
        <v>2.78</v>
      </c>
      <c r="N90" s="6">
        <v>0.31</v>
      </c>
      <c r="O90" s="6">
        <v>0.6</v>
      </c>
      <c r="P90" s="6">
        <f t="shared" ref="P90" si="3">M90*(1-K90)+O90*K90</f>
        <v>2.2349999999999999</v>
      </c>
      <c r="Q90" s="6" t="s">
        <v>85</v>
      </c>
    </row>
    <row r="91" spans="1:17" s="6" customFormat="1" x14ac:dyDescent="0.3">
      <c r="C91" s="3"/>
      <c r="D91" s="3"/>
    </row>
    <row r="92" spans="1:17" s="6" customFormat="1" x14ac:dyDescent="0.3">
      <c r="A92" s="6" t="s">
        <v>87</v>
      </c>
      <c r="C92" s="3"/>
      <c r="D92" s="3"/>
    </row>
    <row r="93" spans="1:17" s="6" customFormat="1" x14ac:dyDescent="0.3">
      <c r="C93" s="3"/>
      <c r="D93" s="3"/>
    </row>
    <row r="94" spans="1:17" s="6" customFormat="1" x14ac:dyDescent="0.3">
      <c r="C94" s="3"/>
      <c r="D94" s="3"/>
    </row>
    <row r="95" spans="1:17" s="6" customFormat="1" x14ac:dyDescent="0.3">
      <c r="C95" s="3"/>
      <c r="D95" s="3"/>
    </row>
    <row r="96" spans="1:17" s="6" customFormat="1" x14ac:dyDescent="0.3">
      <c r="C96" s="3"/>
      <c r="D96" s="3"/>
    </row>
    <row r="97" spans="1:20" s="6" customFormat="1" x14ac:dyDescent="0.3">
      <c r="C97" s="3"/>
      <c r="D97" s="3"/>
    </row>
    <row r="98" spans="1:20" s="6" customFormat="1" x14ac:dyDescent="0.3">
      <c r="C98" s="3"/>
      <c r="D98" s="3"/>
    </row>
    <row r="99" spans="1:20" s="6" customFormat="1" x14ac:dyDescent="0.3">
      <c r="C99" s="3"/>
      <c r="D99" s="3"/>
    </row>
    <row r="100" spans="1:20" s="6" customFormat="1" x14ac:dyDescent="0.3">
      <c r="C100" s="3"/>
      <c r="D100" s="3"/>
    </row>
    <row r="101" spans="1:20" s="6" customFormat="1" x14ac:dyDescent="0.3">
      <c r="C101" s="3"/>
      <c r="D101" s="3"/>
    </row>
    <row r="102" spans="1:20" s="6" customFormat="1" x14ac:dyDescent="0.3">
      <c r="C102" s="3"/>
      <c r="D102" s="3"/>
    </row>
    <row r="103" spans="1:20" x14ac:dyDescent="0.3">
      <c r="A103" s="4" t="s">
        <v>123</v>
      </c>
      <c r="B103" s="4" t="s">
        <v>6</v>
      </c>
      <c r="C103" s="5" t="s">
        <v>11</v>
      </c>
      <c r="D103" s="4" t="s">
        <v>2</v>
      </c>
      <c r="E103" s="4" t="s">
        <v>5</v>
      </c>
      <c r="F103" s="4">
        <v>2500</v>
      </c>
      <c r="G103" s="4">
        <v>1000</v>
      </c>
      <c r="H103" s="4">
        <v>950</v>
      </c>
      <c r="I103" s="4">
        <v>4680</v>
      </c>
      <c r="J103" s="6">
        <v>0.1</v>
      </c>
      <c r="K103" s="4">
        <v>0.25</v>
      </c>
      <c r="L103" s="4">
        <f>(F103*H103)*(1-K103)+(G103*I103)*K103</f>
        <v>2951250</v>
      </c>
      <c r="M103" s="4">
        <v>2.78</v>
      </c>
      <c r="N103" s="6">
        <v>0.31</v>
      </c>
      <c r="O103" s="4">
        <v>0.6</v>
      </c>
      <c r="P103" s="4">
        <f>M103*(1-K103)+O103*K103</f>
        <v>2.2349999999999999</v>
      </c>
      <c r="Q103" s="4" t="s">
        <v>7</v>
      </c>
      <c r="R103" s="4"/>
      <c r="S103" s="4"/>
      <c r="T103" s="4"/>
    </row>
    <row r="104" spans="1:20" s="6" customFormat="1" x14ac:dyDescent="0.3">
      <c r="A104" s="9"/>
      <c r="B104" s="9"/>
      <c r="C104" s="11"/>
      <c r="D104" s="9"/>
      <c r="E104" s="9"/>
      <c r="F104" s="9"/>
      <c r="G104" s="9"/>
      <c r="H104" s="9"/>
      <c r="I104" s="9"/>
      <c r="K104" s="9"/>
      <c r="L104" s="9"/>
      <c r="M104" s="9"/>
      <c r="O104" s="9"/>
      <c r="P104" s="9"/>
      <c r="Q104" s="9" t="s">
        <v>124</v>
      </c>
      <c r="R104" s="9"/>
      <c r="S104" s="9"/>
      <c r="T104" s="9"/>
    </row>
    <row r="105" spans="1:20" s="6" customFormat="1" x14ac:dyDescent="0.3">
      <c r="A105" s="6" t="s">
        <v>126</v>
      </c>
      <c r="B105" s="9"/>
      <c r="C105" s="11"/>
      <c r="D105" s="9"/>
      <c r="E105" s="9"/>
      <c r="F105" s="9"/>
      <c r="G105" s="9"/>
      <c r="H105" s="9"/>
      <c r="I105" s="9"/>
      <c r="K105" s="9"/>
      <c r="L105" s="9"/>
      <c r="M105" s="9"/>
      <c r="O105" s="9"/>
      <c r="P105" s="9"/>
      <c r="Q105" s="9"/>
      <c r="R105" s="9"/>
      <c r="S105" s="9"/>
      <c r="T105" s="9"/>
    </row>
    <row r="106" spans="1:20" s="6" customFormat="1" x14ac:dyDescent="0.3">
      <c r="A106" s="9"/>
      <c r="B106" s="9"/>
      <c r="C106" s="11"/>
      <c r="D106" s="9"/>
      <c r="E106" s="9"/>
      <c r="F106" s="9"/>
      <c r="G106" s="9"/>
      <c r="H106" s="9"/>
      <c r="I106" s="9"/>
      <c r="K106" s="9"/>
      <c r="L106" s="9"/>
      <c r="M106" s="9"/>
      <c r="O106" s="9"/>
      <c r="P106" s="9"/>
      <c r="Q106" s="9"/>
      <c r="R106" s="9"/>
      <c r="S106" s="9"/>
      <c r="T106" s="9"/>
    </row>
    <row r="107" spans="1:20" s="6" customFormat="1" x14ac:dyDescent="0.3">
      <c r="A107" s="9"/>
      <c r="B107" s="9"/>
      <c r="C107" s="11"/>
      <c r="D107" s="9"/>
      <c r="E107" s="9"/>
      <c r="F107" s="9"/>
      <c r="G107" s="9"/>
      <c r="H107" s="9"/>
      <c r="I107" s="9"/>
      <c r="K107" s="9"/>
      <c r="L107" s="9"/>
      <c r="M107" s="9"/>
      <c r="O107" s="9"/>
      <c r="P107" s="9"/>
      <c r="Q107" s="9"/>
      <c r="R107" s="9"/>
      <c r="S107" s="9"/>
      <c r="T107" s="9"/>
    </row>
    <row r="108" spans="1:20" s="6" customFormat="1" x14ac:dyDescent="0.3">
      <c r="A108" s="9" t="s">
        <v>108</v>
      </c>
      <c r="B108" s="9" t="s">
        <v>6</v>
      </c>
      <c r="C108" s="11" t="s">
        <v>2</v>
      </c>
      <c r="D108" s="11" t="s">
        <v>22</v>
      </c>
      <c r="E108" s="9" t="s">
        <v>119</v>
      </c>
      <c r="F108" s="9">
        <v>2500</v>
      </c>
      <c r="G108" s="9">
        <v>1000</v>
      </c>
      <c r="H108" s="9">
        <v>950</v>
      </c>
      <c r="I108" s="9">
        <v>4680</v>
      </c>
      <c r="J108" s="6">
        <v>0.1</v>
      </c>
      <c r="K108" s="9">
        <v>0.25</v>
      </c>
      <c r="L108" s="9">
        <f>(F108*H108)*(1-K108)+(G108*I108)*K108</f>
        <v>2951250</v>
      </c>
      <c r="M108" s="9">
        <v>2.78</v>
      </c>
      <c r="N108" s="6">
        <v>0.31</v>
      </c>
      <c r="O108" s="9">
        <v>0.6</v>
      </c>
      <c r="P108" s="6">
        <f t="shared" ref="P108" si="4">M108*(1-K108)+O108*K108</f>
        <v>2.2349999999999999</v>
      </c>
      <c r="Q108" s="6" t="s">
        <v>120</v>
      </c>
    </row>
    <row r="109" spans="1:20" s="6" customFormat="1" x14ac:dyDescent="0.3">
      <c r="C109" s="3"/>
      <c r="D109" s="3"/>
      <c r="Q109" s="6" t="s">
        <v>121</v>
      </c>
    </row>
    <row r="110" spans="1:20" s="6" customFormat="1" x14ac:dyDescent="0.3">
      <c r="A110" s="6" t="s">
        <v>127</v>
      </c>
      <c r="C110" s="3"/>
      <c r="D110" s="3"/>
      <c r="Q110" s="6" t="s">
        <v>122</v>
      </c>
    </row>
    <row r="111" spans="1:20" s="6" customFormat="1" x14ac:dyDescent="0.3">
      <c r="C111" s="3"/>
      <c r="D111" s="3"/>
    </row>
    <row r="112" spans="1:20" s="6" customFormat="1" x14ac:dyDescent="0.3">
      <c r="C112" s="3"/>
      <c r="D112" s="3"/>
    </row>
    <row r="113" spans="1:17" s="6" customFormat="1" x14ac:dyDescent="0.3">
      <c r="A113" s="9" t="s">
        <v>134</v>
      </c>
      <c r="B113" s="9" t="s">
        <v>6</v>
      </c>
      <c r="C113" s="11" t="s">
        <v>2</v>
      </c>
      <c r="D113" s="11" t="s">
        <v>22</v>
      </c>
      <c r="E113" s="9" t="s">
        <v>119</v>
      </c>
      <c r="F113" s="9">
        <v>2500</v>
      </c>
      <c r="G113" s="9">
        <v>1000</v>
      </c>
      <c r="H113" s="9">
        <v>950</v>
      </c>
      <c r="I113" s="9">
        <v>4680</v>
      </c>
      <c r="J113" s="6">
        <v>0.1</v>
      </c>
      <c r="K113" s="9">
        <v>0.25</v>
      </c>
      <c r="L113" s="9">
        <f>(F113*H113)*(1-K113)+(G113*I113)*K113</f>
        <v>2951250</v>
      </c>
      <c r="M113" s="9">
        <v>2.78</v>
      </c>
      <c r="N113" s="6">
        <v>0.31</v>
      </c>
      <c r="O113" s="9">
        <v>0.6</v>
      </c>
      <c r="P113" s="6">
        <f t="shared" ref="P113" si="5">M113*(1-K113)+O113*K113</f>
        <v>2.2349999999999999</v>
      </c>
      <c r="Q113" s="6" t="s">
        <v>120</v>
      </c>
    </row>
    <row r="114" spans="1:17" s="6" customFormat="1" x14ac:dyDescent="0.3">
      <c r="B114" s="6" t="s">
        <v>136</v>
      </c>
      <c r="C114" s="3"/>
      <c r="D114" s="3"/>
    </row>
    <row r="115" spans="1:17" s="6" customFormat="1" x14ac:dyDescent="0.3">
      <c r="B115" s="7"/>
      <c r="C115" s="3"/>
      <c r="D115" s="3"/>
    </row>
    <row r="116" spans="1:17" s="6" customFormat="1" x14ac:dyDescent="0.3">
      <c r="C116" s="3"/>
      <c r="D116" s="3"/>
    </row>
    <row r="117" spans="1:17" s="6" customFormat="1" x14ac:dyDescent="0.3">
      <c r="C117" s="3"/>
      <c r="D117" s="3"/>
    </row>
    <row r="118" spans="1:17" s="6" customFormat="1" x14ac:dyDescent="0.3">
      <c r="C118" s="3"/>
      <c r="D118" s="3"/>
    </row>
    <row r="119" spans="1:17" s="6" customFormat="1" x14ac:dyDescent="0.3">
      <c r="A119" s="9" t="s">
        <v>135</v>
      </c>
      <c r="B119" s="9" t="s">
        <v>6</v>
      </c>
      <c r="C119" s="11" t="s">
        <v>2</v>
      </c>
      <c r="D119" s="11" t="s">
        <v>22</v>
      </c>
      <c r="E119" s="9" t="s">
        <v>119</v>
      </c>
      <c r="F119" s="9">
        <v>2500</v>
      </c>
      <c r="G119" s="9">
        <v>1000</v>
      </c>
      <c r="H119" s="9">
        <v>950</v>
      </c>
      <c r="I119" s="9">
        <v>4680</v>
      </c>
      <c r="J119" s="6">
        <v>0.1</v>
      </c>
      <c r="K119" s="9">
        <v>0.25</v>
      </c>
      <c r="L119" s="9">
        <f>(F119*H119)*(1-K119)+(G119*I119)*K119</f>
        <v>2951250</v>
      </c>
      <c r="M119" s="9">
        <v>2.78</v>
      </c>
      <c r="N119" s="6">
        <v>0.31</v>
      </c>
      <c r="O119" s="9">
        <v>0.6</v>
      </c>
      <c r="P119" s="6">
        <f t="shared" ref="P119" si="6">M119*(1-K119)+O119*K119</f>
        <v>2.2349999999999999</v>
      </c>
      <c r="Q119" s="6" t="s">
        <v>120</v>
      </c>
    </row>
    <row r="120" spans="1:17" s="6" customFormat="1" x14ac:dyDescent="0.3">
      <c r="B120" s="6" t="s">
        <v>133</v>
      </c>
      <c r="C120" s="3"/>
      <c r="D120" s="3"/>
    </row>
    <row r="121" spans="1:17" s="6" customFormat="1" x14ac:dyDescent="0.3">
      <c r="C121" s="3"/>
      <c r="D121" s="3"/>
    </row>
    <row r="122" spans="1:17" s="6" customFormat="1" x14ac:dyDescent="0.3">
      <c r="C122" s="3"/>
      <c r="D122" s="3"/>
    </row>
    <row r="123" spans="1:17" s="6" customFormat="1" x14ac:dyDescent="0.3">
      <c r="C123" s="3"/>
      <c r="D123" s="3"/>
    </row>
    <row r="124" spans="1:17" s="6" customFormat="1" x14ac:dyDescent="0.3">
      <c r="C124" s="3"/>
      <c r="D124" s="3"/>
    </row>
    <row r="125" spans="1:17" s="6" customFormat="1" x14ac:dyDescent="0.3">
      <c r="C125" s="3"/>
      <c r="D125" s="3"/>
    </row>
    <row r="126" spans="1:17" s="6" customFormat="1" x14ac:dyDescent="0.3">
      <c r="A126" s="9" t="s">
        <v>109</v>
      </c>
      <c r="B126" s="9" t="s">
        <v>6</v>
      </c>
      <c r="C126" s="11" t="s">
        <v>2</v>
      </c>
      <c r="D126" s="11" t="s">
        <v>22</v>
      </c>
      <c r="E126" s="9" t="s">
        <v>112</v>
      </c>
      <c r="F126" s="9">
        <v>2500</v>
      </c>
      <c r="G126" s="9">
        <v>1000</v>
      </c>
      <c r="H126" s="9">
        <v>950</v>
      </c>
      <c r="I126" s="9">
        <v>4680</v>
      </c>
      <c r="J126" s="6">
        <v>0.1</v>
      </c>
      <c r="K126" s="9">
        <v>0.25</v>
      </c>
      <c r="L126" s="9">
        <f>(F126*H126)*(1-K126)+(G126*I126)*K126</f>
        <v>2951250</v>
      </c>
      <c r="M126" s="9">
        <v>2.78</v>
      </c>
      <c r="N126" s="6">
        <v>0.31</v>
      </c>
      <c r="O126" s="9">
        <v>0.6</v>
      </c>
      <c r="P126" s="6">
        <f t="shared" ref="P126" si="7">M126*(1-K126)+O126*K126</f>
        <v>2.2349999999999999</v>
      </c>
      <c r="Q126" s="6" t="s">
        <v>106</v>
      </c>
    </row>
    <row r="127" spans="1:17" s="6" customFormat="1" x14ac:dyDescent="0.3">
      <c r="C127" s="3"/>
      <c r="D127" s="3"/>
      <c r="Q127" s="6" t="s">
        <v>107</v>
      </c>
    </row>
    <row r="128" spans="1:17" s="6" customFormat="1" x14ac:dyDescent="0.3">
      <c r="A128" s="6" t="s">
        <v>87</v>
      </c>
      <c r="C128" s="3"/>
      <c r="D128" s="3"/>
      <c r="Q128" s="6" t="s">
        <v>110</v>
      </c>
    </row>
    <row r="129" spans="1:17" s="6" customFormat="1" x14ac:dyDescent="0.3">
      <c r="C129" s="3"/>
      <c r="D129" s="3"/>
    </row>
    <row r="130" spans="1:17" s="6" customFormat="1" x14ac:dyDescent="0.3">
      <c r="C130" s="3"/>
      <c r="D130" s="3"/>
    </row>
    <row r="131" spans="1:17" s="6" customFormat="1" x14ac:dyDescent="0.3">
      <c r="C131" s="3"/>
      <c r="D131" s="3"/>
    </row>
    <row r="132" spans="1:17" s="6" customFormat="1" x14ac:dyDescent="0.3">
      <c r="A132" s="9" t="s">
        <v>113</v>
      </c>
      <c r="B132" s="9" t="s">
        <v>6</v>
      </c>
      <c r="C132" s="11" t="s">
        <v>2</v>
      </c>
      <c r="D132" s="11" t="s">
        <v>22</v>
      </c>
      <c r="E132" s="9" t="s">
        <v>112</v>
      </c>
      <c r="F132" s="9">
        <v>2500</v>
      </c>
      <c r="G132" s="9">
        <v>1000</v>
      </c>
      <c r="H132" s="9">
        <v>950</v>
      </c>
      <c r="I132" s="9">
        <v>4680</v>
      </c>
      <c r="J132" s="6">
        <v>0.1</v>
      </c>
      <c r="K132" s="9">
        <v>0.25</v>
      </c>
      <c r="L132" s="9">
        <f>(F132*H132)*(1-K132)+(G132*I132)*K132</f>
        <v>2951250</v>
      </c>
      <c r="M132" s="9">
        <v>2.78</v>
      </c>
      <c r="N132" s="6">
        <v>0.31</v>
      </c>
      <c r="O132" s="9">
        <v>0.6</v>
      </c>
      <c r="P132" s="6">
        <f t="shared" ref="P132" si="8">M132*(1-K132)+O132*K132</f>
        <v>2.2349999999999999</v>
      </c>
      <c r="Q132" s="6" t="s">
        <v>106</v>
      </c>
    </row>
    <row r="133" spans="1:17" s="6" customFormat="1" x14ac:dyDescent="0.3">
      <c r="C133" s="3"/>
      <c r="D133" s="3"/>
      <c r="Q133" s="6" t="s">
        <v>111</v>
      </c>
    </row>
    <row r="134" spans="1:17" s="6" customFormat="1" x14ac:dyDescent="0.3">
      <c r="A134" s="6" t="s">
        <v>87</v>
      </c>
      <c r="C134" s="3"/>
      <c r="D134" s="3"/>
    </row>
    <row r="135" spans="1:17" s="6" customFormat="1" x14ac:dyDescent="0.3">
      <c r="C135" s="3"/>
      <c r="D135" s="3"/>
    </row>
    <row r="136" spans="1:17" s="6" customFormat="1" x14ac:dyDescent="0.3">
      <c r="C136" s="3"/>
      <c r="D136" s="3"/>
    </row>
    <row r="137" spans="1:17" s="6" customFormat="1" x14ac:dyDescent="0.3">
      <c r="A137" s="9" t="s">
        <v>114</v>
      </c>
      <c r="B137" s="9" t="s">
        <v>6</v>
      </c>
      <c r="C137" s="11" t="s">
        <v>2</v>
      </c>
      <c r="D137" s="11" t="s">
        <v>22</v>
      </c>
      <c r="E137" s="9" t="s">
        <v>112</v>
      </c>
      <c r="F137" s="9">
        <v>2500</v>
      </c>
      <c r="G137" s="9">
        <v>1000</v>
      </c>
      <c r="H137" s="9">
        <v>950</v>
      </c>
      <c r="I137" s="9">
        <v>4680</v>
      </c>
      <c r="J137" s="6">
        <v>0.1</v>
      </c>
      <c r="K137" s="9">
        <v>0.25</v>
      </c>
      <c r="L137" s="9">
        <f>(F137*H137)*(1-K137)+(G137*I137)*K137</f>
        <v>2951250</v>
      </c>
      <c r="M137" s="9">
        <v>2.78</v>
      </c>
      <c r="N137" s="6">
        <v>0.31</v>
      </c>
      <c r="O137" s="9">
        <v>0.6</v>
      </c>
      <c r="P137" s="6">
        <f t="shared" ref="P137" si="9">M137*(1-K137)+O137*K137</f>
        <v>2.2349999999999999</v>
      </c>
      <c r="Q137" s="6" t="s">
        <v>115</v>
      </c>
    </row>
    <row r="138" spans="1:17" s="6" customFormat="1" x14ac:dyDescent="0.3">
      <c r="C138" s="3"/>
      <c r="D138" s="3"/>
      <c r="Q138" s="6" t="s">
        <v>116</v>
      </c>
    </row>
    <row r="139" spans="1:17" s="6" customFormat="1" x14ac:dyDescent="0.3">
      <c r="C139" s="3"/>
      <c r="D139" s="3"/>
      <c r="Q139" s="6" t="s">
        <v>117</v>
      </c>
    </row>
    <row r="140" spans="1:17" s="6" customFormat="1" x14ac:dyDescent="0.3">
      <c r="C140" s="3"/>
      <c r="D140" s="3"/>
      <c r="I140" s="6" t="s">
        <v>132</v>
      </c>
    </row>
    <row r="141" spans="1:17" s="6" customFormat="1" x14ac:dyDescent="0.3">
      <c r="C141" s="3"/>
      <c r="D141" s="3"/>
    </row>
    <row r="142" spans="1:17" s="6" customFormat="1" x14ac:dyDescent="0.3">
      <c r="C142" s="3"/>
      <c r="D142" s="3"/>
    </row>
    <row r="143" spans="1:17" s="6" customFormat="1" x14ac:dyDescent="0.3">
      <c r="C143" s="3"/>
      <c r="D143" s="3"/>
    </row>
    <row r="144" spans="1:17" s="6" customFormat="1" x14ac:dyDescent="0.3">
      <c r="C144" s="3"/>
      <c r="D144" s="3"/>
    </row>
    <row r="145" spans="1:20" s="2" customFormat="1" x14ac:dyDescent="0.3">
      <c r="A145" s="4"/>
      <c r="B145" s="4"/>
      <c r="C145" s="5"/>
      <c r="D145" s="4"/>
      <c r="E145" s="4"/>
      <c r="F145" s="4"/>
      <c r="G145" s="4"/>
      <c r="H145" s="4"/>
      <c r="I145" s="4"/>
      <c r="J145" s="6"/>
      <c r="K145" s="4"/>
      <c r="L145" s="4"/>
      <c r="M145" s="4"/>
      <c r="N145" s="6"/>
      <c r="O145" s="4"/>
      <c r="P145" s="4"/>
      <c r="Q145" s="4"/>
      <c r="R145" s="4"/>
      <c r="S145" s="4"/>
      <c r="T145" s="4"/>
    </row>
    <row r="146" spans="1:20" x14ac:dyDescent="0.3">
      <c r="A146" t="s">
        <v>125</v>
      </c>
    </row>
    <row r="147" spans="1:20" x14ac:dyDescent="0.3">
      <c r="A147" s="9" t="s">
        <v>8</v>
      </c>
      <c r="B147" s="9" t="s">
        <v>6</v>
      </c>
      <c r="C147" s="11" t="s">
        <v>2</v>
      </c>
      <c r="D147" s="11" t="s">
        <v>22</v>
      </c>
      <c r="E147" s="9"/>
      <c r="F147" s="9">
        <v>2500</v>
      </c>
      <c r="G147" s="9">
        <v>1000</v>
      </c>
      <c r="H147" s="9">
        <v>950</v>
      </c>
      <c r="I147" s="9">
        <v>4680</v>
      </c>
      <c r="J147" s="9"/>
      <c r="K147" s="9">
        <v>0.25</v>
      </c>
      <c r="L147" s="9">
        <f>(F147*H147)*(1-K147)+(G147*I147)*K147</f>
        <v>2951250</v>
      </c>
      <c r="M147" s="9">
        <v>2.78</v>
      </c>
      <c r="N147" s="9"/>
      <c r="O147" s="9">
        <v>0.6</v>
      </c>
      <c r="P147" s="2">
        <f t="shared" si="0"/>
        <v>2.2349999999999999</v>
      </c>
      <c r="Q147" s="2"/>
    </row>
    <row r="148" spans="1:20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1" t="s">
        <v>10</v>
      </c>
      <c r="P148" s="4">
        <f>P147*15/0.96</f>
        <v>34.921875</v>
      </c>
    </row>
    <row r="149" spans="1:20" x14ac:dyDescent="0.3">
      <c r="A149" s="9" t="s">
        <v>12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Q149" t="s">
        <v>118</v>
      </c>
    </row>
    <row r="150" spans="1:20" x14ac:dyDescent="0.3">
      <c r="A150" t="s">
        <v>16</v>
      </c>
      <c r="Q150" t="s">
        <v>70</v>
      </c>
    </row>
    <row r="151" spans="1:20" x14ac:dyDescent="0.3">
      <c r="A151" t="s">
        <v>13</v>
      </c>
      <c r="P151" s="2" t="s">
        <v>67</v>
      </c>
      <c r="Q151">
        <f>B156</f>
        <v>1.4957264957264957E-6</v>
      </c>
    </row>
    <row r="152" spans="1:20" s="2" customFormat="1" x14ac:dyDescent="0.3">
      <c r="A152" s="2" t="s">
        <v>17</v>
      </c>
      <c r="J152" s="6"/>
      <c r="N152" s="6"/>
      <c r="P152" s="2" t="s">
        <v>65</v>
      </c>
      <c r="Q152" s="7">
        <f>I174</f>
        <v>1.605E-5</v>
      </c>
    </row>
    <row r="153" spans="1:20" x14ac:dyDescent="0.3">
      <c r="A153" t="s">
        <v>14</v>
      </c>
      <c r="B153">
        <v>35</v>
      </c>
      <c r="C153" t="s">
        <v>15</v>
      </c>
      <c r="D153">
        <v>1000</v>
      </c>
      <c r="P153" s="2" t="s">
        <v>68</v>
      </c>
      <c r="Q153" s="7">
        <f>Q152-Q151</f>
        <v>1.4554273504273505E-5</v>
      </c>
    </row>
    <row r="154" spans="1:20" s="2" customFormat="1" x14ac:dyDescent="0.3">
      <c r="A154" s="2" t="s">
        <v>9</v>
      </c>
      <c r="B154" s="2">
        <v>5</v>
      </c>
      <c r="C154" s="2" t="s">
        <v>20</v>
      </c>
      <c r="D154" s="2">
        <v>5</v>
      </c>
      <c r="J154" s="6"/>
      <c r="N154" s="6"/>
    </row>
    <row r="155" spans="1:20" x14ac:dyDescent="0.3">
      <c r="A155" t="s">
        <v>18</v>
      </c>
      <c r="D155">
        <f>1000*1000*100</f>
        <v>100000000</v>
      </c>
      <c r="O155" s="9"/>
      <c r="P155" s="13"/>
      <c r="Q155" s="6"/>
    </row>
    <row r="156" spans="1:20" x14ac:dyDescent="0.3">
      <c r="A156" t="s">
        <v>19</v>
      </c>
      <c r="B156">
        <f>B153/(B154*G147*I147)</f>
        <v>1.4957264957264957E-6</v>
      </c>
      <c r="C156" s="2" t="s">
        <v>21</v>
      </c>
      <c r="D156" s="6">
        <f>D153/(D154*I147*K147)</f>
        <v>0.17094017094017094</v>
      </c>
      <c r="O156" s="9"/>
      <c r="P156" s="13"/>
      <c r="Q156" s="13"/>
    </row>
    <row r="157" spans="1:20" s="2" customFormat="1" x14ac:dyDescent="0.3">
      <c r="C157" s="2" t="s">
        <v>141</v>
      </c>
      <c r="D157" s="2">
        <v>0.1</v>
      </c>
      <c r="E157" s="2">
        <v>0.2</v>
      </c>
      <c r="F157" s="2">
        <v>0.3</v>
      </c>
      <c r="G157" s="2">
        <v>0.4</v>
      </c>
      <c r="H157" s="2">
        <v>0.5</v>
      </c>
      <c r="I157" s="2">
        <v>0.6</v>
      </c>
      <c r="J157" s="6">
        <v>0.7</v>
      </c>
      <c r="K157" s="2">
        <v>0.8</v>
      </c>
      <c r="L157" s="2">
        <v>0.9</v>
      </c>
      <c r="N157" s="6"/>
      <c r="O157" s="9"/>
      <c r="P157" s="13"/>
      <c r="Q157" s="13"/>
    </row>
    <row r="158" spans="1:20" s="2" customFormat="1" x14ac:dyDescent="0.3">
      <c r="A158" s="2" t="s">
        <v>23</v>
      </c>
      <c r="C158" s="2" t="s">
        <v>140</v>
      </c>
      <c r="D158" s="2">
        <f>($D$154*$G$147*$I$147*$D$156*30*365.25*24*3600)/($F$147*$H$147*$D$155*(1-D157))</f>
        <v>17.716547368421054</v>
      </c>
      <c r="E158" s="6">
        <f t="shared" ref="E158:H158" si="10">($D$154*$G$147*$I$147*$D$156*30*365.25*24*3600)/($F$147*$H$147*$D$155*(1-E157))</f>
        <v>19.931115789473683</v>
      </c>
      <c r="F158" s="6">
        <f t="shared" si="10"/>
        <v>22.778418045112783</v>
      </c>
      <c r="G158" s="6">
        <f t="shared" si="10"/>
        <v>26.574821052631577</v>
      </c>
      <c r="H158" s="6">
        <f t="shared" si="10"/>
        <v>31.889785263157894</v>
      </c>
      <c r="I158" s="6">
        <f t="shared" ref="I158" si="11">($D$154*$G$147*$I$147*$D$156*30*365.25*24*3600)/($F$147*$H$147*$D$155*(1-I157))</f>
        <v>39.862231578947366</v>
      </c>
      <c r="J158" s="6">
        <f t="shared" ref="J158" si="12">($D$154*$G$147*$I$147*$D$156*30*365.25*24*3600)/($F$147*$H$147*$D$155*(1-J157))</f>
        <v>53.149642105263148</v>
      </c>
      <c r="K158" s="6">
        <f t="shared" ref="K158" si="13">($D$154*$G$147*$I$147*$D$156*30*365.25*24*3600)/($F$147*$H$147*$D$155*(1-K157))</f>
        <v>79.724463157894746</v>
      </c>
      <c r="L158" s="6">
        <f t="shared" ref="L158" si="14">($D$154*$G$147*$I$147*$D$156*30*365.25*24*3600)/($F$147*$H$147*$D$155*(1-L157))</f>
        <v>159.44892631578949</v>
      </c>
      <c r="N158" s="6"/>
      <c r="P158" s="13"/>
      <c r="Q158" s="13"/>
    </row>
    <row r="159" spans="1:20" s="2" customFormat="1" x14ac:dyDescent="0.3">
      <c r="A159" s="2" t="s">
        <v>32</v>
      </c>
      <c r="C159" s="2" t="s">
        <v>142</v>
      </c>
      <c r="D159" s="2">
        <f>($G$147*$I$147*$D$156*30*365.25*24*3600)/($F$147*$H$147*(1-D157))</f>
        <v>354330947.36842108</v>
      </c>
      <c r="E159" s="6">
        <f t="shared" ref="E159:L159" si="15">($G$147*$I$147*$D$156*30*365.25*24*3600)/($F$147*$H$147*(1-E157))</f>
        <v>398622315.78947371</v>
      </c>
      <c r="F159" s="6">
        <f t="shared" si="15"/>
        <v>455568360.90225565</v>
      </c>
      <c r="G159" s="6">
        <f t="shared" si="15"/>
        <v>531496421.05263156</v>
      </c>
      <c r="H159" s="6">
        <f t="shared" si="15"/>
        <v>637795705.26315784</v>
      </c>
      <c r="I159" s="6">
        <f t="shared" si="15"/>
        <v>797244631.57894742</v>
      </c>
      <c r="J159" s="6">
        <f t="shared" si="15"/>
        <v>1062992842.105263</v>
      </c>
      <c r="K159" s="6">
        <f t="shared" si="15"/>
        <v>1594489263.1578951</v>
      </c>
      <c r="L159" s="6">
        <f t="shared" si="15"/>
        <v>3188978526.3157902</v>
      </c>
      <c r="N159" s="6"/>
      <c r="P159" s="13"/>
      <c r="Q159" s="13"/>
    </row>
    <row r="160" spans="1:20" x14ac:dyDescent="0.3">
      <c r="A160" t="s">
        <v>24</v>
      </c>
      <c r="P160" s="13"/>
      <c r="Q160" s="13"/>
    </row>
    <row r="161" spans="1:17" x14ac:dyDescent="0.3">
      <c r="A161" t="s">
        <v>31</v>
      </c>
      <c r="P161" s="13"/>
      <c r="Q161" s="13"/>
    </row>
    <row r="162" spans="1:17" s="6" customFormat="1" x14ac:dyDescent="0.3">
      <c r="A162" s="6" t="s">
        <v>56</v>
      </c>
      <c r="P162" s="13"/>
      <c r="Q162" s="13"/>
    </row>
    <row r="163" spans="1:17" s="2" customFormat="1" x14ac:dyDescent="0.3">
      <c r="A163" s="2" t="s">
        <v>57</v>
      </c>
      <c r="J163" s="6"/>
      <c r="N163" s="6"/>
      <c r="P163" s="14"/>
      <c r="Q163" s="13"/>
    </row>
    <row r="164" spans="1:17" s="2" customFormat="1" x14ac:dyDescent="0.3">
      <c r="A164" s="2" t="s">
        <v>33</v>
      </c>
      <c r="J164" s="6"/>
      <c r="N164" s="6"/>
      <c r="P164" s="13"/>
      <c r="Q164" s="13"/>
    </row>
    <row r="165" spans="1:17" s="2" customFormat="1" x14ac:dyDescent="0.3">
      <c r="A165" s="2" t="s">
        <v>69</v>
      </c>
      <c r="J165" s="6"/>
      <c r="N165" s="6"/>
    </row>
    <row r="167" spans="1:17" x14ac:dyDescent="0.3">
      <c r="A167" t="s">
        <v>35</v>
      </c>
    </row>
    <row r="168" spans="1:17" x14ac:dyDescent="0.3">
      <c r="A168" s="6" t="s">
        <v>36</v>
      </c>
      <c r="B168" s="6"/>
      <c r="C168" s="6" t="s">
        <v>37</v>
      </c>
      <c r="D168" s="6"/>
      <c r="E168" s="6"/>
      <c r="H168" t="s">
        <v>62</v>
      </c>
    </row>
    <row r="169" spans="1:17" x14ac:dyDescent="0.3">
      <c r="A169" s="6" t="s">
        <v>38</v>
      </c>
      <c r="B169" s="6"/>
      <c r="C169" s="6" t="s">
        <v>39</v>
      </c>
      <c r="D169" s="6" t="s">
        <v>40</v>
      </c>
      <c r="E169" s="6"/>
      <c r="H169" t="s">
        <v>58</v>
      </c>
    </row>
    <row r="170" spans="1:17" x14ac:dyDescent="0.3">
      <c r="A170" s="6" t="s">
        <v>41</v>
      </c>
      <c r="B170" s="6"/>
      <c r="C170" s="6" t="s">
        <v>42</v>
      </c>
      <c r="D170" s="6" t="s">
        <v>43</v>
      </c>
      <c r="E170" s="6"/>
      <c r="H170" t="s">
        <v>59</v>
      </c>
      <c r="I170" s="7">
        <v>2.14E-4</v>
      </c>
      <c r="J170" s="7"/>
    </row>
    <row r="171" spans="1:17" x14ac:dyDescent="0.3">
      <c r="A171" s="6" t="s">
        <v>44</v>
      </c>
      <c r="B171" s="6"/>
      <c r="C171" s="6" t="s">
        <v>45</v>
      </c>
      <c r="D171" s="6" t="s">
        <v>46</v>
      </c>
      <c r="E171" s="6"/>
      <c r="H171" t="s">
        <v>60</v>
      </c>
      <c r="I171">
        <v>2</v>
      </c>
    </row>
    <row r="172" spans="1:17" x14ac:dyDescent="0.3">
      <c r="A172" s="6" t="s">
        <v>52</v>
      </c>
      <c r="B172" s="6">
        <v>0.96</v>
      </c>
      <c r="C172" s="6"/>
      <c r="D172" s="6"/>
      <c r="E172" s="6"/>
      <c r="H172" t="s">
        <v>61</v>
      </c>
      <c r="I172">
        <v>0.96</v>
      </c>
    </row>
    <row r="173" spans="1:17" x14ac:dyDescent="0.3">
      <c r="A173" s="8" t="s">
        <v>47</v>
      </c>
      <c r="B173" s="12">
        <v>20000</v>
      </c>
      <c r="C173" s="6"/>
      <c r="D173" s="6" t="s">
        <v>10</v>
      </c>
      <c r="E173" s="7">
        <v>1E-4</v>
      </c>
      <c r="H173" t="s">
        <v>63</v>
      </c>
      <c r="I173" s="7">
        <f>I170*I171/I172</f>
        <v>4.4583333333333335E-4</v>
      </c>
      <c r="J173" s="7"/>
      <c r="K173" t="s">
        <v>64</v>
      </c>
    </row>
    <row r="174" spans="1:17" x14ac:dyDescent="0.3">
      <c r="A174" s="6" t="s">
        <v>48</v>
      </c>
      <c r="B174" s="7">
        <v>1E-3</v>
      </c>
      <c r="C174" s="6" t="s">
        <v>49</v>
      </c>
      <c r="D174" s="6" t="s">
        <v>47</v>
      </c>
      <c r="E174" s="7">
        <v>8241.7582417582416</v>
      </c>
      <c r="H174" t="s">
        <v>65</v>
      </c>
      <c r="I174" s="7">
        <f>I173*0.036</f>
        <v>1.605E-5</v>
      </c>
      <c r="J174" s="7"/>
      <c r="K174" t="s">
        <v>21</v>
      </c>
    </row>
    <row r="175" spans="1:17" x14ac:dyDescent="0.3">
      <c r="A175" s="6" t="s">
        <v>50</v>
      </c>
      <c r="B175" s="7">
        <v>2.1839999999999999E-10</v>
      </c>
      <c r="C175" s="6" t="s">
        <v>51</v>
      </c>
      <c r="D175" s="6"/>
      <c r="E175" s="6"/>
      <c r="I175" s="7"/>
      <c r="J175" s="7"/>
    </row>
    <row r="176" spans="1:17" x14ac:dyDescent="0.3">
      <c r="A176" s="9" t="s">
        <v>10</v>
      </c>
      <c r="B176" s="10">
        <f>B175*B173/(B174*B172)</f>
        <v>4.5499999999999994E-3</v>
      </c>
      <c r="C176" s="6"/>
      <c r="D176" s="6"/>
      <c r="E176" s="6"/>
      <c r="H176" t="s">
        <v>66</v>
      </c>
    </row>
    <row r="177" spans="1:14" x14ac:dyDescent="0.3">
      <c r="A177" t="s">
        <v>53</v>
      </c>
      <c r="B177" s="7">
        <f>G145*B175*9.81/B174</f>
        <v>0</v>
      </c>
    </row>
    <row r="178" spans="1:14" x14ac:dyDescent="0.3">
      <c r="B178" s="7">
        <f>G145*0.001*B175*9.81/B174</f>
        <v>0</v>
      </c>
    </row>
    <row r="179" spans="1:14" x14ac:dyDescent="0.3">
      <c r="A179" t="s">
        <v>54</v>
      </c>
      <c r="B179" s="7" t="e">
        <f>B173/(G145*9.81)</f>
        <v>#DIV/0!</v>
      </c>
    </row>
    <row r="180" spans="1:14" x14ac:dyDescent="0.3">
      <c r="A180" s="9" t="s">
        <v>10</v>
      </c>
      <c r="B180" s="10" t="e">
        <f>B177*B179/B172</f>
        <v>#DIV/0!</v>
      </c>
    </row>
    <row r="181" spans="1:14" x14ac:dyDescent="0.3">
      <c r="A181" t="s">
        <v>55</v>
      </c>
      <c r="B181" s="7" t="e">
        <f>B180/K147</f>
        <v>#DIV/0!</v>
      </c>
    </row>
    <row r="182" spans="1:14" s="6" customFormat="1" x14ac:dyDescent="0.3">
      <c r="B182" s="7"/>
    </row>
    <row r="183" spans="1:14" s="6" customFormat="1" x14ac:dyDescent="0.3">
      <c r="B183" s="7"/>
    </row>
    <row r="184" spans="1:14" s="6" customFormat="1" x14ac:dyDescent="0.3">
      <c r="B184" s="7"/>
    </row>
    <row r="185" spans="1:14" s="6" customFormat="1" x14ac:dyDescent="0.3">
      <c r="B185" s="7"/>
    </row>
    <row r="186" spans="1:14" x14ac:dyDescent="0.3">
      <c r="A186" t="s">
        <v>25</v>
      </c>
    </row>
    <row r="187" spans="1:14" x14ac:dyDescent="0.3">
      <c r="A187" t="s">
        <v>34</v>
      </c>
    </row>
    <row r="188" spans="1:14" s="2" customFormat="1" x14ac:dyDescent="0.3">
      <c r="A188" s="2" t="s">
        <v>27</v>
      </c>
      <c r="B188" s="2">
        <f>0.96*0.036</f>
        <v>3.4559999999999994E-2</v>
      </c>
      <c r="C188" s="2" t="s">
        <v>28</v>
      </c>
      <c r="J188" s="6"/>
      <c r="N188" s="6"/>
    </row>
    <row r="189" spans="1:14" s="2" customFormat="1" x14ac:dyDescent="0.3">
      <c r="A189" s="2" t="s">
        <v>29</v>
      </c>
      <c r="B189" s="2">
        <v>100</v>
      </c>
      <c r="C189" s="2" t="s">
        <v>30</v>
      </c>
      <c r="J189" s="6"/>
      <c r="N189" s="6"/>
    </row>
    <row r="190" spans="1:14" x14ac:dyDescent="0.3">
      <c r="A190" t="s">
        <v>26</v>
      </c>
      <c r="B190">
        <f>(B156 * B189* G147 * I147 * B154)/(B188*(1-K147)*F147*H147)</f>
        <v>5.6855100714749848E-2</v>
      </c>
      <c r="C190" t="s">
        <v>20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ColWidth="11.5546875" defaultRowHeight="14.4" x14ac:dyDescent="0.3"/>
  <sheetData>
    <row r="1" spans="1:2" x14ac:dyDescent="0.3">
      <c r="A1" t="s">
        <v>71</v>
      </c>
      <c r="B1" t="s">
        <v>72</v>
      </c>
    </row>
    <row r="2" spans="1:2" x14ac:dyDescent="0.3">
      <c r="B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RECEVEUR Mylène</cp:lastModifiedBy>
  <dcterms:created xsi:type="dcterms:W3CDTF">2020-05-29T09:20:37Z</dcterms:created>
  <dcterms:modified xsi:type="dcterms:W3CDTF">2020-06-10T16:28:41Z</dcterms:modified>
</cp:coreProperties>
</file>