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Modeling\"/>
    </mc:Choice>
  </mc:AlternateContent>
  <bookViews>
    <workbookView xWindow="-105" yWindow="-105" windowWidth="23145" windowHeight="9300" activeTab="2"/>
  </bookViews>
  <sheets>
    <sheet name="1D" sheetId="1" r:id="rId1"/>
    <sheet name="2D" sheetId="5" r:id="rId2"/>
    <sheet name="NEWMODEL" sheetId="7" r:id="rId3"/>
    <sheet name="Feuil2" sheetId="2" r:id="rId4"/>
    <sheet name="Feuil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7" l="1"/>
  <c r="I34" i="7"/>
  <c r="J22" i="7"/>
  <c r="I22" i="7"/>
  <c r="U48" i="7" l="1"/>
  <c r="U22" i="7"/>
  <c r="U50" i="7" l="1"/>
  <c r="U21" i="7"/>
  <c r="U47" i="7"/>
  <c r="U51" i="7" l="1"/>
  <c r="U49" i="7"/>
  <c r="U24" i="7"/>
  <c r="U25" i="7"/>
  <c r="U17" i="7"/>
  <c r="U18" i="7" s="1"/>
  <c r="U20" i="7"/>
  <c r="Z23" i="1" l="1"/>
  <c r="U46" i="7" l="1"/>
  <c r="U45" i="7"/>
  <c r="U36" i="7"/>
  <c r="U35" i="7"/>
  <c r="U33" i="7"/>
  <c r="U34" i="7"/>
  <c r="U28" i="7"/>
  <c r="U23" i="7"/>
  <c r="U19" i="7" l="1"/>
  <c r="U16" i="7"/>
  <c r="U10" i="7"/>
  <c r="U9" i="7"/>
  <c r="U8" i="7"/>
  <c r="K59" i="7"/>
  <c r="U5" i="7" l="1"/>
  <c r="U7" i="7"/>
  <c r="K58" i="7"/>
  <c r="G58" i="7"/>
  <c r="G61" i="7" s="1"/>
  <c r="C30" i="3" l="1"/>
  <c r="B30" i="3"/>
  <c r="B18" i="3"/>
  <c r="B23" i="3"/>
  <c r="B28" i="3"/>
  <c r="B20" i="3" l="1"/>
  <c r="B14" i="3"/>
  <c r="G59" i="7" l="1"/>
  <c r="I59" i="7" s="1"/>
  <c r="X44" i="5"/>
  <c r="X45" i="5" s="1"/>
  <c r="X46" i="5" s="1"/>
  <c r="I19" i="3" l="1"/>
  <c r="I20" i="3"/>
  <c r="AA46" i="5"/>
  <c r="AJ21" i="5" l="1"/>
  <c r="AN23" i="5"/>
  <c r="AO23" i="5"/>
  <c r="AN22" i="5"/>
  <c r="AO22" i="5" s="1"/>
  <c r="AN21" i="5"/>
  <c r="AO21" i="5" s="1"/>
  <c r="B24" i="3"/>
  <c r="B25" i="3"/>
  <c r="B26" i="3"/>
  <c r="AA23" i="5"/>
  <c r="AA28" i="5" s="1"/>
  <c r="AE28" i="5" s="1"/>
  <c r="AA26" i="5" s="1"/>
  <c r="AW26" i="5"/>
  <c r="AN26" i="5"/>
  <c r="AO26" i="5" s="1"/>
  <c r="AI26" i="5"/>
  <c r="AK26" i="5" s="1"/>
  <c r="AL26" i="5" s="1"/>
  <c r="AW21" i="5"/>
  <c r="AI21" i="5"/>
  <c r="AK21" i="5" l="1"/>
  <c r="AL21" i="5" s="1"/>
  <c r="AT26" i="5"/>
  <c r="AP26" i="5"/>
  <c r="AQ26" i="5" s="1"/>
  <c r="AU26" i="5" s="1"/>
  <c r="F18" i="3"/>
  <c r="AP21" i="5" l="1"/>
  <c r="AQ22" i="5" s="1"/>
  <c r="AT21" i="5"/>
  <c r="AV26" i="5"/>
  <c r="D18" i="3"/>
  <c r="E18" i="3"/>
  <c r="AQ21" i="5" l="1"/>
  <c r="AU21" i="5" s="1"/>
  <c r="AQ23" i="5"/>
  <c r="AA18" i="1"/>
  <c r="AS16" i="5"/>
  <c r="AR16" i="5"/>
  <c r="AV17" i="5" s="1"/>
  <c r="AN16" i="5"/>
  <c r="AO16" i="5" s="1"/>
  <c r="AK16" i="5"/>
  <c r="AL16" i="5" s="1"/>
  <c r="U16" i="5"/>
  <c r="T16" i="5"/>
  <c r="AA7" i="5"/>
  <c r="AV21" i="5" l="1"/>
  <c r="AT16" i="5"/>
  <c r="AQ16" i="5"/>
  <c r="AU16" i="5" s="1"/>
  <c r="AV16" i="5"/>
  <c r="AP16" i="5"/>
  <c r="S16" i="3"/>
  <c r="Q16" i="3"/>
  <c r="P16" i="3"/>
  <c r="P15" i="3"/>
  <c r="I18" i="3"/>
  <c r="I26" i="3"/>
  <c r="I16" i="3"/>
  <c r="I17" i="3" s="1"/>
  <c r="J30" i="3"/>
  <c r="I23" i="3" l="1"/>
  <c r="I29" i="3" s="1"/>
  <c r="I28" i="3"/>
  <c r="I24" i="3"/>
  <c r="I25" i="3" s="1"/>
  <c r="I30" i="3" l="1"/>
  <c r="Z14" i="1" l="1"/>
  <c r="AA17" i="1"/>
  <c r="AA16" i="1"/>
  <c r="Z16" i="1"/>
  <c r="Z5" i="1" l="1"/>
  <c r="AA5" i="1"/>
  <c r="AA4" i="1"/>
  <c r="Z4" i="1"/>
  <c r="B16" i="3" l="1"/>
  <c r="B17" i="3" s="1"/>
  <c r="B29" i="3" s="1"/>
  <c r="E7" i="3" l="1"/>
  <c r="B9" i="3"/>
  <c r="F9" i="2" l="1"/>
  <c r="F8" i="2"/>
  <c r="B21" i="2"/>
  <c r="B20" i="2"/>
  <c r="B10" i="2"/>
  <c r="B11" i="2" s="1"/>
  <c r="B18" i="2"/>
  <c r="B17" i="2"/>
  <c r="F6" i="2"/>
  <c r="F5" i="2"/>
</calcChain>
</file>

<file path=xl/sharedStrings.xml><?xml version="1.0" encoding="utf-8"?>
<sst xmlns="http://schemas.openxmlformats.org/spreadsheetml/2006/main" count="941" uniqueCount="312">
  <si>
    <t>Model name</t>
  </si>
  <si>
    <t>M1</t>
  </si>
  <si>
    <t>Group</t>
  </si>
  <si>
    <t>Medium</t>
  </si>
  <si>
    <t>Porosity</t>
  </si>
  <si>
    <t>Tortuosity</t>
  </si>
  <si>
    <t>Storage</t>
  </si>
  <si>
    <t>Mass dispersion</t>
  </si>
  <si>
    <t>Time step</t>
  </si>
  <si>
    <t>Ne</t>
  </si>
  <si>
    <t>Co</t>
  </si>
  <si>
    <t>Stability criterium</t>
  </si>
  <si>
    <t>q=</t>
  </si>
  <si>
    <t>k=</t>
  </si>
  <si>
    <t>T1@</t>
  </si>
  <si>
    <t>m</t>
  </si>
  <si>
    <t>T2@</t>
  </si>
  <si>
    <t>?</t>
  </si>
  <si>
    <t>q=k*dT/dx</t>
  </si>
  <si>
    <t>q=k*(T1-T2)/(x1-x2)</t>
  </si>
  <si>
    <t>q*(x1-x2)/k-T1=-T2</t>
  </si>
  <si>
    <t>T2=T1-q(x1-x2)/k</t>
  </si>
  <si>
    <t>T2=</t>
  </si>
  <si>
    <t>Gradient=</t>
  </si>
  <si>
    <t>°C</t>
  </si>
  <si>
    <t>Flux =</t>
  </si>
  <si>
    <t>Imposed temperature (Dawdon)</t>
  </si>
  <si>
    <t>T@0m</t>
  </si>
  <si>
    <t>T@800m</t>
  </si>
  <si>
    <t>A1</t>
  </si>
  <si>
    <t>BHE</t>
  </si>
  <si>
    <t>IC</t>
  </si>
  <si>
    <t xml:space="preserve">Thermal </t>
  </si>
  <si>
    <t>Gradient 230 15 -0.03125</t>
  </si>
  <si>
    <t>Fluid properties</t>
  </si>
  <si>
    <t>density</t>
  </si>
  <si>
    <t>Viscosity</t>
  </si>
  <si>
    <t>Medium properties</t>
  </si>
  <si>
    <t>Dimension</t>
  </si>
  <si>
    <t>Solid properties</t>
  </si>
  <si>
    <t>Total</t>
  </si>
  <si>
    <t>Permeability tensor (Hydraulic conductivity (m/s))</t>
  </si>
  <si>
    <t>Heat dispersion</t>
  </si>
  <si>
    <t>Time</t>
  </si>
  <si>
    <t>Imposed flux (Bilston Glen)</t>
  </si>
  <si>
    <t>Imposed temperature (Easthouse)</t>
  </si>
  <si>
    <t>ST</t>
  </si>
  <si>
    <t>Hydraulic</t>
  </si>
  <si>
    <t>Extraction -1294 to -706W</t>
  </si>
  <si>
    <t>Extraction - 1000 W</t>
  </si>
  <si>
    <t>top</t>
  </si>
  <si>
    <t>middle</t>
  </si>
  <si>
    <t>bottom</t>
  </si>
  <si>
    <t>shaft</t>
  </si>
  <si>
    <t>seams</t>
  </si>
  <si>
    <t>1 2 2</t>
  </si>
  <si>
    <t>1 1 1</t>
  </si>
  <si>
    <t>1 3 2</t>
  </si>
  <si>
    <t>1 2 3</t>
  </si>
  <si>
    <t>Hydro</t>
  </si>
  <si>
    <t>CONSTANT 0</t>
  </si>
  <si>
    <t>No flow</t>
  </si>
  <si>
    <t>Boundary conditions</t>
  </si>
  <si>
    <t>TOP</t>
  </si>
  <si>
    <t>BOTTOM</t>
  </si>
  <si>
    <t>EAST</t>
  </si>
  <si>
    <t>WEST</t>
  </si>
  <si>
    <t>Thermal</t>
  </si>
  <si>
    <t>A2</t>
  </si>
  <si>
    <t>A4</t>
  </si>
  <si>
    <t>No production, no flux</t>
  </si>
  <si>
    <t>Set up initial conditions</t>
  </si>
  <si>
    <t>Try set up condition with 12 °C at 702 m et G=0,03</t>
  </si>
  <si>
    <t>Try with flow at bottom</t>
  </si>
  <si>
    <t>Pe</t>
  </si>
  <si>
    <t>Zone</t>
  </si>
  <si>
    <t>Seam</t>
  </si>
  <si>
    <t>(m/s)</t>
  </si>
  <si>
    <t>Advective v</t>
  </si>
  <si>
    <t>De</t>
  </si>
  <si>
    <t>Mesh</t>
  </si>
  <si>
    <t>m2</t>
  </si>
  <si>
    <t>µ=</t>
  </si>
  <si>
    <t>P=</t>
  </si>
  <si>
    <t>q=-k * Dp / µL</t>
  </si>
  <si>
    <t xml:space="preserve">Pa.s </t>
  </si>
  <si>
    <t>dynamic viscosity</t>
  </si>
  <si>
    <t>µ (Pa.s)</t>
  </si>
  <si>
    <t>10950 (30 yrs)</t>
  </si>
  <si>
    <t>RELOAD (curved gradient)</t>
  </si>
  <si>
    <t>Q</t>
  </si>
  <si>
    <t>Darcy q</t>
  </si>
  <si>
    <t>m3/s</t>
  </si>
  <si>
    <t>A</t>
  </si>
  <si>
    <t>m/s</t>
  </si>
  <si>
    <t>Q=K A * dh/dl</t>
  </si>
  <si>
    <t>K=rho * k * g / µ (m/s)</t>
  </si>
  <si>
    <t>α</t>
  </si>
  <si>
    <t>Thermal diffusivity</t>
  </si>
  <si>
    <t>Diff Coeff</t>
  </si>
  <si>
    <t>size (m)</t>
  </si>
  <si>
    <t>dt</t>
  </si>
  <si>
    <t>(s)</t>
  </si>
  <si>
    <t>Hydro (m3/s)</t>
  </si>
  <si>
    <t>Thermal (J/m3.s or W/m2)</t>
  </si>
  <si>
    <t>Density (Kg/m3)</t>
  </si>
  <si>
    <t>Ne &lt; 1/2</t>
  </si>
  <si>
    <t>Co &lt; 1</t>
  </si>
  <si>
    <t>m2/s</t>
  </si>
  <si>
    <t>De = D * ne/T</t>
  </si>
  <si>
    <t>DL</t>
  </si>
  <si>
    <t>DL=α |v|</t>
  </si>
  <si>
    <t>Dispersivity</t>
  </si>
  <si>
    <t>D ( λ / ρc)</t>
  </si>
  <si>
    <t>q or v ??</t>
  </si>
  <si>
    <t>Pe &lt; 2</t>
  </si>
  <si>
    <t>PERMEABILITY TENSOR</t>
  </si>
  <si>
    <t xml:space="preserve">Q=-kA(p1-p2)/µL </t>
  </si>
  <si>
    <t>Q (m3/s)</t>
  </si>
  <si>
    <t>k (m2)</t>
  </si>
  <si>
    <t>v=</t>
  </si>
  <si>
    <t>v = µ/rho</t>
  </si>
  <si>
    <t>kinematic viscosity (m2/s)</t>
  </si>
  <si>
    <t>Stability criterium analysis</t>
  </si>
  <si>
    <t>porosity</t>
  </si>
  <si>
    <t>flow rate</t>
  </si>
  <si>
    <t>Cross-section area</t>
  </si>
  <si>
    <t>Dt</t>
  </si>
  <si>
    <t>s</t>
  </si>
  <si>
    <t>Dx</t>
  </si>
  <si>
    <t>mesh volume</t>
  </si>
  <si>
    <t>m3</t>
  </si>
  <si>
    <t>void volume</t>
  </si>
  <si>
    <t xml:space="preserve">m3 </t>
  </si>
  <si>
    <t>material removed</t>
  </si>
  <si>
    <t>&lt;1</t>
  </si>
  <si>
    <t>&lt; 1/2 Pe</t>
  </si>
  <si>
    <t>[0.001</t>
  </si>
  <si>
    <t>0.5]</t>
  </si>
  <si>
    <t>&lt; 1</t>
  </si>
  <si>
    <t>diffusion</t>
  </si>
  <si>
    <t>&gt;1</t>
  </si>
  <si>
    <t>dispersion</t>
  </si>
  <si>
    <t>D (diffusivity)</t>
  </si>
  <si>
    <t>RELOAD</t>
  </si>
  <si>
    <t>Source term</t>
  </si>
  <si>
    <t>Diff-Disp Coeff</t>
  </si>
  <si>
    <t>Gradient 230 15 -0.03</t>
  </si>
  <si>
    <t>Gradient 230 15 -0.04</t>
  </si>
  <si>
    <t>3 MONTHS</t>
  </si>
  <si>
    <t>1 0.5 0.5</t>
  </si>
  <si>
    <t>INJ= 6°C</t>
  </si>
  <si>
    <t>Increase size borehole from 40 to 80m</t>
  </si>
  <si>
    <t>Gradient 60 10 -0.038</t>
  </si>
  <si>
    <t>Gradient 60 10 -0.015</t>
  </si>
  <si>
    <t>Constant production along borehole</t>
  </si>
  <si>
    <t>CASE 2 (Higher gradient from 60 m)</t>
  </si>
  <si>
    <t>CASE 1</t>
  </si>
  <si>
    <t>TtopBC &gt; Tsurf from CASE 2 - No production</t>
  </si>
  <si>
    <t>A2bis</t>
  </si>
  <si>
    <t>Increase gradient (check T at 60 m)</t>
  </si>
  <si>
    <t>TtopBC &gt; Tsurf from CASE 2 with prod</t>
  </si>
  <si>
    <t>M1 Abort</t>
  </si>
  <si>
    <t>800m mesh</t>
  </si>
  <si>
    <t>Gradient -300 18 -0.03</t>
  </si>
  <si>
    <t>300m mesh</t>
  </si>
  <si>
    <t>1 2 1</t>
  </si>
  <si>
    <t>1 1 2</t>
  </si>
  <si>
    <t>1 YEAR</t>
  </si>
  <si>
    <t>PROD2</t>
  </si>
  <si>
    <t>Tvar</t>
  </si>
  <si>
    <t xml:space="preserve">add flux instead of bottom BC --&gt; reversed flux </t>
  </si>
  <si>
    <t>Conductivity (W/m.K)</t>
  </si>
  <si>
    <t>Therm. Capacity (J/Kg.K)</t>
  </si>
  <si>
    <t>Therm. Exp</t>
  </si>
  <si>
    <t>Heat Cap.</t>
  </si>
  <si>
    <t>Conductivity</t>
  </si>
  <si>
    <t>Cyclical production</t>
  </si>
  <si>
    <t>NEW INITIAL CONDITIONS</t>
  </si>
  <si>
    <t>A3_CST</t>
  </si>
  <si>
    <t>A3_VAR</t>
  </si>
  <si>
    <t>A3_FLUX</t>
  </si>
  <si>
    <t>A1_bis</t>
  </si>
  <si>
    <t>A3_BIS</t>
  </si>
  <si>
    <t>A3_SOLAR</t>
  </si>
  <si>
    <t>A5</t>
  </si>
  <si>
    <t>Add T variation as top BC : !! Average tempertaure = 7 degC&lt; 8.1) !!</t>
  </si>
  <si>
    <t>Gradient 459 18 -0.0196</t>
  </si>
  <si>
    <t>New gradient (Auchendinny)</t>
  </si>
  <si>
    <t>Add solar T var</t>
  </si>
  <si>
    <t>A3_FLUXBIS</t>
  </si>
  <si>
    <t>high flux</t>
  </si>
  <si>
    <t>q= 0.0942</t>
  </si>
  <si>
    <t>PROD1</t>
  </si>
  <si>
    <t>total time</t>
  </si>
  <si>
    <t>time step</t>
  </si>
  <si>
    <t>total file</t>
  </si>
  <si>
    <t>α (heat dispersivity)</t>
  </si>
  <si>
    <t>P1</t>
  </si>
  <si>
    <t>1 year</t>
  </si>
  <si>
    <t>ts nb</t>
  </si>
  <si>
    <t>total</t>
  </si>
  <si>
    <t>print</t>
  </si>
  <si>
    <t>A5_FLUX</t>
  </si>
  <si>
    <t>q=60</t>
  </si>
  <si>
    <t>Add geothermal flux</t>
  </si>
  <si>
    <t>A5_SOLAR</t>
  </si>
  <si>
    <t>PROD3</t>
  </si>
  <si>
    <t>1 0.8 0.5</t>
  </si>
  <si>
    <t>1 0.3 0.5</t>
  </si>
  <si>
    <t>INJ=7</t>
  </si>
  <si>
    <t>Dispersivity  $HEAT_DISPERSION</t>
  </si>
  <si>
    <t>Extraction 1L/s for 1 year along line</t>
  </si>
  <si>
    <t>0,0001 m3/s = 0.1L/s</t>
  </si>
  <si>
    <t>T@120m=</t>
  </si>
  <si>
    <t>Gradient -300 16.2 -0.02</t>
  </si>
  <si>
    <t>Gradient 0.03</t>
  </si>
  <si>
    <t xml:space="preserve">Gradient 0.02 for same T at 120m </t>
  </si>
  <si>
    <t>(depth of the middle seam)</t>
  </si>
  <si>
    <t>host rock</t>
  </si>
  <si>
    <t>M2</t>
  </si>
  <si>
    <t>PROD4</t>
  </si>
  <si>
    <t>PROD5</t>
  </si>
  <si>
    <t>Add flow from the east but no reinjection</t>
  </si>
  <si>
    <t>None</t>
  </si>
  <si>
    <t>Same paramete as PROD 3</t>
  </si>
  <si>
    <t>Consider previous seam as roadway and previous fractured area as worked area</t>
  </si>
  <si>
    <t>PROD6</t>
  </si>
  <si>
    <t>No reinjection (plug shaft)</t>
  </si>
  <si>
    <t>m/yr</t>
  </si>
  <si>
    <t>Surface flux added to compensate for extrction (Test 2)</t>
  </si>
  <si>
    <t>PROD7</t>
  </si>
  <si>
    <t>same as PROD3</t>
  </si>
  <si>
    <t>M1 Initial Conditions</t>
  </si>
  <si>
    <t>See text file in M1_IC folder</t>
  </si>
  <si>
    <t>NF</t>
  </si>
  <si>
    <t>BC</t>
  </si>
  <si>
    <t>K*dh/dx</t>
  </si>
  <si>
    <t>alpha (mass dispersivity)</t>
  </si>
  <si>
    <t>Heat Diff-Disp Coeff</t>
  </si>
  <si>
    <t>-</t>
  </si>
  <si>
    <t>Q=</t>
  </si>
  <si>
    <t>Hydraulic_ST</t>
  </si>
  <si>
    <t>HEAT_BC</t>
  </si>
  <si>
    <t>HEAT_ST</t>
  </si>
  <si>
    <t>Fixed_Flux</t>
  </si>
  <si>
    <t>SOLAR</t>
  </si>
  <si>
    <t>VAR</t>
  </si>
  <si>
    <t>Hydraulic_BC</t>
  </si>
  <si>
    <t>Hydraulic_MIXED</t>
  </si>
  <si>
    <t>Fixed BC West = 100 m</t>
  </si>
  <si>
    <t>Mixed_Flux</t>
  </si>
  <si>
    <t>Mixed_Flux_2</t>
  </si>
  <si>
    <t>Fixed BC West = -50, East= -100 m</t>
  </si>
  <si>
    <t>-1E4 PROD +3E8 RAIN</t>
  </si>
  <si>
    <t>GRADIENT HEAD</t>
  </si>
  <si>
    <t>CST HEAD</t>
  </si>
  <si>
    <t>Check differences of temperature distribution if constant temperature BC</t>
  </si>
  <si>
    <t xml:space="preserve">-1E4 PROD </t>
  </si>
  <si>
    <t>Mining Mixed BC2</t>
  </si>
  <si>
    <t>Flux_00</t>
  </si>
  <si>
    <t>STEADY STATE</t>
  </si>
  <si>
    <t>MINING</t>
  </si>
  <si>
    <t>Mining Fixed Flux rainfall</t>
  </si>
  <si>
    <t>-1E PROD + CURVE RAIN</t>
  </si>
  <si>
    <t>FLOODING</t>
  </si>
  <si>
    <t>PRODUCTION</t>
  </si>
  <si>
    <t>Mining Fixed Flux precipitation</t>
  </si>
  <si>
    <t>Mining Fixed Flux No precipitation</t>
  </si>
  <si>
    <t>3E8 Rain</t>
  </si>
  <si>
    <t>Mining Mixed BC No precipitation</t>
  </si>
  <si>
    <t>results: no rebound but temperature reequilibrate</t>
  </si>
  <si>
    <t>50% porosity of seams, 30 years simulation, curve rainfall, reload Flux_00</t>
  </si>
  <si>
    <t>-0.08 + 3E8 RAIN</t>
  </si>
  <si>
    <t>RELOAD No precipitation</t>
  </si>
  <si>
    <t>add plug on top production shaft</t>
  </si>
  <si>
    <t>Mining Mixed BC precipitation</t>
  </si>
  <si>
    <t>Mining Mixed BC no precipitation</t>
  </si>
  <si>
    <t>-0.08</t>
  </si>
  <si>
    <t>-1e-4 prod +3E8 Rain</t>
  </si>
  <si>
    <t>Mining Fixed Flux no precipitation</t>
  </si>
  <si>
    <t>Mining Fixed Flux step 1</t>
  </si>
  <si>
    <t xml:space="preserve">Mining Fixed Flux Precipitation </t>
  </si>
  <si>
    <t xml:space="preserve">add extraction, 10 yrs simulation, re-run at 30 yrs </t>
  </si>
  <si>
    <t>stopped at time step 11099 (about 30 years = 9.58954e+08s)</t>
  </si>
  <si>
    <t>Mining Mixed BC, no precipitation</t>
  </si>
  <si>
    <t>Run simulation only with hydro/thermal flow and new material properties but no extraction, 30 yrs simulation</t>
  </si>
  <si>
    <t>1 yr simulation</t>
  </si>
  <si>
    <t>50 yrs simulation ?</t>
  </si>
  <si>
    <t>-0.08 +3E8 RAIN</t>
  </si>
  <si>
    <t>reload flooding Mixed BC no precipitation</t>
  </si>
  <si>
    <t>Mining Mixed BC, precipitation</t>
  </si>
  <si>
    <t>30 yrs mining period (re-run if mistake)</t>
  </si>
  <si>
    <t>check what rainfall is necessary in case with fixed flux</t>
  </si>
  <si>
    <t xml:space="preserve">Rebound occurs if head is in BC </t>
  </si>
  <si>
    <t>Check pumping values for mining/prod conditions</t>
  </si>
  <si>
    <t>Mining Fixed Flux, precipitation</t>
  </si>
  <si>
    <t>Mining Fixed Flux, no precipitation</t>
  </si>
  <si>
    <t>-0.08 prod + 3e-8 rain</t>
  </si>
  <si>
    <t>done</t>
  </si>
  <si>
    <t>same but shallower production well</t>
  </si>
  <si>
    <t>done for 30 and 50 years</t>
  </si>
  <si>
    <t>from case with no precipitation 50 yrs</t>
  </si>
  <si>
    <t>same but well above all seams, output every 365</t>
  </si>
  <si>
    <t>reload flooding Mixed BC no precipitation, shallower production well</t>
  </si>
  <si>
    <t>from pumping at WELL PROD2, output every 365</t>
  </si>
  <si>
    <t>reload flooding Mixed BC no precipitation, production well above all seams</t>
  </si>
  <si>
    <t xml:space="preserve">years </t>
  </si>
  <si>
    <t>stopped at</t>
  </si>
  <si>
    <t>years</t>
  </si>
  <si>
    <t>check precipitation + solar variations</t>
  </si>
  <si>
    <t>same but well above all seams, with flooding from mining prod0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</si>
</sst>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u/>
      <sz val="9"/>
      <name val="Arial"/>
      <family val="2"/>
    </font>
    <font>
      <b/>
      <sz val="10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/>
    <xf numFmtId="0" fontId="0" fillId="0" borderId="0" xfId="0" applyFont="1" applyAlignment="1"/>
    <xf numFmtId="0" fontId="1" fillId="0" borderId="0" xfId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1" fillId="0" borderId="0" xfId="1"/>
    <xf numFmtId="11" fontId="0" fillId="0" borderId="0" xfId="0" applyNumberFormat="1"/>
    <xf numFmtId="0" fontId="4" fillId="0" borderId="0" xfId="0" applyFont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0" xfId="0" applyFont="1" applyBorder="1"/>
    <xf numFmtId="11" fontId="5" fillId="0" borderId="0" xfId="0" applyNumberFormat="1" applyFont="1" applyBorder="1"/>
    <xf numFmtId="0" fontId="5" fillId="0" borderId="0" xfId="0" applyFont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5" fillId="0" borderId="14" xfId="0" applyFon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15" xfId="0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 applyBorder="1"/>
    <xf numFmtId="11" fontId="0" fillId="0" borderId="15" xfId="0" applyNumberFormat="1" applyBorder="1"/>
    <xf numFmtId="2" fontId="0" fillId="0" borderId="0" xfId="0" applyNumberFormat="1"/>
    <xf numFmtId="0" fontId="7" fillId="4" borderId="0" xfId="0" applyFont="1" applyFill="1"/>
    <xf numFmtId="2" fontId="7" fillId="4" borderId="0" xfId="0" applyNumberFormat="1" applyFont="1" applyFill="1"/>
    <xf numFmtId="0" fontId="8" fillId="0" borderId="13" xfId="0" applyFont="1" applyBorder="1"/>
    <xf numFmtId="0" fontId="8" fillId="0" borderId="0" xfId="0" applyFont="1" applyBorder="1"/>
    <xf numFmtId="0" fontId="9" fillId="0" borderId="13" xfId="0" applyFont="1" applyBorder="1"/>
    <xf numFmtId="0" fontId="9" fillId="0" borderId="0" xfId="0" applyFont="1" applyBorder="1"/>
    <xf numFmtId="0" fontId="8" fillId="0" borderId="12" xfId="0" applyFont="1" applyBorder="1"/>
    <xf numFmtId="0" fontId="8" fillId="0" borderId="0" xfId="0" applyFont="1"/>
    <xf numFmtId="0" fontId="8" fillId="0" borderId="14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5" xfId="0" applyFont="1" applyBorder="1"/>
    <xf numFmtId="11" fontId="5" fillId="0" borderId="13" xfId="0" applyNumberFormat="1" applyFont="1" applyBorder="1"/>
    <xf numFmtId="11" fontId="5" fillId="0" borderId="14" xfId="0" applyNumberFormat="1" applyFont="1" applyBorder="1"/>
    <xf numFmtId="0" fontId="4" fillId="0" borderId="0" xfId="0" applyFont="1" applyAlignment="1">
      <alignment wrapText="1"/>
    </xf>
    <xf numFmtId="0" fontId="4" fillId="0" borderId="5" xfId="0" applyFont="1" applyBorder="1"/>
    <xf numFmtId="0" fontId="8" fillId="0" borderId="10" xfId="0" applyFont="1" applyBorder="1"/>
    <xf numFmtId="0" fontId="8" fillId="0" borderId="5" xfId="0" applyFont="1" applyBorder="1" applyAlignment="1">
      <alignment wrapText="1"/>
    </xf>
    <xf numFmtId="11" fontId="8" fillId="0" borderId="5" xfId="0" applyNumberFormat="1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6" xfId="0" applyFont="1" applyBorder="1"/>
    <xf numFmtId="0" fontId="5" fillId="0" borderId="9" xfId="0" applyFont="1" applyBorder="1"/>
    <xf numFmtId="0" fontId="5" fillId="0" borderId="0" xfId="0" applyFont="1" applyBorder="1" applyAlignment="1">
      <alignment wrapText="1"/>
    </xf>
    <xf numFmtId="0" fontId="5" fillId="0" borderId="8" xfId="0" applyFont="1" applyBorder="1"/>
    <xf numFmtId="0" fontId="5" fillId="0" borderId="5" xfId="0" applyFont="1" applyBorder="1"/>
    <xf numFmtId="0" fontId="4" fillId="0" borderId="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0" xfId="0" applyFont="1" applyBorder="1" applyAlignment="1">
      <alignment wrapText="1"/>
    </xf>
    <xf numFmtId="11" fontId="5" fillId="0" borderId="5" xfId="0" applyNumberFormat="1" applyFont="1" applyBorder="1"/>
    <xf numFmtId="0" fontId="5" fillId="0" borderId="1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 applyAlignment="1">
      <alignment horizontal="right"/>
    </xf>
    <xf numFmtId="0" fontId="0" fillId="0" borderId="7" xfId="0" applyBorder="1"/>
    <xf numFmtId="11" fontId="0" fillId="0" borderId="8" xfId="0" applyNumberFormat="1" applyBorder="1"/>
    <xf numFmtId="11" fontId="0" fillId="0" borderId="9" xfId="0" applyNumberFormat="1" applyBorder="1"/>
    <xf numFmtId="0" fontId="5" fillId="0" borderId="16" xfId="0" applyFont="1" applyBorder="1"/>
    <xf numFmtId="0" fontId="9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9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9" fillId="0" borderId="23" xfId="0" applyFont="1" applyBorder="1"/>
    <xf numFmtId="0" fontId="5" fillId="0" borderId="24" xfId="0" applyFont="1" applyBorder="1"/>
    <xf numFmtId="0" fontId="5" fillId="0" borderId="25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9" fillId="0" borderId="17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0" borderId="13" xfId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4" borderId="13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4" fillId="4" borderId="14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4" fillId="4" borderId="9" xfId="0" applyFont="1" applyFill="1" applyBorder="1"/>
    <xf numFmtId="0" fontId="5" fillId="4" borderId="9" xfId="0" applyFont="1" applyFill="1" applyBorder="1"/>
    <xf numFmtId="11" fontId="4" fillId="4" borderId="5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4" xfId="0" applyFont="1" applyFill="1" applyBorder="1"/>
    <xf numFmtId="0" fontId="5" fillId="0" borderId="13" xfId="0" applyFont="1" applyFill="1" applyBorder="1"/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6" fillId="0" borderId="8" xfId="0" applyFont="1" applyBorder="1"/>
    <xf numFmtId="11" fontId="5" fillId="0" borderId="4" xfId="0" applyNumberFormat="1" applyFont="1" applyBorder="1"/>
    <xf numFmtId="11" fontId="5" fillId="0" borderId="6" xfId="0" applyNumberFormat="1" applyFont="1" applyBorder="1"/>
    <xf numFmtId="11" fontId="4" fillId="0" borderId="0" xfId="0" applyNumberFormat="1" applyFont="1" applyBorder="1"/>
    <xf numFmtId="11" fontId="4" fillId="4" borderId="6" xfId="0" applyNumberFormat="1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11" fontId="4" fillId="0" borderId="8" xfId="0" applyNumberFormat="1" applyFont="1" applyFill="1" applyBorder="1"/>
    <xf numFmtId="11" fontId="4" fillId="0" borderId="9" xfId="0" applyNumberFormat="1" applyFont="1" applyFill="1" applyBorder="1"/>
    <xf numFmtId="0" fontId="4" fillId="5" borderId="4" xfId="0" applyFont="1" applyFill="1" applyBorder="1"/>
    <xf numFmtId="0" fontId="4" fillId="5" borderId="6" xfId="0" applyFont="1" applyFill="1" applyBorder="1"/>
    <xf numFmtId="0" fontId="4" fillId="6" borderId="6" xfId="0" applyFont="1" applyFill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1" fillId="0" borderId="10" xfId="0" applyFont="1" applyBorder="1"/>
    <xf numFmtId="0" fontId="11" fillId="0" borderId="10" xfId="0" applyFont="1" applyBorder="1" applyAlignment="1">
      <alignment wrapText="1"/>
    </xf>
    <xf numFmtId="0" fontId="11" fillId="0" borderId="4" xfId="0" applyFont="1" applyBorder="1"/>
    <xf numFmtId="0" fontId="11" fillId="0" borderId="6" xfId="0" applyFont="1" applyBorder="1"/>
    <xf numFmtId="0" fontId="11" fillId="0" borderId="5" xfId="0" applyFont="1" applyBorder="1"/>
    <xf numFmtId="11" fontId="11" fillId="0" borderId="5" xfId="0" applyNumberFormat="1" applyFont="1" applyBorder="1"/>
    <xf numFmtId="16" fontId="11" fillId="0" borderId="6" xfId="0" applyNumberFormat="1" applyFont="1" applyBorder="1"/>
    <xf numFmtId="0" fontId="11" fillId="0" borderId="0" xfId="0" applyFont="1" applyBorder="1"/>
    <xf numFmtId="0" fontId="11" fillId="0" borderId="13" xfId="0" applyFont="1" applyBorder="1"/>
    <xf numFmtId="0" fontId="11" fillId="0" borderId="14" xfId="0" applyFont="1" applyBorder="1"/>
    <xf numFmtId="0" fontId="11" fillId="0" borderId="0" xfId="0" applyFont="1"/>
    <xf numFmtId="0" fontId="11" fillId="0" borderId="12" xfId="0" applyFont="1" applyBorder="1"/>
    <xf numFmtId="0" fontId="11" fillId="0" borderId="12" xfId="0" applyFont="1" applyBorder="1" applyAlignment="1">
      <alignment wrapText="1"/>
    </xf>
    <xf numFmtId="11" fontId="11" fillId="0" borderId="0" xfId="0" applyNumberFormat="1" applyFont="1" applyBorder="1"/>
    <xf numFmtId="16" fontId="11" fillId="0" borderId="14" xfId="0" applyNumberFormat="1" applyFont="1" applyBorder="1"/>
    <xf numFmtId="0" fontId="11" fillId="0" borderId="13" xfId="0" quotePrefix="1" applyFont="1" applyBorder="1"/>
    <xf numFmtId="0" fontId="12" fillId="0" borderId="13" xfId="0" applyFont="1" applyBorder="1"/>
    <xf numFmtId="0" fontId="12" fillId="0" borderId="0" xfId="0" applyFont="1" applyBorder="1"/>
    <xf numFmtId="0" fontId="11" fillId="0" borderId="14" xfId="0" applyFont="1" applyFill="1" applyBorder="1"/>
    <xf numFmtId="0" fontId="11" fillId="0" borderId="11" xfId="0" applyFont="1" applyBorder="1"/>
    <xf numFmtId="0" fontId="11" fillId="0" borderId="11" xfId="0" applyFont="1" applyBorder="1" applyAlignment="1">
      <alignment wrapText="1"/>
    </xf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11" fontId="11" fillId="0" borderId="8" xfId="0" applyNumberFormat="1" applyFont="1" applyBorder="1"/>
    <xf numFmtId="0" fontId="11" fillId="0" borderId="9" xfId="0" applyFont="1" applyFill="1" applyBorder="1"/>
    <xf numFmtId="0" fontId="13" fillId="0" borderId="12" xfId="0" applyFont="1" applyBorder="1" applyAlignment="1">
      <alignment wrapText="1"/>
    </xf>
    <xf numFmtId="11" fontId="11" fillId="0" borderId="13" xfId="0" applyNumberFormat="1" applyFont="1" applyBorder="1"/>
    <xf numFmtId="11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0" fillId="0" borderId="0" xfId="0" applyNumberFormat="1"/>
    <xf numFmtId="0" fontId="15" fillId="0" borderId="0" xfId="0" applyFont="1" applyFill="1" applyBorder="1"/>
    <xf numFmtId="0" fontId="15" fillId="0" borderId="0" xfId="0" applyFont="1"/>
    <xf numFmtId="0" fontId="16" fillId="0" borderId="0" xfId="0" applyFont="1"/>
    <xf numFmtId="11" fontId="0" fillId="0" borderId="0" xfId="0" quotePrefix="1" applyNumberFormat="1"/>
    <xf numFmtId="11" fontId="15" fillId="0" borderId="0" xfId="0" applyNumberFormat="1" applyFont="1"/>
    <xf numFmtId="0" fontId="17" fillId="0" borderId="0" xfId="0" applyFont="1"/>
    <xf numFmtId="0" fontId="17" fillId="0" borderId="0" xfId="0" applyNumberFormat="1" applyFont="1"/>
    <xf numFmtId="11" fontId="17" fillId="0" borderId="0" xfId="0" applyNumberFormat="1" applyFont="1"/>
    <xf numFmtId="0" fontId="15" fillId="0" borderId="0" xfId="0" applyNumberFormat="1" applyFont="1"/>
    <xf numFmtId="11" fontId="16" fillId="0" borderId="0" xfId="0" applyNumberFormat="1" applyFont="1"/>
    <xf numFmtId="0" fontId="14" fillId="0" borderId="0" xfId="0" applyFont="1"/>
    <xf numFmtId="0" fontId="14" fillId="0" borderId="0" xfId="0" applyNumberFormat="1" applyFont="1"/>
    <xf numFmtId="11" fontId="14" fillId="0" borderId="0" xfId="0" applyNumberFormat="1" applyFont="1"/>
    <xf numFmtId="0" fontId="14" fillId="0" borderId="0" xfId="0" applyFont="1" applyFill="1" applyBorder="1"/>
    <xf numFmtId="11" fontId="4" fillId="0" borderId="0" xfId="0" applyNumberFormat="1" applyFont="1"/>
    <xf numFmtId="0" fontId="4" fillId="0" borderId="15" xfId="0" applyFont="1" applyBorder="1"/>
    <xf numFmtId="0" fontId="15" fillId="0" borderId="0" xfId="0" quotePrefix="1" applyFont="1"/>
    <xf numFmtId="0" fontId="0" fillId="0" borderId="0" xfId="0" quotePrefix="1"/>
    <xf numFmtId="0" fontId="0" fillId="0" borderId="0" xfId="0" applyFill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@120m=" TargetMode="External"/><Relationship Id="rId1" Type="http://schemas.openxmlformats.org/officeDocument/2006/relationships/hyperlink" Target="mailto:T@120m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T@800m" TargetMode="External"/><Relationship Id="rId3" Type="http://schemas.openxmlformats.org/officeDocument/2006/relationships/hyperlink" Target="mailto:T1@" TargetMode="External"/><Relationship Id="rId7" Type="http://schemas.openxmlformats.org/officeDocument/2006/relationships/hyperlink" Target="mailto:T@0m" TargetMode="External"/><Relationship Id="rId2" Type="http://schemas.openxmlformats.org/officeDocument/2006/relationships/hyperlink" Target="mailto:T2@" TargetMode="External"/><Relationship Id="rId1" Type="http://schemas.openxmlformats.org/officeDocument/2006/relationships/hyperlink" Target="mailto:T1@" TargetMode="External"/><Relationship Id="rId6" Type="http://schemas.openxmlformats.org/officeDocument/2006/relationships/hyperlink" Target="mailto:T2@" TargetMode="External"/><Relationship Id="rId5" Type="http://schemas.openxmlformats.org/officeDocument/2006/relationships/hyperlink" Target="mailto:T1@" TargetMode="External"/><Relationship Id="rId10" Type="http://schemas.openxmlformats.org/officeDocument/2006/relationships/hyperlink" Target="mailto:T@800m" TargetMode="External"/><Relationship Id="rId4" Type="http://schemas.openxmlformats.org/officeDocument/2006/relationships/hyperlink" Target="mailto:T2@" TargetMode="External"/><Relationship Id="rId9" Type="http://schemas.openxmlformats.org/officeDocument/2006/relationships/hyperlink" Target="mailto:T@0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zoomScaleNormal="100" workbookViewId="0">
      <pane xSplit="1" topLeftCell="B1" activePane="topRight" state="frozen"/>
      <selection pane="topRight" activeCell="Z15" sqref="Z15"/>
    </sheetView>
  </sheetViews>
  <sheetFormatPr defaultColWidth="11.5703125" defaultRowHeight="12.75" x14ac:dyDescent="0.2"/>
  <cols>
    <col min="1" max="1" width="11.5703125" style="8"/>
    <col min="2" max="2" width="21.28515625" style="55" customWidth="1"/>
    <col min="3" max="3" width="5.85546875" style="8" bestFit="1" customWidth="1"/>
    <col min="4" max="4" width="7.5703125" style="8" bestFit="1" customWidth="1"/>
    <col min="5" max="5" width="3.7109375" style="8" customWidth="1"/>
    <col min="6" max="6" width="5.140625" style="8" customWidth="1"/>
    <col min="7" max="7" width="3.85546875" style="8" customWidth="1"/>
    <col min="8" max="8" width="3.7109375" style="8" customWidth="1"/>
    <col min="9" max="9" width="4.5703125" style="8" customWidth="1"/>
    <col min="10" max="10" width="6.7109375" style="8" customWidth="1"/>
    <col min="11" max="11" width="3" style="8" customWidth="1"/>
    <col min="12" max="12" width="5.42578125" style="8" customWidth="1"/>
    <col min="13" max="13" width="6" style="8" customWidth="1"/>
    <col min="14" max="14" width="9" style="8" customWidth="1"/>
    <col min="15" max="15" width="5.5703125" style="8" customWidth="1"/>
    <col min="16" max="16" width="6" style="8" customWidth="1"/>
    <col min="17" max="17" width="4.28515625" style="8" customWidth="1"/>
    <col min="18" max="18" width="6.85546875" style="8" customWidth="1"/>
    <col min="19" max="19" width="7.28515625" style="8" customWidth="1"/>
    <col min="20" max="20" width="6.5703125" style="8" customWidth="1"/>
    <col min="21" max="21" width="12.28515625" style="8" bestFit="1" customWidth="1"/>
    <col min="22" max="22" width="5.140625" style="8" customWidth="1"/>
    <col min="23" max="23" width="7.140625" style="8" customWidth="1"/>
    <col min="24" max="24" width="5.5703125" style="8" customWidth="1"/>
    <col min="25" max="25" width="4.7109375" style="8" customWidth="1"/>
    <col min="26" max="26" width="5.7109375" style="8" customWidth="1"/>
    <col min="27" max="27" width="9.28515625" style="8" bestFit="1" customWidth="1"/>
    <col min="28" max="28" width="5" style="8" customWidth="1"/>
    <col min="29" max="29" width="5.85546875" style="8" customWidth="1"/>
    <col min="30" max="30" width="19" style="8" customWidth="1"/>
    <col min="31" max="31" width="8" style="8" customWidth="1"/>
    <col min="32" max="32" width="21.42578125" style="8" customWidth="1"/>
    <col min="33" max="33" width="18.42578125" style="8" customWidth="1"/>
    <col min="34" max="34" width="5.28515625" style="8" customWidth="1"/>
    <col min="35" max="35" width="7.85546875" style="8" bestFit="1" customWidth="1"/>
    <col min="36" max="36" width="8.28515625" style="8" bestFit="1" customWidth="1"/>
    <col min="37" max="37" width="8.42578125" style="8" bestFit="1" customWidth="1"/>
    <col min="38" max="38" width="9.85546875" style="8" bestFit="1" customWidth="1"/>
    <col min="39" max="39" width="13.28515625" style="8" bestFit="1" customWidth="1"/>
    <col min="40" max="40" width="15.5703125" style="8" bestFit="1" customWidth="1"/>
    <col min="41" max="41" width="11.28515625" style="8" bestFit="1" customWidth="1"/>
    <col min="42" max="42" width="11.28515625" style="8" customWidth="1"/>
    <col min="43" max="46" width="8.28515625" style="8" bestFit="1" customWidth="1"/>
    <col min="47" max="48" width="8.28515625" style="8" customWidth="1"/>
    <col min="49" max="16384" width="11.5703125" style="8"/>
  </cols>
  <sheetData>
    <row r="1" spans="1:48" ht="13.5" thickBot="1" x14ac:dyDescent="0.25">
      <c r="Q1" s="8" t="s">
        <v>87</v>
      </c>
      <c r="V1" s="217" t="s">
        <v>62</v>
      </c>
      <c r="W1" s="218"/>
      <c r="X1" s="218"/>
      <c r="Y1" s="218"/>
      <c r="Z1" s="218"/>
      <c r="AA1" s="218"/>
      <c r="AB1" s="218"/>
      <c r="AC1" s="219"/>
      <c r="AM1" s="8" t="s">
        <v>15</v>
      </c>
      <c r="AN1" s="8" t="s">
        <v>108</v>
      </c>
      <c r="AO1" s="8" t="s">
        <v>108</v>
      </c>
      <c r="AP1" s="8" t="s">
        <v>108</v>
      </c>
      <c r="AQ1" s="8" t="s">
        <v>108</v>
      </c>
    </row>
    <row r="2" spans="1:48" ht="14.45" customHeight="1" thickBot="1" x14ac:dyDescent="0.25">
      <c r="A2" s="14"/>
      <c r="B2" s="67"/>
      <c r="C2" s="9"/>
      <c r="D2" s="10"/>
      <c r="E2" s="214" t="s">
        <v>37</v>
      </c>
      <c r="F2" s="215"/>
      <c r="G2" s="215"/>
      <c r="H2" s="215"/>
      <c r="I2" s="215"/>
      <c r="J2" s="215"/>
      <c r="K2" s="216"/>
      <c r="L2" s="214" t="s">
        <v>39</v>
      </c>
      <c r="M2" s="215"/>
      <c r="N2" s="215"/>
      <c r="O2" s="216"/>
      <c r="P2" s="214" t="s">
        <v>34</v>
      </c>
      <c r="Q2" s="215"/>
      <c r="R2" s="215"/>
      <c r="S2" s="216"/>
      <c r="T2" s="214" t="s">
        <v>43</v>
      </c>
      <c r="U2" s="216"/>
      <c r="V2" s="217" t="s">
        <v>59</v>
      </c>
      <c r="W2" s="218"/>
      <c r="X2" s="218"/>
      <c r="Y2" s="218"/>
      <c r="Z2" s="218" t="s">
        <v>67</v>
      </c>
      <c r="AA2" s="218"/>
      <c r="AB2" s="218"/>
      <c r="AC2" s="219"/>
      <c r="AD2" s="218" t="s">
        <v>31</v>
      </c>
      <c r="AE2" s="218"/>
      <c r="AF2" s="217" t="s">
        <v>46</v>
      </c>
      <c r="AG2" s="219"/>
      <c r="AH2" s="22"/>
      <c r="AI2" s="22" t="s">
        <v>90</v>
      </c>
      <c r="AJ2" s="17" t="s">
        <v>93</v>
      </c>
      <c r="AK2" s="17" t="s">
        <v>91</v>
      </c>
      <c r="AL2" s="17" t="s">
        <v>78</v>
      </c>
      <c r="AM2" s="17" t="s">
        <v>112</v>
      </c>
      <c r="AN2" s="17" t="s">
        <v>98</v>
      </c>
      <c r="AO2" s="17" t="s">
        <v>79</v>
      </c>
      <c r="AP2" s="17" t="s">
        <v>110</v>
      </c>
      <c r="AQ2" s="17" t="s">
        <v>99</v>
      </c>
      <c r="AR2" s="17" t="s">
        <v>80</v>
      </c>
      <c r="AS2" s="17" t="s">
        <v>101</v>
      </c>
      <c r="AT2" s="217" t="s">
        <v>11</v>
      </c>
      <c r="AU2" s="218"/>
      <c r="AV2" s="219"/>
    </row>
    <row r="3" spans="1:48" ht="13.5" thickBot="1" x14ac:dyDescent="0.25">
      <c r="A3" s="16" t="s">
        <v>0</v>
      </c>
      <c r="B3" s="68"/>
      <c r="C3" s="18" t="s">
        <v>2</v>
      </c>
      <c r="D3" s="19" t="s">
        <v>3</v>
      </c>
      <c r="E3" s="18" t="s">
        <v>38</v>
      </c>
      <c r="F3" s="20" t="s">
        <v>4</v>
      </c>
      <c r="G3" s="20" t="s">
        <v>5</v>
      </c>
      <c r="H3" s="20" t="s">
        <v>6</v>
      </c>
      <c r="I3" s="20" t="s">
        <v>41</v>
      </c>
      <c r="J3" s="20" t="s">
        <v>42</v>
      </c>
      <c r="K3" s="19" t="s">
        <v>7</v>
      </c>
      <c r="L3" s="18" t="s">
        <v>172</v>
      </c>
      <c r="M3" s="20" t="s">
        <v>173</v>
      </c>
      <c r="N3" s="20" t="s">
        <v>174</v>
      </c>
      <c r="O3" s="19" t="s">
        <v>105</v>
      </c>
      <c r="P3" s="18" t="s">
        <v>35</v>
      </c>
      <c r="Q3" s="20" t="s">
        <v>36</v>
      </c>
      <c r="R3" s="20" t="s">
        <v>175</v>
      </c>
      <c r="S3" s="19" t="s">
        <v>176</v>
      </c>
      <c r="T3" s="18" t="s">
        <v>8</v>
      </c>
      <c r="U3" s="19" t="s">
        <v>40</v>
      </c>
      <c r="V3" s="18" t="s">
        <v>63</v>
      </c>
      <c r="W3" s="20" t="s">
        <v>64</v>
      </c>
      <c r="X3" s="20" t="s">
        <v>65</v>
      </c>
      <c r="Y3" s="20" t="s">
        <v>66</v>
      </c>
      <c r="Z3" s="18" t="s">
        <v>63</v>
      </c>
      <c r="AA3" s="20" t="s">
        <v>64</v>
      </c>
      <c r="AB3" s="20" t="s">
        <v>65</v>
      </c>
      <c r="AC3" s="20" t="s">
        <v>66</v>
      </c>
      <c r="AD3" s="9" t="s">
        <v>32</v>
      </c>
      <c r="AE3" s="56" t="s">
        <v>47</v>
      </c>
      <c r="AF3" s="18" t="s">
        <v>104</v>
      </c>
      <c r="AG3" s="19" t="s">
        <v>103</v>
      </c>
      <c r="AH3" s="18" t="s">
        <v>75</v>
      </c>
      <c r="AI3" s="18" t="s">
        <v>92</v>
      </c>
      <c r="AJ3" s="29" t="s">
        <v>81</v>
      </c>
      <c r="AK3" s="21" t="s">
        <v>77</v>
      </c>
      <c r="AL3" s="21" t="s">
        <v>94</v>
      </c>
      <c r="AM3" s="21" t="s">
        <v>97</v>
      </c>
      <c r="AN3" s="30" t="s">
        <v>113</v>
      </c>
      <c r="AO3" s="20" t="s">
        <v>109</v>
      </c>
      <c r="AP3" s="20" t="s">
        <v>111</v>
      </c>
      <c r="AQ3" s="20" t="s">
        <v>114</v>
      </c>
      <c r="AR3" s="20" t="s">
        <v>100</v>
      </c>
      <c r="AS3" s="20" t="s">
        <v>102</v>
      </c>
      <c r="AT3" s="18" t="s">
        <v>107</v>
      </c>
      <c r="AU3" s="20" t="s">
        <v>106</v>
      </c>
      <c r="AV3" s="19" t="s">
        <v>115</v>
      </c>
    </row>
    <row r="4" spans="1:48" s="48" customFormat="1" x14ac:dyDescent="0.2">
      <c r="A4" s="57" t="s">
        <v>29</v>
      </c>
      <c r="B4" s="69" t="s">
        <v>157</v>
      </c>
      <c r="C4" s="50">
        <v>0</v>
      </c>
      <c r="D4" s="51" t="s">
        <v>30</v>
      </c>
      <c r="E4" s="50">
        <v>1</v>
      </c>
      <c r="F4" s="52">
        <v>0.1</v>
      </c>
      <c r="G4" s="52">
        <v>1</v>
      </c>
      <c r="H4" s="52"/>
      <c r="I4" s="52"/>
      <c r="J4" s="52"/>
      <c r="K4" s="51"/>
      <c r="L4" s="50">
        <v>3</v>
      </c>
      <c r="M4" s="52">
        <v>900</v>
      </c>
      <c r="N4" s="59">
        <v>1.0000000000000001E-5</v>
      </c>
      <c r="O4" s="51">
        <v>2650</v>
      </c>
      <c r="P4" s="50">
        <v>1000</v>
      </c>
      <c r="Q4" s="52">
        <v>0</v>
      </c>
      <c r="R4" s="52">
        <v>0</v>
      </c>
      <c r="S4" s="52">
        <v>0</v>
      </c>
      <c r="T4" s="50">
        <v>86400</v>
      </c>
      <c r="U4" s="62" t="s">
        <v>88</v>
      </c>
      <c r="V4" s="52"/>
      <c r="W4" s="52"/>
      <c r="X4" s="52"/>
      <c r="Y4" s="52"/>
      <c r="Z4" s="50">
        <f>10-60*0.015</f>
        <v>9.1</v>
      </c>
      <c r="AA4" s="52">
        <f>10+740*0.015</f>
        <v>21.1</v>
      </c>
      <c r="AB4" s="52"/>
      <c r="AC4" s="51"/>
      <c r="AD4" s="50" t="s">
        <v>154</v>
      </c>
      <c r="AE4" s="52"/>
      <c r="AF4" s="60" t="s">
        <v>49</v>
      </c>
      <c r="AG4" s="51"/>
      <c r="AH4" s="43"/>
      <c r="AI4" s="43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3"/>
      <c r="AU4" s="44"/>
      <c r="AV4" s="49"/>
    </row>
    <row r="5" spans="1:48" s="48" customFormat="1" ht="25.5" x14ac:dyDescent="0.2">
      <c r="A5" s="47" t="s">
        <v>182</v>
      </c>
      <c r="B5" s="70" t="s">
        <v>156</v>
      </c>
      <c r="C5" s="43"/>
      <c r="D5" s="49"/>
      <c r="E5" s="43"/>
      <c r="F5" s="44"/>
      <c r="G5" s="44"/>
      <c r="H5" s="44"/>
      <c r="I5" s="44"/>
      <c r="J5" s="44"/>
      <c r="K5" s="49"/>
      <c r="L5" s="43"/>
      <c r="M5" s="44"/>
      <c r="N5" s="44"/>
      <c r="O5" s="49"/>
      <c r="P5" s="43"/>
      <c r="Q5" s="44"/>
      <c r="R5" s="44"/>
      <c r="S5" s="44"/>
      <c r="T5" s="43">
        <v>86400</v>
      </c>
      <c r="U5" s="25" t="s">
        <v>88</v>
      </c>
      <c r="V5" s="44"/>
      <c r="W5" s="44"/>
      <c r="X5" s="44"/>
      <c r="Y5" s="44"/>
      <c r="Z5" s="43">
        <f>10-60*0.038</f>
        <v>7.7200000000000006</v>
      </c>
      <c r="AA5" s="44">
        <f>10+740*0.038</f>
        <v>38.120000000000005</v>
      </c>
      <c r="AB5" s="44"/>
      <c r="AC5" s="49"/>
      <c r="AD5" s="43" t="s">
        <v>153</v>
      </c>
      <c r="AE5" s="44"/>
      <c r="AF5" s="24" t="s">
        <v>49</v>
      </c>
      <c r="AG5" s="49"/>
      <c r="AH5" s="43"/>
      <c r="AI5" s="43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3"/>
      <c r="AU5" s="44"/>
      <c r="AV5" s="49"/>
    </row>
    <row r="6" spans="1:48" s="48" customFormat="1" ht="25.5" x14ac:dyDescent="0.2">
      <c r="A6" s="47" t="s">
        <v>68</v>
      </c>
      <c r="B6" s="70" t="s">
        <v>158</v>
      </c>
      <c r="C6" s="43"/>
      <c r="D6" s="49"/>
      <c r="E6" s="43"/>
      <c r="F6" s="44"/>
      <c r="G6" s="44"/>
      <c r="H6" s="44"/>
      <c r="I6" s="44"/>
      <c r="J6" s="44"/>
      <c r="K6" s="49"/>
      <c r="L6" s="43"/>
      <c r="M6" s="44"/>
      <c r="N6" s="44"/>
      <c r="O6" s="49"/>
      <c r="P6" s="43"/>
      <c r="Q6" s="44"/>
      <c r="R6" s="44"/>
      <c r="S6" s="44"/>
      <c r="T6" s="43">
        <v>86400</v>
      </c>
      <c r="U6" s="25" t="s">
        <v>88</v>
      </c>
      <c r="V6" s="44"/>
      <c r="W6" s="44"/>
      <c r="X6" s="44"/>
      <c r="Y6" s="44"/>
      <c r="Z6" s="43">
        <v>10</v>
      </c>
      <c r="AA6" s="44">
        <v>38.119999999999997</v>
      </c>
      <c r="AB6" s="44"/>
      <c r="AC6" s="49"/>
      <c r="AD6" s="43" t="s">
        <v>153</v>
      </c>
      <c r="AE6" s="44"/>
      <c r="AF6" s="24"/>
      <c r="AG6" s="49"/>
      <c r="AH6" s="43"/>
      <c r="AI6" s="43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3"/>
      <c r="AU6" s="44"/>
      <c r="AV6" s="49"/>
    </row>
    <row r="7" spans="1:48" s="48" customFormat="1" ht="26.25" thickBot="1" x14ac:dyDescent="0.25">
      <c r="A7" s="47" t="s">
        <v>159</v>
      </c>
      <c r="B7" s="70" t="s">
        <v>161</v>
      </c>
      <c r="C7" s="43"/>
      <c r="D7" s="49"/>
      <c r="E7" s="43"/>
      <c r="F7" s="44"/>
      <c r="G7" s="44"/>
      <c r="H7" s="44"/>
      <c r="I7" s="44"/>
      <c r="J7" s="44"/>
      <c r="K7" s="49"/>
      <c r="L7" s="43"/>
      <c r="M7" s="44"/>
      <c r="N7" s="44"/>
      <c r="O7" s="49"/>
      <c r="P7" s="43"/>
      <c r="Q7" s="44"/>
      <c r="R7" s="44"/>
      <c r="S7" s="44"/>
      <c r="T7" s="43">
        <v>86400</v>
      </c>
      <c r="U7" s="25" t="s">
        <v>88</v>
      </c>
      <c r="V7" s="44"/>
      <c r="W7" s="44"/>
      <c r="X7" s="44"/>
      <c r="Y7" s="44"/>
      <c r="Z7" s="43">
        <v>10</v>
      </c>
      <c r="AA7" s="44">
        <v>38.119999999999997</v>
      </c>
      <c r="AB7" s="44"/>
      <c r="AC7" s="49"/>
      <c r="AD7" s="43" t="s">
        <v>89</v>
      </c>
      <c r="AE7" s="44"/>
      <c r="AF7" s="24" t="s">
        <v>49</v>
      </c>
      <c r="AG7" s="49"/>
      <c r="AH7" s="43"/>
      <c r="AI7" s="43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3"/>
      <c r="AU7" s="44"/>
      <c r="AV7" s="49"/>
    </row>
    <row r="8" spans="1:48" s="48" customFormat="1" ht="13.5" thickBot="1" x14ac:dyDescent="0.25">
      <c r="A8" s="50" t="s">
        <v>178</v>
      </c>
      <c r="B8" s="58"/>
      <c r="C8" s="50"/>
      <c r="D8" s="51"/>
      <c r="E8" s="52"/>
      <c r="F8" s="52"/>
      <c r="G8" s="52"/>
      <c r="H8" s="52"/>
      <c r="I8" s="52"/>
      <c r="J8" s="52"/>
      <c r="K8" s="52"/>
      <c r="L8" s="50"/>
      <c r="M8" s="52"/>
      <c r="N8" s="52"/>
      <c r="O8" s="51"/>
      <c r="P8" s="52"/>
      <c r="Q8" s="52"/>
      <c r="R8" s="52"/>
      <c r="S8" s="52"/>
      <c r="T8" s="50"/>
      <c r="U8" s="51"/>
      <c r="V8" s="52"/>
      <c r="W8" s="52"/>
      <c r="X8" s="52"/>
      <c r="Y8" s="51"/>
      <c r="Z8" s="52"/>
      <c r="AA8" s="52"/>
      <c r="AB8" s="52"/>
      <c r="AC8" s="52"/>
      <c r="AD8" s="50"/>
      <c r="AE8" s="51"/>
      <c r="AF8" s="66"/>
      <c r="AG8" s="51"/>
      <c r="AH8" s="44"/>
      <c r="AI8" s="43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3"/>
      <c r="AU8" s="44"/>
      <c r="AV8" s="49"/>
    </row>
    <row r="9" spans="1:48" s="28" customFormat="1" ht="25.5" x14ac:dyDescent="0.2">
      <c r="A9" s="88" t="s">
        <v>179</v>
      </c>
      <c r="B9" s="98" t="s">
        <v>155</v>
      </c>
      <c r="C9" s="88"/>
      <c r="D9" s="91"/>
      <c r="E9" s="101"/>
      <c r="F9" s="89"/>
      <c r="G9" s="89"/>
      <c r="H9" s="89"/>
      <c r="I9" s="89"/>
      <c r="J9" s="89"/>
      <c r="K9" s="104"/>
      <c r="L9" s="88"/>
      <c r="M9" s="89"/>
      <c r="N9" s="89"/>
      <c r="O9" s="91"/>
      <c r="P9" s="101"/>
      <c r="Q9" s="89"/>
      <c r="R9" s="89"/>
      <c r="S9" s="104"/>
      <c r="T9" s="88">
        <v>86400</v>
      </c>
      <c r="U9" s="91" t="s">
        <v>88</v>
      </c>
      <c r="V9" s="101"/>
      <c r="W9" s="89"/>
      <c r="X9" s="89"/>
      <c r="Y9" s="104"/>
      <c r="Z9" s="110">
        <v>8.1</v>
      </c>
      <c r="AA9" s="90">
        <v>32.1</v>
      </c>
      <c r="AB9" s="89"/>
      <c r="AC9" s="91"/>
      <c r="AD9" s="107" t="s">
        <v>147</v>
      </c>
      <c r="AE9" s="104"/>
      <c r="AF9" s="88" t="s">
        <v>49</v>
      </c>
      <c r="AG9" s="91"/>
      <c r="AH9" s="26"/>
      <c r="AI9" s="24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4"/>
      <c r="AU9" s="26"/>
      <c r="AV9" s="25"/>
    </row>
    <row r="10" spans="1:48" s="28" customFormat="1" x14ac:dyDescent="0.2">
      <c r="A10" s="92" t="s">
        <v>180</v>
      </c>
      <c r="B10" s="99" t="s">
        <v>177</v>
      </c>
      <c r="C10" s="92"/>
      <c r="D10" s="93"/>
      <c r="E10" s="102"/>
      <c r="F10" s="86"/>
      <c r="G10" s="86"/>
      <c r="H10" s="86"/>
      <c r="I10" s="86"/>
      <c r="J10" s="86"/>
      <c r="K10" s="105"/>
      <c r="L10" s="92"/>
      <c r="M10" s="86"/>
      <c r="N10" s="86"/>
      <c r="O10" s="93"/>
      <c r="P10" s="102"/>
      <c r="Q10" s="86"/>
      <c r="R10" s="86"/>
      <c r="S10" s="105"/>
      <c r="T10" s="92">
        <v>86400</v>
      </c>
      <c r="U10" s="93" t="s">
        <v>88</v>
      </c>
      <c r="V10" s="102"/>
      <c r="W10" s="86"/>
      <c r="X10" s="86"/>
      <c r="Y10" s="105"/>
      <c r="Z10" s="111">
        <v>8.1</v>
      </c>
      <c r="AA10" s="87">
        <v>32.1</v>
      </c>
      <c r="AB10" s="87"/>
      <c r="AC10" s="112"/>
      <c r="AD10" s="108" t="s">
        <v>147</v>
      </c>
      <c r="AE10" s="105"/>
      <c r="AF10" s="92" t="s">
        <v>48</v>
      </c>
      <c r="AG10" s="93"/>
      <c r="AH10" s="26"/>
      <c r="AI10" s="24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4"/>
      <c r="AU10" s="26"/>
      <c r="AV10" s="25"/>
    </row>
    <row r="11" spans="1:48" s="28" customFormat="1" ht="25.5" x14ac:dyDescent="0.2">
      <c r="A11" s="92" t="s">
        <v>183</v>
      </c>
      <c r="B11" s="99" t="s">
        <v>152</v>
      </c>
      <c r="C11" s="92"/>
      <c r="D11" s="93"/>
      <c r="E11" s="102"/>
      <c r="F11" s="86"/>
      <c r="G11" s="86"/>
      <c r="H11" s="86"/>
      <c r="I11" s="86"/>
      <c r="J11" s="86"/>
      <c r="K11" s="105"/>
      <c r="L11" s="92"/>
      <c r="M11" s="86"/>
      <c r="N11" s="86"/>
      <c r="O11" s="93"/>
      <c r="P11" s="102"/>
      <c r="Q11" s="86"/>
      <c r="R11" s="86"/>
      <c r="S11" s="105"/>
      <c r="T11" s="92">
        <v>86400</v>
      </c>
      <c r="U11" s="93" t="s">
        <v>88</v>
      </c>
      <c r="V11" s="102"/>
      <c r="W11" s="86"/>
      <c r="X11" s="86"/>
      <c r="Y11" s="105"/>
      <c r="Z11" s="111">
        <v>8.1</v>
      </c>
      <c r="AA11" s="87">
        <v>32.1</v>
      </c>
      <c r="AB11" s="86"/>
      <c r="AC11" s="93"/>
      <c r="AD11" s="108" t="s">
        <v>147</v>
      </c>
      <c r="AE11" s="105"/>
      <c r="AF11" s="92" t="s">
        <v>48</v>
      </c>
      <c r="AG11" s="93"/>
      <c r="AH11" s="26"/>
      <c r="AI11" s="24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4"/>
      <c r="AU11" s="26"/>
      <c r="AV11" s="25"/>
    </row>
    <row r="12" spans="1:48" s="28" customFormat="1" ht="38.25" x14ac:dyDescent="0.2">
      <c r="A12" s="92" t="s">
        <v>184</v>
      </c>
      <c r="B12" s="99" t="s">
        <v>186</v>
      </c>
      <c r="C12" s="92"/>
      <c r="D12" s="93"/>
      <c r="E12" s="102"/>
      <c r="F12" s="86"/>
      <c r="G12" s="86"/>
      <c r="H12" s="86"/>
      <c r="I12" s="86"/>
      <c r="J12" s="86"/>
      <c r="K12" s="105"/>
      <c r="L12" s="92"/>
      <c r="M12" s="86"/>
      <c r="N12" s="86"/>
      <c r="O12" s="93"/>
      <c r="P12" s="102"/>
      <c r="Q12" s="86"/>
      <c r="R12" s="86"/>
      <c r="S12" s="105"/>
      <c r="T12" s="92">
        <v>86400</v>
      </c>
      <c r="U12" s="93" t="s">
        <v>88</v>
      </c>
      <c r="V12" s="102"/>
      <c r="W12" s="86"/>
      <c r="X12" s="86"/>
      <c r="Y12" s="105"/>
      <c r="Z12" s="111" t="s">
        <v>170</v>
      </c>
      <c r="AA12" s="87">
        <v>32.1</v>
      </c>
      <c r="AB12" s="87"/>
      <c r="AC12" s="112"/>
      <c r="AD12" s="108" t="s">
        <v>147</v>
      </c>
      <c r="AE12" s="105"/>
      <c r="AF12" s="92" t="s">
        <v>48</v>
      </c>
      <c r="AG12" s="93"/>
      <c r="AH12" s="26"/>
      <c r="AI12" s="24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4"/>
      <c r="AU12" s="26"/>
      <c r="AV12" s="25"/>
    </row>
    <row r="13" spans="1:48" s="28" customFormat="1" ht="38.25" x14ac:dyDescent="0.2">
      <c r="A13" s="92" t="s">
        <v>181</v>
      </c>
      <c r="B13" s="99" t="s">
        <v>171</v>
      </c>
      <c r="C13" s="92"/>
      <c r="D13" s="93"/>
      <c r="E13" s="102"/>
      <c r="F13" s="86"/>
      <c r="G13" s="86"/>
      <c r="H13" s="86"/>
      <c r="I13" s="86"/>
      <c r="J13" s="86"/>
      <c r="K13" s="105"/>
      <c r="L13" s="92"/>
      <c r="M13" s="86"/>
      <c r="N13" s="86"/>
      <c r="O13" s="93"/>
      <c r="P13" s="102"/>
      <c r="Q13" s="86"/>
      <c r="R13" s="86"/>
      <c r="S13" s="105"/>
      <c r="T13" s="92">
        <v>86400</v>
      </c>
      <c r="U13" s="93" t="s">
        <v>88</v>
      </c>
      <c r="V13" s="102"/>
      <c r="W13" s="86"/>
      <c r="X13" s="86"/>
      <c r="Y13" s="105"/>
      <c r="Z13" s="111">
        <v>8.1</v>
      </c>
      <c r="AA13" s="87" t="s">
        <v>192</v>
      </c>
      <c r="AB13" s="86"/>
      <c r="AC13" s="93"/>
      <c r="AD13" s="108" t="s">
        <v>147</v>
      </c>
      <c r="AE13" s="105"/>
      <c r="AF13" s="92" t="s">
        <v>49</v>
      </c>
      <c r="AG13" s="93"/>
      <c r="AH13" s="26"/>
      <c r="AI13" s="24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4"/>
      <c r="AU13" s="26"/>
      <c r="AV13" s="25"/>
    </row>
    <row r="14" spans="1:48" s="28" customFormat="1" ht="13.5" thickBot="1" x14ac:dyDescent="0.25">
      <c r="A14" s="94" t="s">
        <v>190</v>
      </c>
      <c r="B14" s="100" t="s">
        <v>191</v>
      </c>
      <c r="C14" s="94"/>
      <c r="D14" s="97"/>
      <c r="E14" s="103"/>
      <c r="F14" s="95"/>
      <c r="G14" s="95"/>
      <c r="H14" s="95"/>
      <c r="I14" s="95"/>
      <c r="J14" s="95"/>
      <c r="K14" s="106"/>
      <c r="L14" s="94"/>
      <c r="M14" s="95"/>
      <c r="N14" s="95"/>
      <c r="O14" s="97"/>
      <c r="P14" s="103"/>
      <c r="Q14" s="95"/>
      <c r="R14" s="95"/>
      <c r="S14" s="106"/>
      <c r="T14" s="94">
        <v>86400</v>
      </c>
      <c r="U14" s="97" t="s">
        <v>88</v>
      </c>
      <c r="V14" s="103"/>
      <c r="W14" s="95"/>
      <c r="X14" s="95"/>
      <c r="Y14" s="106"/>
      <c r="Z14" s="113">
        <f>15-230*0.03</f>
        <v>8.1000000000000014</v>
      </c>
      <c r="AA14" s="96" t="s">
        <v>204</v>
      </c>
      <c r="AB14" s="95"/>
      <c r="AC14" s="97"/>
      <c r="AD14" s="109" t="s">
        <v>147</v>
      </c>
      <c r="AE14" s="106"/>
      <c r="AF14" s="94" t="s">
        <v>49</v>
      </c>
      <c r="AG14" s="97"/>
      <c r="AH14" s="26"/>
      <c r="AI14" s="24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4"/>
      <c r="AU14" s="26"/>
      <c r="AV14" s="25"/>
    </row>
    <row r="15" spans="1:48" s="28" customFormat="1" ht="26.25" thickBot="1" x14ac:dyDescent="0.25">
      <c r="A15" s="24" t="s">
        <v>69</v>
      </c>
      <c r="B15" s="64" t="s">
        <v>160</v>
      </c>
      <c r="C15" s="24"/>
      <c r="D15" s="25"/>
      <c r="E15" s="24"/>
      <c r="F15" s="26"/>
      <c r="G15" s="26"/>
      <c r="H15" s="26"/>
      <c r="I15" s="26"/>
      <c r="J15" s="26"/>
      <c r="K15" s="26"/>
      <c r="L15" s="24"/>
      <c r="M15" s="26"/>
      <c r="N15" s="26"/>
      <c r="O15" s="25"/>
      <c r="P15" s="26"/>
      <c r="Q15" s="26"/>
      <c r="R15" s="26"/>
      <c r="S15" s="26"/>
      <c r="T15" s="24">
        <v>86400</v>
      </c>
      <c r="U15" s="25" t="s">
        <v>88</v>
      </c>
      <c r="V15" s="26"/>
      <c r="W15" s="26"/>
      <c r="X15" s="26"/>
      <c r="Y15" s="25"/>
      <c r="Z15" s="46">
        <v>5.8</v>
      </c>
      <c r="AA15" s="46">
        <v>37.799999999999997</v>
      </c>
      <c r="AB15" s="26"/>
      <c r="AC15" s="26"/>
      <c r="AD15" s="45" t="s">
        <v>148</v>
      </c>
      <c r="AE15" s="25"/>
      <c r="AF15" s="26" t="s">
        <v>49</v>
      </c>
      <c r="AG15" s="25"/>
      <c r="AH15" s="26"/>
      <c r="AI15" s="24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4"/>
      <c r="AU15" s="26"/>
      <c r="AV15" s="25"/>
    </row>
    <row r="16" spans="1:48" s="66" customFormat="1" ht="25.5" x14ac:dyDescent="0.2">
      <c r="A16" s="60" t="s">
        <v>185</v>
      </c>
      <c r="B16" s="74" t="s">
        <v>188</v>
      </c>
      <c r="T16" s="60"/>
      <c r="U16" s="62"/>
      <c r="Z16" s="60">
        <f>18-459*0.0196</f>
        <v>9.0036000000000005</v>
      </c>
      <c r="AA16" s="66">
        <f>18+(800-459)*0.0196</f>
        <v>24.683599999999998</v>
      </c>
      <c r="AC16" s="62"/>
      <c r="AD16" s="66" t="s">
        <v>187</v>
      </c>
      <c r="AF16" s="60" t="s">
        <v>48</v>
      </c>
      <c r="AG16" s="62"/>
    </row>
    <row r="17" spans="1:33" s="26" customFormat="1" x14ac:dyDescent="0.2">
      <c r="A17" s="24" t="s">
        <v>206</v>
      </c>
      <c r="B17" s="71" t="s">
        <v>189</v>
      </c>
      <c r="T17" s="24"/>
      <c r="U17" s="25"/>
      <c r="Z17" s="24" t="s">
        <v>170</v>
      </c>
      <c r="AA17" s="26">
        <f>18+(800-459)*0.0196</f>
        <v>24.683599999999998</v>
      </c>
      <c r="AC17" s="25"/>
      <c r="AF17" s="24" t="s">
        <v>48</v>
      </c>
      <c r="AG17" s="25"/>
    </row>
    <row r="18" spans="1:33" s="65" customFormat="1" ht="13.5" thickBot="1" x14ac:dyDescent="0.25">
      <c r="A18" s="61" t="s">
        <v>203</v>
      </c>
      <c r="B18" s="76" t="s">
        <v>205</v>
      </c>
      <c r="T18" s="61"/>
      <c r="U18" s="63"/>
      <c r="Z18" s="61" t="s">
        <v>170</v>
      </c>
      <c r="AA18" s="65">
        <f>-3*(24.836-9)/(800-0)</f>
        <v>-5.9384999999999993E-2</v>
      </c>
      <c r="AC18" s="63"/>
      <c r="AF18" s="61"/>
      <c r="AG18" s="63"/>
    </row>
    <row r="23" spans="1:33" x14ac:dyDescent="0.2">
      <c r="Z23" s="8">
        <f>(15-3)/2</f>
        <v>6</v>
      </c>
    </row>
  </sheetData>
  <mergeCells count="10">
    <mergeCell ref="V1:AC1"/>
    <mergeCell ref="V2:Y2"/>
    <mergeCell ref="Z2:AC2"/>
    <mergeCell ref="P2:S2"/>
    <mergeCell ref="L2:O2"/>
    <mergeCell ref="E2:K2"/>
    <mergeCell ref="T2:U2"/>
    <mergeCell ref="AT2:AV2"/>
    <mergeCell ref="AF2:AG2"/>
    <mergeCell ref="AD2:A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7"/>
  <sheetViews>
    <sheetView workbookViewId="0">
      <pane xSplit="1" topLeftCell="B1" activePane="topRight" state="frozen"/>
      <selection pane="topRight" activeCell="R35" sqref="R35"/>
    </sheetView>
  </sheetViews>
  <sheetFormatPr defaultRowHeight="15" x14ac:dyDescent="0.25"/>
  <cols>
    <col min="1" max="1" width="10.7109375" bestFit="1" customWidth="1"/>
    <col min="2" max="2" width="34.28515625" customWidth="1"/>
    <col min="11" max="11" width="10" bestFit="1" customWidth="1"/>
    <col min="24" max="24" width="12.28515625" bestFit="1" customWidth="1"/>
    <col min="38" max="38" width="11.7109375" bestFit="1" customWidth="1"/>
    <col min="40" max="43" width="11.7109375" bestFit="1" customWidth="1"/>
  </cols>
  <sheetData>
    <row r="1" spans="1:48" s="8" customFormat="1" ht="13.5" thickBot="1" x14ac:dyDescent="0.25">
      <c r="B1" s="55"/>
      <c r="Q1" s="8" t="s">
        <v>87</v>
      </c>
      <c r="V1" s="217" t="s">
        <v>62</v>
      </c>
      <c r="W1" s="218"/>
      <c r="X1" s="218"/>
      <c r="Y1" s="218"/>
      <c r="Z1" s="218"/>
      <c r="AA1" s="218"/>
      <c r="AB1" s="218"/>
      <c r="AC1" s="219"/>
      <c r="AM1" s="8" t="s">
        <v>15</v>
      </c>
      <c r="AN1" s="8" t="s">
        <v>108</v>
      </c>
      <c r="AO1" s="8" t="s">
        <v>108</v>
      </c>
      <c r="AP1" s="8" t="s">
        <v>108</v>
      </c>
      <c r="AQ1" s="8" t="s">
        <v>108</v>
      </c>
    </row>
    <row r="2" spans="1:48" s="8" customFormat="1" ht="13.5" thickBot="1" x14ac:dyDescent="0.25">
      <c r="A2" s="14" t="s">
        <v>0</v>
      </c>
      <c r="B2" s="67"/>
      <c r="C2" s="9"/>
      <c r="D2" s="10"/>
      <c r="E2" s="214" t="s">
        <v>37</v>
      </c>
      <c r="F2" s="215"/>
      <c r="G2" s="215"/>
      <c r="H2" s="215"/>
      <c r="I2" s="215"/>
      <c r="J2" s="215"/>
      <c r="K2" s="216"/>
      <c r="L2" s="214" t="s">
        <v>39</v>
      </c>
      <c r="M2" s="215"/>
      <c r="N2" s="215"/>
      <c r="O2" s="216"/>
      <c r="P2" s="214" t="s">
        <v>34</v>
      </c>
      <c r="Q2" s="215"/>
      <c r="R2" s="215"/>
      <c r="S2" s="216"/>
      <c r="T2" s="214" t="s">
        <v>43</v>
      </c>
      <c r="U2" s="216"/>
      <c r="V2" s="217" t="s">
        <v>59</v>
      </c>
      <c r="W2" s="218"/>
      <c r="X2" s="218"/>
      <c r="Y2" s="218"/>
      <c r="Z2" s="218" t="s">
        <v>67</v>
      </c>
      <c r="AA2" s="218"/>
      <c r="AB2" s="218"/>
      <c r="AC2" s="219"/>
      <c r="AD2" s="218" t="s">
        <v>31</v>
      </c>
      <c r="AE2" s="218"/>
      <c r="AF2" s="217" t="s">
        <v>46</v>
      </c>
      <c r="AG2" s="219"/>
      <c r="AH2" s="133"/>
      <c r="AI2" s="115" t="s">
        <v>90</v>
      </c>
      <c r="AJ2" s="116" t="s">
        <v>93</v>
      </c>
      <c r="AK2" s="116" t="s">
        <v>91</v>
      </c>
      <c r="AL2" s="116" t="s">
        <v>78</v>
      </c>
      <c r="AM2" s="116" t="s">
        <v>211</v>
      </c>
      <c r="AN2" s="116" t="s">
        <v>98</v>
      </c>
      <c r="AO2" s="116" t="s">
        <v>79</v>
      </c>
      <c r="AP2" s="116" t="s">
        <v>110</v>
      </c>
      <c r="AQ2" s="116" t="s">
        <v>99</v>
      </c>
      <c r="AR2" s="116" t="s">
        <v>80</v>
      </c>
      <c r="AS2" s="116" t="s">
        <v>101</v>
      </c>
      <c r="AT2" s="217" t="s">
        <v>11</v>
      </c>
      <c r="AU2" s="218"/>
      <c r="AV2" s="219"/>
    </row>
    <row r="3" spans="1:48" s="8" customFormat="1" ht="13.5" thickBot="1" x14ac:dyDescent="0.25">
      <c r="A3" s="15"/>
      <c r="B3" s="191"/>
      <c r="C3" s="11" t="s">
        <v>2</v>
      </c>
      <c r="D3" s="13" t="s">
        <v>3</v>
      </c>
      <c r="E3" s="11" t="s">
        <v>38</v>
      </c>
      <c r="F3" s="12" t="s">
        <v>4</v>
      </c>
      <c r="G3" s="12" t="s">
        <v>5</v>
      </c>
      <c r="H3" s="12" t="s">
        <v>6</v>
      </c>
      <c r="I3" s="12" t="s">
        <v>41</v>
      </c>
      <c r="J3" s="12" t="s">
        <v>42</v>
      </c>
      <c r="K3" s="13" t="s">
        <v>7</v>
      </c>
      <c r="L3" s="11" t="s">
        <v>172</v>
      </c>
      <c r="M3" s="12" t="s">
        <v>173</v>
      </c>
      <c r="N3" s="12" t="s">
        <v>174</v>
      </c>
      <c r="O3" s="13" t="s">
        <v>105</v>
      </c>
      <c r="P3" s="11" t="s">
        <v>35</v>
      </c>
      <c r="Q3" s="12" t="s">
        <v>36</v>
      </c>
      <c r="R3" s="12" t="s">
        <v>175</v>
      </c>
      <c r="S3" s="13" t="s">
        <v>176</v>
      </c>
      <c r="T3" s="11" t="s">
        <v>8</v>
      </c>
      <c r="U3" s="13" t="s">
        <v>40</v>
      </c>
      <c r="V3" s="11" t="s">
        <v>63</v>
      </c>
      <c r="W3" s="12" t="s">
        <v>64</v>
      </c>
      <c r="X3" s="12" t="s">
        <v>65</v>
      </c>
      <c r="Y3" s="12" t="s">
        <v>66</v>
      </c>
      <c r="Z3" s="11" t="s">
        <v>63</v>
      </c>
      <c r="AA3" s="12" t="s">
        <v>64</v>
      </c>
      <c r="AB3" s="12" t="s">
        <v>65</v>
      </c>
      <c r="AC3" s="12" t="s">
        <v>66</v>
      </c>
      <c r="AD3" s="192" t="s">
        <v>32</v>
      </c>
      <c r="AE3" s="193" t="s">
        <v>47</v>
      </c>
      <c r="AF3" s="11" t="s">
        <v>104</v>
      </c>
      <c r="AG3" s="13" t="s">
        <v>103</v>
      </c>
      <c r="AH3" s="15" t="s">
        <v>75</v>
      </c>
      <c r="AI3" s="11" t="s">
        <v>92</v>
      </c>
      <c r="AJ3" s="134" t="s">
        <v>81</v>
      </c>
      <c r="AK3" s="135" t="s">
        <v>77</v>
      </c>
      <c r="AL3" s="135" t="s">
        <v>94</v>
      </c>
      <c r="AM3" s="135" t="s">
        <v>97</v>
      </c>
      <c r="AN3" s="136" t="s">
        <v>113</v>
      </c>
      <c r="AO3" s="12" t="s">
        <v>109</v>
      </c>
      <c r="AP3" s="12" t="s">
        <v>111</v>
      </c>
      <c r="AQ3" s="12" t="s">
        <v>114</v>
      </c>
      <c r="AR3" s="12" t="s">
        <v>100</v>
      </c>
      <c r="AS3" s="12" t="s">
        <v>102</v>
      </c>
      <c r="AT3" s="11" t="s">
        <v>107</v>
      </c>
      <c r="AU3" s="12" t="s">
        <v>106</v>
      </c>
      <c r="AV3" s="13" t="s">
        <v>115</v>
      </c>
    </row>
    <row r="4" spans="1:48" s="8" customFormat="1" ht="12.75" x14ac:dyDescent="0.2">
      <c r="A4" s="16" t="s">
        <v>233</v>
      </c>
      <c r="B4" s="68"/>
      <c r="C4" s="18"/>
      <c r="D4" s="19"/>
      <c r="E4" s="18"/>
      <c r="F4" s="20"/>
      <c r="G4" s="20"/>
      <c r="H4" s="20"/>
      <c r="I4" s="20"/>
      <c r="J4" s="20"/>
      <c r="K4" s="19"/>
      <c r="L4" s="18"/>
      <c r="M4" s="20"/>
      <c r="N4" s="20"/>
      <c r="O4" s="19"/>
      <c r="P4" s="18"/>
      <c r="Q4" s="20"/>
      <c r="R4" s="20"/>
      <c r="S4" s="20"/>
      <c r="T4" s="18"/>
      <c r="U4" s="19"/>
      <c r="V4" s="20"/>
      <c r="W4" s="20"/>
      <c r="X4" s="20"/>
      <c r="Y4" s="20"/>
      <c r="Z4" s="18"/>
      <c r="AA4" s="20"/>
      <c r="AB4" s="20"/>
      <c r="AC4" s="20"/>
      <c r="AD4" s="18"/>
      <c r="AE4" s="19"/>
      <c r="AF4" s="20"/>
      <c r="AG4" s="19"/>
      <c r="AH4" s="16"/>
      <c r="AI4" s="20"/>
      <c r="AJ4" s="29"/>
      <c r="AK4" s="21"/>
      <c r="AL4" s="21"/>
      <c r="AM4" s="21"/>
      <c r="AN4" s="30"/>
      <c r="AO4" s="20"/>
      <c r="AP4" s="20"/>
      <c r="AQ4" s="20"/>
      <c r="AR4" s="20"/>
      <c r="AS4" s="20"/>
      <c r="AT4" s="18"/>
      <c r="AU4" s="20"/>
      <c r="AV4" s="19"/>
    </row>
    <row r="5" spans="1:48" s="8" customFormat="1" ht="13.5" thickBot="1" x14ac:dyDescent="0.25">
      <c r="A5" s="16" t="s">
        <v>234</v>
      </c>
      <c r="B5" s="68"/>
      <c r="C5" s="18"/>
      <c r="D5" s="19"/>
      <c r="E5" s="18"/>
      <c r="F5" s="20"/>
      <c r="G5" s="20"/>
      <c r="H5" s="20"/>
      <c r="I5" s="20"/>
      <c r="J5" s="20"/>
      <c r="K5" s="19"/>
      <c r="L5" s="18"/>
      <c r="M5" s="20"/>
      <c r="N5" s="20"/>
      <c r="O5" s="19"/>
      <c r="P5" s="18"/>
      <c r="Q5" s="20"/>
      <c r="R5" s="20"/>
      <c r="S5" s="20"/>
      <c r="T5" s="18"/>
      <c r="U5" s="19"/>
      <c r="V5" s="20"/>
      <c r="W5" s="20"/>
      <c r="X5" s="20"/>
      <c r="Y5" s="20"/>
      <c r="Z5" s="18"/>
      <c r="AA5" s="20"/>
      <c r="AB5" s="20"/>
      <c r="AC5" s="20"/>
      <c r="AD5" s="11"/>
      <c r="AE5" s="13"/>
      <c r="AF5" s="20"/>
      <c r="AG5" s="19"/>
      <c r="AH5" s="16"/>
      <c r="AI5" s="20"/>
      <c r="AJ5" s="29"/>
      <c r="AK5" s="21"/>
      <c r="AL5" s="21"/>
      <c r="AM5" s="21"/>
      <c r="AN5" s="30"/>
      <c r="AO5" s="20"/>
      <c r="AP5" s="20"/>
      <c r="AQ5" s="20"/>
      <c r="AR5" s="20"/>
      <c r="AS5" s="20"/>
      <c r="AT5" s="18"/>
      <c r="AU5" s="20"/>
      <c r="AV5" s="19"/>
    </row>
    <row r="6" spans="1:48" s="163" customFormat="1" ht="12.75" x14ac:dyDescent="0.2">
      <c r="A6" s="153" t="s">
        <v>162</v>
      </c>
      <c r="B6" s="154" t="s">
        <v>71</v>
      </c>
      <c r="C6" s="155">
        <v>0</v>
      </c>
      <c r="D6" s="156" t="s">
        <v>50</v>
      </c>
      <c r="E6" s="155">
        <v>2</v>
      </c>
      <c r="F6" s="157">
        <v>0.1</v>
      </c>
      <c r="G6" s="157">
        <v>1</v>
      </c>
      <c r="H6" s="158">
        <v>1.0000000000000001E-5</v>
      </c>
      <c r="I6" s="158">
        <v>9.9999999999999995E-8</v>
      </c>
      <c r="J6" s="157" t="s">
        <v>56</v>
      </c>
      <c r="K6" s="159" t="s">
        <v>55</v>
      </c>
      <c r="L6" s="155">
        <v>3.14</v>
      </c>
      <c r="M6" s="157">
        <v>950</v>
      </c>
      <c r="N6" s="157">
        <v>0</v>
      </c>
      <c r="O6" s="156">
        <v>2650</v>
      </c>
      <c r="P6" s="155">
        <v>1000</v>
      </c>
      <c r="Q6" s="158">
        <v>1E-3</v>
      </c>
      <c r="R6" s="157">
        <v>4680</v>
      </c>
      <c r="S6" s="157">
        <v>0.6</v>
      </c>
      <c r="T6" s="155">
        <v>86400</v>
      </c>
      <c r="U6" s="156" t="s">
        <v>88</v>
      </c>
      <c r="V6" s="157" t="s">
        <v>60</v>
      </c>
      <c r="W6" s="157" t="s">
        <v>61</v>
      </c>
      <c r="X6" s="157" t="s">
        <v>60</v>
      </c>
      <c r="Y6" s="157" t="s">
        <v>60</v>
      </c>
      <c r="Z6" s="155">
        <v>7</v>
      </c>
      <c r="AA6" s="157">
        <v>32.799999999999997</v>
      </c>
      <c r="AB6" s="157" t="s">
        <v>61</v>
      </c>
      <c r="AC6" s="156" t="s">
        <v>61</v>
      </c>
      <c r="AD6" s="161" t="s">
        <v>33</v>
      </c>
      <c r="AE6" s="160" t="s">
        <v>60</v>
      </c>
      <c r="AF6" s="155" t="s">
        <v>70</v>
      </c>
      <c r="AG6" s="156" t="s">
        <v>70</v>
      </c>
      <c r="AH6" s="153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1"/>
      <c r="AU6" s="160"/>
      <c r="AV6" s="162"/>
    </row>
    <row r="7" spans="1:48" s="163" customFormat="1" ht="25.5" x14ac:dyDescent="0.2">
      <c r="A7" s="164" t="s">
        <v>163</v>
      </c>
      <c r="B7" s="165" t="s">
        <v>72</v>
      </c>
      <c r="C7" s="161">
        <v>1</v>
      </c>
      <c r="D7" s="162" t="s">
        <v>51</v>
      </c>
      <c r="E7" s="161">
        <v>2</v>
      </c>
      <c r="F7" s="160">
        <v>0.1</v>
      </c>
      <c r="G7" s="160">
        <v>1</v>
      </c>
      <c r="H7" s="166">
        <v>1.0000000000000001E-5</v>
      </c>
      <c r="I7" s="166">
        <v>5.0000000000000004E-6</v>
      </c>
      <c r="J7" s="160" t="s">
        <v>56</v>
      </c>
      <c r="K7" s="167" t="s">
        <v>55</v>
      </c>
      <c r="L7" s="161">
        <v>3.14</v>
      </c>
      <c r="M7" s="160">
        <v>950</v>
      </c>
      <c r="N7" s="160">
        <v>0</v>
      </c>
      <c r="O7" s="162">
        <v>2650</v>
      </c>
      <c r="P7" s="161"/>
      <c r="Q7" s="160"/>
      <c r="R7" s="160"/>
      <c r="S7" s="160"/>
      <c r="T7" s="161"/>
      <c r="U7" s="162"/>
      <c r="V7" s="160"/>
      <c r="W7" s="160"/>
      <c r="X7" s="160"/>
      <c r="Y7" s="160"/>
      <c r="Z7" s="161"/>
      <c r="AA7" s="160">
        <f>18-459*0.0196</f>
        <v>9.0036000000000005</v>
      </c>
      <c r="AB7" s="160"/>
      <c r="AC7" s="162"/>
      <c r="AD7" s="168"/>
      <c r="AE7" s="160"/>
      <c r="AF7" s="161"/>
      <c r="AG7" s="162"/>
      <c r="AH7" s="164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1"/>
      <c r="AU7" s="160"/>
      <c r="AV7" s="162"/>
    </row>
    <row r="8" spans="1:48" s="163" customFormat="1" ht="12.75" x14ac:dyDescent="0.2">
      <c r="A8" s="164"/>
      <c r="B8" s="165" t="s">
        <v>73</v>
      </c>
      <c r="C8" s="161">
        <v>2</v>
      </c>
      <c r="D8" s="162" t="s">
        <v>52</v>
      </c>
      <c r="E8" s="161">
        <v>2</v>
      </c>
      <c r="F8" s="160">
        <v>0.1</v>
      </c>
      <c r="G8" s="160">
        <v>1</v>
      </c>
      <c r="H8" s="166">
        <v>1.0000000000000001E-5</v>
      </c>
      <c r="I8" s="166">
        <v>9.9999999999999995E-8</v>
      </c>
      <c r="J8" s="160" t="s">
        <v>56</v>
      </c>
      <c r="K8" s="167" t="s">
        <v>55</v>
      </c>
      <c r="L8" s="161">
        <v>3.14</v>
      </c>
      <c r="M8" s="160">
        <v>950</v>
      </c>
      <c r="N8" s="160">
        <v>0</v>
      </c>
      <c r="O8" s="162">
        <v>2650</v>
      </c>
      <c r="P8" s="161"/>
      <c r="Q8" s="160"/>
      <c r="R8" s="160"/>
      <c r="S8" s="160"/>
      <c r="T8" s="161"/>
      <c r="U8" s="162"/>
      <c r="V8" s="160"/>
      <c r="W8" s="160"/>
      <c r="X8" s="160"/>
      <c r="Y8" s="160"/>
      <c r="Z8" s="169"/>
      <c r="AA8" s="170"/>
      <c r="AB8" s="160"/>
      <c r="AC8" s="162"/>
      <c r="AD8" s="161"/>
      <c r="AE8" s="160"/>
      <c r="AF8" s="161"/>
      <c r="AG8" s="162"/>
      <c r="AH8" s="164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1"/>
      <c r="AU8" s="160"/>
      <c r="AV8" s="162"/>
    </row>
    <row r="9" spans="1:48" s="163" customFormat="1" ht="12.75" x14ac:dyDescent="0.2">
      <c r="A9" s="164"/>
      <c r="B9" s="165"/>
      <c r="C9" s="161">
        <v>3</v>
      </c>
      <c r="D9" s="162" t="s">
        <v>54</v>
      </c>
      <c r="E9" s="161">
        <v>2</v>
      </c>
      <c r="F9" s="160">
        <v>0.25</v>
      </c>
      <c r="G9" s="160">
        <v>1</v>
      </c>
      <c r="H9" s="166">
        <v>2.0000000000000001E-4</v>
      </c>
      <c r="I9" s="166">
        <v>0.01</v>
      </c>
      <c r="J9" s="160" t="s">
        <v>56</v>
      </c>
      <c r="K9" s="167" t="s">
        <v>57</v>
      </c>
      <c r="L9" s="161">
        <v>0.31</v>
      </c>
      <c r="M9" s="160">
        <v>1380</v>
      </c>
      <c r="N9" s="160">
        <v>0</v>
      </c>
      <c r="O9" s="171">
        <v>1500</v>
      </c>
      <c r="P9" s="161"/>
      <c r="Q9" s="160"/>
      <c r="R9" s="160"/>
      <c r="S9" s="160"/>
      <c r="T9" s="161"/>
      <c r="U9" s="162"/>
      <c r="V9" s="160"/>
      <c r="W9" s="160"/>
      <c r="X9" s="160"/>
      <c r="Y9" s="160"/>
      <c r="Z9" s="161"/>
      <c r="AA9" s="160"/>
      <c r="AB9" s="160"/>
      <c r="AC9" s="162"/>
      <c r="AD9" s="161"/>
      <c r="AE9" s="160"/>
      <c r="AF9" s="161"/>
      <c r="AG9" s="162"/>
      <c r="AH9" s="164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1"/>
      <c r="AU9" s="160"/>
      <c r="AV9" s="162"/>
    </row>
    <row r="10" spans="1:48" s="163" customFormat="1" ht="13.5" thickBot="1" x14ac:dyDescent="0.25">
      <c r="A10" s="172"/>
      <c r="B10" s="173"/>
      <c r="C10" s="174">
        <v>4</v>
      </c>
      <c r="D10" s="175" t="s">
        <v>53</v>
      </c>
      <c r="E10" s="174">
        <v>2</v>
      </c>
      <c r="F10" s="176">
        <v>0.9</v>
      </c>
      <c r="G10" s="176">
        <v>1</v>
      </c>
      <c r="H10" s="177">
        <v>2.0000000000000001E-4</v>
      </c>
      <c r="I10" s="177">
        <v>0.01</v>
      </c>
      <c r="J10" s="176" t="s">
        <v>56</v>
      </c>
      <c r="K10" s="175" t="s">
        <v>58</v>
      </c>
      <c r="L10" s="174">
        <v>3.14</v>
      </c>
      <c r="M10" s="176">
        <v>950</v>
      </c>
      <c r="N10" s="176">
        <v>0</v>
      </c>
      <c r="O10" s="178">
        <v>1500</v>
      </c>
      <c r="P10" s="174"/>
      <c r="Q10" s="176"/>
      <c r="R10" s="176"/>
      <c r="S10" s="176"/>
      <c r="T10" s="174"/>
      <c r="U10" s="175"/>
      <c r="V10" s="176"/>
      <c r="W10" s="176"/>
      <c r="X10" s="176"/>
      <c r="Y10" s="176"/>
      <c r="Z10" s="174"/>
      <c r="AA10" s="176"/>
      <c r="AB10" s="176"/>
      <c r="AC10" s="175"/>
      <c r="AD10" s="174"/>
      <c r="AE10" s="176"/>
      <c r="AF10" s="174"/>
      <c r="AG10" s="175"/>
      <c r="AH10" s="172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1"/>
      <c r="AU10" s="160"/>
      <c r="AV10" s="162"/>
    </row>
    <row r="11" spans="1:48" s="163" customFormat="1" ht="12.75" x14ac:dyDescent="0.2">
      <c r="A11" s="164" t="s">
        <v>1</v>
      </c>
      <c r="B11" s="165" t="s">
        <v>71</v>
      </c>
      <c r="C11" s="161">
        <v>0</v>
      </c>
      <c r="D11" s="162" t="s">
        <v>50</v>
      </c>
      <c r="E11" s="161">
        <v>2</v>
      </c>
      <c r="F11" s="160">
        <v>0.1</v>
      </c>
      <c r="G11" s="160">
        <v>1</v>
      </c>
      <c r="H11" s="166">
        <v>1.0000000000000001E-5</v>
      </c>
      <c r="I11" s="166">
        <v>9.9999999999999995E-8</v>
      </c>
      <c r="J11" s="160" t="s">
        <v>56</v>
      </c>
      <c r="K11" s="167" t="s">
        <v>56</v>
      </c>
      <c r="L11" s="161">
        <v>3.14</v>
      </c>
      <c r="M11" s="160">
        <v>950</v>
      </c>
      <c r="N11" s="160">
        <v>0</v>
      </c>
      <c r="O11" s="162">
        <v>2650</v>
      </c>
      <c r="P11" s="161">
        <v>1000</v>
      </c>
      <c r="Q11" s="166">
        <v>1E-3</v>
      </c>
      <c r="R11" s="160">
        <v>4680</v>
      </c>
      <c r="S11" s="160">
        <v>0.6</v>
      </c>
      <c r="T11" s="161">
        <v>86400</v>
      </c>
      <c r="U11" s="162" t="s">
        <v>88</v>
      </c>
      <c r="V11" s="160" t="s">
        <v>60</v>
      </c>
      <c r="W11" s="160" t="s">
        <v>61</v>
      </c>
      <c r="X11" s="160" t="s">
        <v>60</v>
      </c>
      <c r="Y11" s="160" t="s">
        <v>60</v>
      </c>
      <c r="Z11" s="161">
        <v>9</v>
      </c>
      <c r="AA11" s="160">
        <v>18</v>
      </c>
      <c r="AB11" s="160" t="s">
        <v>61</v>
      </c>
      <c r="AC11" s="162" t="s">
        <v>61</v>
      </c>
      <c r="AD11" s="161" t="s">
        <v>164</v>
      </c>
      <c r="AE11" s="160" t="s">
        <v>60</v>
      </c>
      <c r="AF11" s="161" t="s">
        <v>70</v>
      </c>
      <c r="AG11" s="162" t="s">
        <v>70</v>
      </c>
      <c r="AH11" s="164"/>
      <c r="AI11" s="155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5"/>
      <c r="AU11" s="157"/>
      <c r="AV11" s="156"/>
    </row>
    <row r="12" spans="1:48" s="163" customFormat="1" ht="25.5" x14ac:dyDescent="0.2">
      <c r="A12" s="164" t="s">
        <v>165</v>
      </c>
      <c r="B12" s="179" t="s">
        <v>72</v>
      </c>
      <c r="C12" s="161">
        <v>1</v>
      </c>
      <c r="D12" s="162" t="s">
        <v>51</v>
      </c>
      <c r="E12" s="161">
        <v>2</v>
      </c>
      <c r="F12" s="160">
        <v>0.1</v>
      </c>
      <c r="G12" s="160">
        <v>1</v>
      </c>
      <c r="H12" s="166">
        <v>1.0000000000000001E-5</v>
      </c>
      <c r="I12" s="166">
        <v>5.0000000000000004E-6</v>
      </c>
      <c r="J12" s="160" t="s">
        <v>56</v>
      </c>
      <c r="K12" s="167" t="s">
        <v>56</v>
      </c>
      <c r="L12" s="161">
        <v>3.14</v>
      </c>
      <c r="M12" s="160">
        <v>950</v>
      </c>
      <c r="N12" s="160">
        <v>0</v>
      </c>
      <c r="O12" s="162">
        <v>2650</v>
      </c>
      <c r="P12" s="161"/>
      <c r="Q12" s="160"/>
      <c r="R12" s="160"/>
      <c r="S12" s="160"/>
      <c r="T12" s="161"/>
      <c r="U12" s="162"/>
      <c r="V12" s="160"/>
      <c r="W12" s="160"/>
      <c r="X12" s="160"/>
      <c r="Y12" s="160"/>
      <c r="Z12" s="161"/>
      <c r="AA12" s="160"/>
      <c r="AB12" s="160"/>
      <c r="AC12" s="162"/>
      <c r="AD12" s="168"/>
      <c r="AE12" s="160"/>
      <c r="AF12" s="161"/>
      <c r="AG12" s="162"/>
      <c r="AH12" s="164"/>
      <c r="AI12" s="161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1"/>
      <c r="AU12" s="160"/>
      <c r="AV12" s="162"/>
    </row>
    <row r="13" spans="1:48" s="163" customFormat="1" ht="12.75" x14ac:dyDescent="0.2">
      <c r="A13" s="164"/>
      <c r="B13" s="179" t="s">
        <v>73</v>
      </c>
      <c r="C13" s="161">
        <v>2</v>
      </c>
      <c r="D13" s="162" t="s">
        <v>52</v>
      </c>
      <c r="E13" s="161">
        <v>2</v>
      </c>
      <c r="F13" s="160">
        <v>0.1</v>
      </c>
      <c r="G13" s="160">
        <v>1</v>
      </c>
      <c r="H13" s="166">
        <v>1.0000000000000001E-5</v>
      </c>
      <c r="I13" s="166">
        <v>9.9999999999999995E-8</v>
      </c>
      <c r="J13" s="160" t="s">
        <v>56</v>
      </c>
      <c r="K13" s="167" t="s">
        <v>56</v>
      </c>
      <c r="L13" s="161">
        <v>3.14</v>
      </c>
      <c r="M13" s="160">
        <v>950</v>
      </c>
      <c r="N13" s="160">
        <v>0</v>
      </c>
      <c r="O13" s="162">
        <v>2650</v>
      </c>
      <c r="P13" s="161"/>
      <c r="Q13" s="160"/>
      <c r="R13" s="160"/>
      <c r="S13" s="160"/>
      <c r="T13" s="161"/>
      <c r="U13" s="162"/>
      <c r="V13" s="160"/>
      <c r="W13" s="160"/>
      <c r="X13" s="160"/>
      <c r="Y13" s="160"/>
      <c r="Z13" s="169"/>
      <c r="AA13" s="170"/>
      <c r="AB13" s="160"/>
      <c r="AC13" s="162"/>
      <c r="AD13" s="161"/>
      <c r="AE13" s="160"/>
      <c r="AF13" s="161"/>
      <c r="AG13" s="162"/>
      <c r="AH13" s="164"/>
      <c r="AI13" s="161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1"/>
      <c r="AU13" s="160"/>
      <c r="AV13" s="162"/>
    </row>
    <row r="14" spans="1:48" s="163" customFormat="1" ht="12.75" x14ac:dyDescent="0.2">
      <c r="A14" s="164"/>
      <c r="B14" s="165"/>
      <c r="C14" s="161">
        <v>3</v>
      </c>
      <c r="D14" s="162" t="s">
        <v>54</v>
      </c>
      <c r="E14" s="161">
        <v>2</v>
      </c>
      <c r="F14" s="160">
        <v>0.25</v>
      </c>
      <c r="G14" s="160">
        <v>1</v>
      </c>
      <c r="H14" s="166">
        <v>2.0000000000000001E-4</v>
      </c>
      <c r="I14" s="166">
        <v>0.01</v>
      </c>
      <c r="J14" s="160" t="s">
        <v>56</v>
      </c>
      <c r="K14" s="167" t="s">
        <v>166</v>
      </c>
      <c r="L14" s="161">
        <v>0.31</v>
      </c>
      <c r="M14" s="160">
        <v>1380</v>
      </c>
      <c r="N14" s="160">
        <v>0</v>
      </c>
      <c r="O14" s="171">
        <v>1500</v>
      </c>
      <c r="P14" s="161"/>
      <c r="Q14" s="160"/>
      <c r="R14" s="160"/>
      <c r="S14" s="160"/>
      <c r="T14" s="161"/>
      <c r="U14" s="162"/>
      <c r="V14" s="160"/>
      <c r="W14" s="160"/>
      <c r="X14" s="160"/>
      <c r="Y14" s="160"/>
      <c r="Z14" s="161"/>
      <c r="AA14" s="160"/>
      <c r="AB14" s="160"/>
      <c r="AC14" s="162"/>
      <c r="AD14" s="161"/>
      <c r="AE14" s="160"/>
      <c r="AF14" s="161"/>
      <c r="AG14" s="162"/>
      <c r="AH14" s="164"/>
      <c r="AI14" s="161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1"/>
      <c r="AU14" s="160"/>
      <c r="AV14" s="162"/>
    </row>
    <row r="15" spans="1:48" s="163" customFormat="1" ht="13.5" thickBot="1" x14ac:dyDescent="0.25">
      <c r="A15" s="164"/>
      <c r="B15" s="165"/>
      <c r="C15" s="161">
        <v>4</v>
      </c>
      <c r="D15" s="162" t="s">
        <v>53</v>
      </c>
      <c r="E15" s="161">
        <v>2</v>
      </c>
      <c r="F15" s="160">
        <v>0.9</v>
      </c>
      <c r="G15" s="160">
        <v>1</v>
      </c>
      <c r="H15" s="166">
        <v>2.0000000000000001E-4</v>
      </c>
      <c r="I15" s="166">
        <v>0.01</v>
      </c>
      <c r="J15" s="160" t="s">
        <v>56</v>
      </c>
      <c r="K15" s="167" t="s">
        <v>167</v>
      </c>
      <c r="L15" s="161">
        <v>3.14</v>
      </c>
      <c r="M15" s="160">
        <v>900</v>
      </c>
      <c r="N15" s="160">
        <v>0</v>
      </c>
      <c r="O15" s="171">
        <v>1500</v>
      </c>
      <c r="P15" s="161"/>
      <c r="Q15" s="160"/>
      <c r="R15" s="160"/>
      <c r="S15" s="160"/>
      <c r="T15" s="161"/>
      <c r="U15" s="162"/>
      <c r="V15" s="160"/>
      <c r="W15" s="160"/>
      <c r="X15" s="160"/>
      <c r="Y15" s="160"/>
      <c r="Z15" s="161"/>
      <c r="AA15" s="160"/>
      <c r="AB15" s="160"/>
      <c r="AC15" s="162"/>
      <c r="AD15" s="161"/>
      <c r="AE15" s="160"/>
      <c r="AF15" s="161"/>
      <c r="AG15" s="162"/>
      <c r="AH15" s="164"/>
      <c r="AI15" s="174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4"/>
      <c r="AU15" s="176"/>
      <c r="AV15" s="175"/>
    </row>
    <row r="16" spans="1:48" s="163" customFormat="1" ht="12.75" x14ac:dyDescent="0.2">
      <c r="A16" s="153" t="s">
        <v>193</v>
      </c>
      <c r="B16" s="154" t="s">
        <v>213</v>
      </c>
      <c r="C16" s="155">
        <v>0</v>
      </c>
      <c r="D16" s="156" t="s">
        <v>50</v>
      </c>
      <c r="E16" s="155">
        <v>2</v>
      </c>
      <c r="F16" s="157">
        <v>0.1</v>
      </c>
      <c r="G16" s="157">
        <v>1</v>
      </c>
      <c r="H16" s="157">
        <v>1.0000000000000001E-5</v>
      </c>
      <c r="I16" s="157">
        <v>9.9999999999999995E-8</v>
      </c>
      <c r="J16" s="157" t="s">
        <v>150</v>
      </c>
      <c r="K16" s="156"/>
      <c r="L16" s="155">
        <v>3.14</v>
      </c>
      <c r="M16" s="157">
        <v>950</v>
      </c>
      <c r="N16" s="157">
        <v>0</v>
      </c>
      <c r="O16" s="156">
        <v>2650</v>
      </c>
      <c r="P16" s="155">
        <v>1000</v>
      </c>
      <c r="Q16" s="157">
        <v>1E-3</v>
      </c>
      <c r="R16" s="157">
        <v>4680</v>
      </c>
      <c r="S16" s="157">
        <v>0.6</v>
      </c>
      <c r="T16" s="155">
        <f>60*60</f>
        <v>3600</v>
      </c>
      <c r="U16" s="156">
        <f>24*30*3</f>
        <v>2160</v>
      </c>
      <c r="V16" s="157">
        <v>0</v>
      </c>
      <c r="W16" s="157" t="s">
        <v>61</v>
      </c>
      <c r="X16" s="157">
        <v>0</v>
      </c>
      <c r="Y16" s="157">
        <v>0</v>
      </c>
      <c r="Z16" s="155">
        <v>9</v>
      </c>
      <c r="AA16" s="157">
        <v>18</v>
      </c>
      <c r="AB16" s="157" t="s">
        <v>61</v>
      </c>
      <c r="AC16" s="156" t="s">
        <v>61</v>
      </c>
      <c r="AD16" s="155" t="s">
        <v>144</v>
      </c>
      <c r="AE16" s="157" t="s">
        <v>144</v>
      </c>
      <c r="AF16" s="155" t="s">
        <v>151</v>
      </c>
      <c r="AG16" s="156">
        <v>1E-4</v>
      </c>
      <c r="AH16" s="153" t="s">
        <v>76</v>
      </c>
      <c r="AI16" s="166">
        <v>1E-4</v>
      </c>
      <c r="AJ16" s="166">
        <v>2</v>
      </c>
      <c r="AK16" s="166">
        <f>AI16/AJ16</f>
        <v>5.0000000000000002E-5</v>
      </c>
      <c r="AL16" s="166">
        <f>AK16/F9</f>
        <v>2.0000000000000001E-4</v>
      </c>
      <c r="AM16" s="166">
        <v>0.5</v>
      </c>
      <c r="AN16" s="166">
        <f>L9/(O9*M9)</f>
        <v>1.497584541062802E-7</v>
      </c>
      <c r="AO16" s="166">
        <f>AN16*F9/1</f>
        <v>3.7439613526570051E-8</v>
      </c>
      <c r="AP16" s="166">
        <f>AM16*AL16</f>
        <v>1E-4</v>
      </c>
      <c r="AQ16" s="166">
        <f>AM16*AL16+AN16</f>
        <v>1.0014975845410629E-4</v>
      </c>
      <c r="AR16" s="166">
        <f>AJ16/1</f>
        <v>2</v>
      </c>
      <c r="AS16" s="166">
        <f>3600</f>
        <v>3600</v>
      </c>
      <c r="AT16" s="180">
        <f>AL16*(AS16/AR16)</f>
        <v>0.36000000000000004</v>
      </c>
      <c r="AU16" s="166">
        <f>AQ16*AS16/AR16^2</f>
        <v>9.013478260869566E-2</v>
      </c>
      <c r="AV16" s="181">
        <f>(AL16*AR16)/AQ16</f>
        <v>3.9940186194587812</v>
      </c>
    </row>
    <row r="17" spans="1:49" s="163" customFormat="1" ht="12.75" x14ac:dyDescent="0.2">
      <c r="A17" s="161"/>
      <c r="B17" s="165"/>
      <c r="C17" s="161">
        <v>1</v>
      </c>
      <c r="D17" s="162" t="s">
        <v>51</v>
      </c>
      <c r="E17" s="161">
        <v>2</v>
      </c>
      <c r="F17" s="160">
        <v>0.1</v>
      </c>
      <c r="G17" s="160">
        <v>1</v>
      </c>
      <c r="H17" s="160">
        <v>1.0000000000000001E-5</v>
      </c>
      <c r="I17" s="160">
        <v>5.0000000000000004E-6</v>
      </c>
      <c r="J17" s="160" t="s">
        <v>150</v>
      </c>
      <c r="K17" s="162"/>
      <c r="L17" s="161">
        <v>3.14</v>
      </c>
      <c r="M17" s="160">
        <v>950</v>
      </c>
      <c r="N17" s="160">
        <v>0</v>
      </c>
      <c r="O17" s="162">
        <v>2650</v>
      </c>
      <c r="P17" s="161"/>
      <c r="Q17" s="160"/>
      <c r="R17" s="160"/>
      <c r="S17" s="160"/>
      <c r="T17" s="161" t="s">
        <v>193</v>
      </c>
      <c r="U17" s="182" t="s">
        <v>149</v>
      </c>
      <c r="V17" s="160"/>
      <c r="W17" s="160"/>
      <c r="X17" s="160"/>
      <c r="Y17" s="160"/>
      <c r="Z17" s="161"/>
      <c r="AA17" s="160"/>
      <c r="AB17" s="160"/>
      <c r="AC17" s="162"/>
      <c r="AD17" s="161"/>
      <c r="AE17" s="160"/>
      <c r="AF17" s="161"/>
      <c r="AG17" s="162"/>
      <c r="AH17" s="164"/>
      <c r="AI17" s="160"/>
      <c r="AJ17" s="160"/>
      <c r="AK17" s="160"/>
      <c r="AL17" s="160"/>
      <c r="AM17" s="160"/>
      <c r="AN17" s="160"/>
      <c r="AO17" s="160"/>
      <c r="AP17" s="160"/>
      <c r="AQ17" s="166"/>
      <c r="AR17" s="160"/>
      <c r="AS17" s="160"/>
      <c r="AT17" s="161"/>
      <c r="AU17" s="160"/>
      <c r="AV17" s="181">
        <f>(AR16)/AM16</f>
        <v>4</v>
      </c>
    </row>
    <row r="18" spans="1:49" s="163" customFormat="1" ht="12.75" x14ac:dyDescent="0.2">
      <c r="A18" s="161"/>
      <c r="B18" s="165"/>
      <c r="C18" s="161">
        <v>2</v>
      </c>
      <c r="D18" s="162" t="s">
        <v>52</v>
      </c>
      <c r="E18" s="161">
        <v>2</v>
      </c>
      <c r="F18" s="160">
        <v>0.1</v>
      </c>
      <c r="G18" s="160">
        <v>1</v>
      </c>
      <c r="H18" s="160">
        <v>1.0000000000000001E-5</v>
      </c>
      <c r="I18" s="160">
        <v>9.9999999999999995E-8</v>
      </c>
      <c r="J18" s="160" t="s">
        <v>56</v>
      </c>
      <c r="K18" s="162"/>
      <c r="L18" s="161">
        <v>3.14</v>
      </c>
      <c r="M18" s="160">
        <v>950</v>
      </c>
      <c r="N18" s="160">
        <v>0</v>
      </c>
      <c r="O18" s="162">
        <v>2650</v>
      </c>
      <c r="P18" s="161"/>
      <c r="Q18" s="160"/>
      <c r="R18" s="160"/>
      <c r="S18" s="160"/>
      <c r="T18" s="161"/>
      <c r="U18" s="162">
        <v>87600</v>
      </c>
      <c r="V18" s="160"/>
      <c r="W18" s="160"/>
      <c r="X18" s="160"/>
      <c r="Y18" s="160"/>
      <c r="Z18" s="161"/>
      <c r="AA18" s="160"/>
      <c r="AB18" s="160"/>
      <c r="AC18" s="162"/>
      <c r="AD18" s="161"/>
      <c r="AE18" s="160"/>
      <c r="AF18" s="161"/>
      <c r="AG18" s="162"/>
      <c r="AH18" s="164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1"/>
      <c r="AU18" s="160"/>
      <c r="AV18" s="162"/>
    </row>
    <row r="19" spans="1:49" s="163" customFormat="1" ht="12.75" x14ac:dyDescent="0.2">
      <c r="A19" s="161" t="s">
        <v>169</v>
      </c>
      <c r="B19" s="165"/>
      <c r="C19" s="161">
        <v>3</v>
      </c>
      <c r="D19" s="162" t="s">
        <v>54</v>
      </c>
      <c r="E19" s="161">
        <v>2</v>
      </c>
      <c r="F19" s="160">
        <v>0.25</v>
      </c>
      <c r="G19" s="160">
        <v>1</v>
      </c>
      <c r="H19" s="160">
        <v>2.0000000000000001E-4</v>
      </c>
      <c r="I19" s="160">
        <v>0.01</v>
      </c>
      <c r="J19" s="160" t="s">
        <v>150</v>
      </c>
      <c r="K19" s="162"/>
      <c r="L19" s="161">
        <v>0.31</v>
      </c>
      <c r="M19" s="160">
        <v>1380</v>
      </c>
      <c r="N19" s="160">
        <v>0</v>
      </c>
      <c r="O19" s="162">
        <v>1500</v>
      </c>
      <c r="P19" s="161"/>
      <c r="Q19" s="160"/>
      <c r="R19" s="160"/>
      <c r="S19" s="160"/>
      <c r="T19" s="161" t="s">
        <v>169</v>
      </c>
      <c r="U19" s="182" t="s">
        <v>168</v>
      </c>
      <c r="V19" s="160"/>
      <c r="W19" s="160"/>
      <c r="X19" s="160"/>
      <c r="Y19" s="160"/>
      <c r="Z19" s="161"/>
      <c r="AA19" s="160"/>
      <c r="AB19" s="160"/>
      <c r="AC19" s="162"/>
      <c r="AD19" s="161"/>
      <c r="AE19" s="160"/>
      <c r="AF19" s="161"/>
      <c r="AG19" s="162"/>
      <c r="AH19" s="164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1"/>
      <c r="AU19" s="160"/>
      <c r="AV19" s="162"/>
    </row>
    <row r="20" spans="1:49" s="163" customFormat="1" ht="13.5" thickBot="1" x14ac:dyDescent="0.25">
      <c r="A20" s="172"/>
      <c r="B20" s="173"/>
      <c r="C20" s="174">
        <v>4</v>
      </c>
      <c r="D20" s="175" t="s">
        <v>53</v>
      </c>
      <c r="E20" s="174">
        <v>2</v>
      </c>
      <c r="F20" s="176">
        <v>0.9</v>
      </c>
      <c r="G20" s="176">
        <v>1</v>
      </c>
      <c r="H20" s="176">
        <v>2.0000000000000001E-4</v>
      </c>
      <c r="I20" s="176">
        <v>0.01</v>
      </c>
      <c r="J20" s="176" t="s">
        <v>150</v>
      </c>
      <c r="K20" s="175"/>
      <c r="L20" s="174">
        <v>3.14</v>
      </c>
      <c r="M20" s="176">
        <v>900</v>
      </c>
      <c r="N20" s="176">
        <v>0</v>
      </c>
      <c r="O20" s="175">
        <v>1500</v>
      </c>
      <c r="P20" s="174"/>
      <c r="Q20" s="176"/>
      <c r="R20" s="176"/>
      <c r="S20" s="176"/>
      <c r="T20" s="174"/>
      <c r="U20" s="175"/>
      <c r="V20" s="176"/>
      <c r="W20" s="176"/>
      <c r="X20" s="176"/>
      <c r="Y20" s="176"/>
      <c r="Z20" s="174"/>
      <c r="AA20" s="176"/>
      <c r="AB20" s="176"/>
      <c r="AC20" s="175"/>
      <c r="AD20" s="174"/>
      <c r="AE20" s="176"/>
      <c r="AF20" s="174"/>
      <c r="AG20" s="175"/>
      <c r="AH20" s="172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1"/>
      <c r="AU20" s="160"/>
      <c r="AV20" s="162"/>
    </row>
    <row r="21" spans="1:49" s="28" customFormat="1" ht="12.75" x14ac:dyDescent="0.2">
      <c r="A21" s="23" t="s">
        <v>207</v>
      </c>
      <c r="B21" s="71" t="s">
        <v>212</v>
      </c>
      <c r="C21" s="24">
        <v>0</v>
      </c>
      <c r="D21" s="26" t="s">
        <v>50</v>
      </c>
      <c r="E21" s="24">
        <v>2</v>
      </c>
      <c r="F21" s="26">
        <v>0.1</v>
      </c>
      <c r="G21" s="26">
        <v>1</v>
      </c>
      <c r="H21" s="26">
        <v>1.0000000000000001E-5</v>
      </c>
      <c r="I21" s="26">
        <v>9.9999999999999995E-8</v>
      </c>
      <c r="J21" s="26" t="s">
        <v>150</v>
      </c>
      <c r="K21" s="25"/>
      <c r="L21" s="24">
        <v>3.14</v>
      </c>
      <c r="M21" s="26">
        <v>950</v>
      </c>
      <c r="N21" s="26">
        <v>0</v>
      </c>
      <c r="O21" s="25">
        <v>2650</v>
      </c>
      <c r="P21" s="24">
        <v>1000</v>
      </c>
      <c r="Q21" s="27">
        <v>1E-3</v>
      </c>
      <c r="R21" s="26">
        <v>4680</v>
      </c>
      <c r="S21" s="26">
        <v>0.6</v>
      </c>
      <c r="T21" s="24">
        <v>3600</v>
      </c>
      <c r="U21" s="25">
        <v>8760</v>
      </c>
      <c r="V21" s="26">
        <v>0</v>
      </c>
      <c r="W21" s="26" t="s">
        <v>61</v>
      </c>
      <c r="X21" s="26">
        <v>0</v>
      </c>
      <c r="Y21" s="26">
        <v>0</v>
      </c>
      <c r="Z21" s="24">
        <v>9</v>
      </c>
      <c r="AA21" s="26">
        <v>18</v>
      </c>
      <c r="AB21" s="26" t="s">
        <v>61</v>
      </c>
      <c r="AC21" s="25" t="s">
        <v>61</v>
      </c>
      <c r="AD21" s="24" t="s">
        <v>164</v>
      </c>
      <c r="AE21" s="26">
        <v>0</v>
      </c>
      <c r="AF21" s="119" t="s">
        <v>210</v>
      </c>
      <c r="AG21" s="121">
        <v>1E-3</v>
      </c>
      <c r="AH21" s="23"/>
      <c r="AI21" s="60">
        <f>AG21</f>
        <v>1E-3</v>
      </c>
      <c r="AJ21" s="66">
        <f>10*2</f>
        <v>20</v>
      </c>
      <c r="AK21" s="66">
        <f>AI21/AJ21</f>
        <v>5.0000000000000002E-5</v>
      </c>
      <c r="AL21" s="66">
        <f>AK21/F25</f>
        <v>5.5555555555555558E-5</v>
      </c>
      <c r="AM21" s="66">
        <v>0.5</v>
      </c>
      <c r="AN21" s="66">
        <f>L25/(M25*O25)</f>
        <v>2.2035087719298248E-6</v>
      </c>
      <c r="AO21" s="66">
        <f>AN21*F25</f>
        <v>1.9831578947368423E-6</v>
      </c>
      <c r="AP21" s="66">
        <f>AM21*AL21</f>
        <v>2.7777777777777779E-5</v>
      </c>
      <c r="AQ21" s="66">
        <f>AP21+AO21</f>
        <v>2.976093567251462E-5</v>
      </c>
      <c r="AR21" s="66">
        <v>2</v>
      </c>
      <c r="AS21" s="66">
        <v>3600</v>
      </c>
      <c r="AT21" s="137">
        <f>AL21*(AS21/AR21)</f>
        <v>0.1</v>
      </c>
      <c r="AU21" s="75">
        <f>AQ21*AS21/AR21^2</f>
        <v>2.6784842105263159E-2</v>
      </c>
      <c r="AV21" s="138">
        <f>(AL21*AR21)/AQ21</f>
        <v>3.7334548998648098</v>
      </c>
      <c r="AW21" s="28">
        <f>AR21/AM21</f>
        <v>4</v>
      </c>
    </row>
    <row r="22" spans="1:49" s="8" customFormat="1" ht="12.75" x14ac:dyDescent="0.2">
      <c r="A22" s="16"/>
      <c r="B22" s="72" t="s">
        <v>216</v>
      </c>
      <c r="C22" s="24">
        <v>1</v>
      </c>
      <c r="D22" s="26" t="s">
        <v>51</v>
      </c>
      <c r="E22" s="24">
        <v>2</v>
      </c>
      <c r="F22" s="26">
        <v>0.12</v>
      </c>
      <c r="G22" s="26">
        <v>1</v>
      </c>
      <c r="H22" s="26">
        <v>1.0000000000000001E-5</v>
      </c>
      <c r="I22" s="27">
        <v>2.0000000000000001E-4</v>
      </c>
      <c r="J22" s="26" t="s">
        <v>150</v>
      </c>
      <c r="K22" s="25"/>
      <c r="L22" s="24">
        <v>3.14</v>
      </c>
      <c r="M22" s="26">
        <v>950</v>
      </c>
      <c r="N22" s="26">
        <v>0</v>
      </c>
      <c r="O22" s="25">
        <v>2650</v>
      </c>
      <c r="P22" s="18"/>
      <c r="Q22" s="20"/>
      <c r="R22" s="20"/>
      <c r="S22" s="20"/>
      <c r="T22" s="18"/>
      <c r="U22" s="19" t="s">
        <v>199</v>
      </c>
      <c r="V22" s="20"/>
      <c r="W22" s="20"/>
      <c r="X22" s="20"/>
      <c r="Y22" s="20"/>
      <c r="Z22" s="18"/>
      <c r="AA22" s="20"/>
      <c r="AB22" s="20"/>
      <c r="AC22" s="19"/>
      <c r="AD22" s="18"/>
      <c r="AE22" s="20"/>
      <c r="AF22" s="18"/>
      <c r="AG22" s="19"/>
      <c r="AH22" s="16"/>
      <c r="AI22" s="18" t="s">
        <v>219</v>
      </c>
      <c r="AJ22" s="20"/>
      <c r="AK22" s="20"/>
      <c r="AL22" s="20"/>
      <c r="AM22" s="20"/>
      <c r="AN22" s="20">
        <f>(L22)/(M22*O22)</f>
        <v>1.2472691161866931E-6</v>
      </c>
      <c r="AO22" s="26">
        <f>AN22*F22</f>
        <v>1.4967229394240316E-7</v>
      </c>
      <c r="AP22" s="20"/>
      <c r="AQ22" s="20">
        <f>AP21+AO22</f>
        <v>2.7927450071720184E-5</v>
      </c>
      <c r="AR22" s="20"/>
      <c r="AS22" s="20"/>
      <c r="AT22" s="18"/>
      <c r="AU22" s="20"/>
      <c r="AV22" s="19"/>
    </row>
    <row r="23" spans="1:49" s="8" customFormat="1" ht="12.75" x14ac:dyDescent="0.2">
      <c r="A23" s="16"/>
      <c r="B23" s="72"/>
      <c r="C23" s="24">
        <v>2</v>
      </c>
      <c r="D23" s="26" t="s">
        <v>52</v>
      </c>
      <c r="E23" s="24">
        <v>2</v>
      </c>
      <c r="F23" s="26">
        <v>0.1</v>
      </c>
      <c r="G23" s="26">
        <v>1</v>
      </c>
      <c r="H23" s="26">
        <v>1.0000000000000001E-5</v>
      </c>
      <c r="I23" s="26">
        <v>9.9999999999999995E-8</v>
      </c>
      <c r="J23" s="26" t="s">
        <v>150</v>
      </c>
      <c r="K23" s="25"/>
      <c r="L23" s="24">
        <v>3.14</v>
      </c>
      <c r="M23" s="26">
        <v>950</v>
      </c>
      <c r="N23" s="26">
        <v>0</v>
      </c>
      <c r="O23" s="25">
        <v>2650</v>
      </c>
      <c r="P23" s="18"/>
      <c r="Q23" s="20"/>
      <c r="R23" s="20"/>
      <c r="S23" s="20"/>
      <c r="T23" s="18"/>
      <c r="U23" s="19"/>
      <c r="V23" s="20"/>
      <c r="W23" s="20"/>
      <c r="X23" s="20"/>
      <c r="Y23" s="20"/>
      <c r="Z23" s="114" t="s">
        <v>214</v>
      </c>
      <c r="AA23" s="20">
        <f>Z21+120*AE23</f>
        <v>12.6</v>
      </c>
      <c r="AB23" s="20"/>
      <c r="AC23" s="19"/>
      <c r="AD23" s="18" t="s">
        <v>23</v>
      </c>
      <c r="AE23" s="20">
        <v>0.03</v>
      </c>
      <c r="AF23" s="18"/>
      <c r="AG23" s="19"/>
      <c r="AH23" s="16"/>
      <c r="AI23" s="18" t="s">
        <v>54</v>
      </c>
      <c r="AJ23" s="20"/>
      <c r="AK23" s="20"/>
      <c r="AL23" s="20"/>
      <c r="AM23" s="20"/>
      <c r="AN23" s="20">
        <f>(L24)/(M24*O24)</f>
        <v>1.497584541062802E-7</v>
      </c>
      <c r="AO23" s="26">
        <f>AN23*F23</f>
        <v>1.4975845410628022E-8</v>
      </c>
      <c r="AP23" s="20"/>
      <c r="AQ23" s="20">
        <f>AP21+AO23</f>
        <v>2.7792753623188408E-5</v>
      </c>
      <c r="AR23" s="20"/>
      <c r="AS23" s="20"/>
      <c r="AT23" s="18"/>
      <c r="AU23" s="20"/>
      <c r="AV23" s="19"/>
    </row>
    <row r="24" spans="1:49" s="8" customFormat="1" ht="12.75" x14ac:dyDescent="0.2">
      <c r="A24" s="16"/>
      <c r="B24" s="72"/>
      <c r="C24" s="24">
        <v>3</v>
      </c>
      <c r="D24" s="26" t="s">
        <v>54</v>
      </c>
      <c r="E24" s="24">
        <v>2</v>
      </c>
      <c r="F24" s="26">
        <v>0.25</v>
      </c>
      <c r="G24" s="26">
        <v>1</v>
      </c>
      <c r="H24" s="26">
        <v>2.0000000000000001E-4</v>
      </c>
      <c r="I24" s="26">
        <v>0.01</v>
      </c>
      <c r="J24" s="26" t="s">
        <v>208</v>
      </c>
      <c r="K24" s="19"/>
      <c r="L24" s="24">
        <v>0.31</v>
      </c>
      <c r="M24" s="26">
        <v>1380</v>
      </c>
      <c r="N24" s="26">
        <v>0</v>
      </c>
      <c r="O24" s="25">
        <v>1500</v>
      </c>
      <c r="P24" s="18"/>
      <c r="Q24" s="20"/>
      <c r="R24" s="20"/>
      <c r="S24" s="20"/>
      <c r="T24" s="18"/>
      <c r="U24" s="19"/>
      <c r="V24" s="20"/>
      <c r="W24" s="20"/>
      <c r="X24" s="20"/>
      <c r="Y24" s="20"/>
      <c r="Z24" s="18"/>
      <c r="AA24" s="20"/>
      <c r="AB24" s="20"/>
      <c r="AC24" s="19"/>
      <c r="AD24" s="18"/>
      <c r="AE24" s="20"/>
      <c r="AF24" s="18"/>
      <c r="AG24" s="19"/>
      <c r="AH24" s="16"/>
      <c r="AI24" s="18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18"/>
      <c r="AU24" s="20"/>
      <c r="AV24" s="19"/>
    </row>
    <row r="25" spans="1:49" s="8" customFormat="1" ht="13.5" thickBot="1" x14ac:dyDescent="0.25">
      <c r="A25" s="15"/>
      <c r="B25" s="73"/>
      <c r="C25" s="61">
        <v>4</v>
      </c>
      <c r="D25" s="65" t="s">
        <v>53</v>
      </c>
      <c r="E25" s="61">
        <v>2</v>
      </c>
      <c r="F25" s="65">
        <v>0.9</v>
      </c>
      <c r="G25" s="65">
        <v>1</v>
      </c>
      <c r="H25" s="65">
        <v>2.0000000000000001E-4</v>
      </c>
      <c r="I25" s="65">
        <v>0.01</v>
      </c>
      <c r="J25" s="65" t="s">
        <v>209</v>
      </c>
      <c r="K25" s="13"/>
      <c r="L25" s="61">
        <v>3.14</v>
      </c>
      <c r="M25" s="65">
        <v>950</v>
      </c>
      <c r="N25" s="65">
        <v>0</v>
      </c>
      <c r="O25" s="63">
        <v>1500</v>
      </c>
      <c r="P25" s="11"/>
      <c r="Q25" s="12"/>
      <c r="R25" s="12"/>
      <c r="S25" s="12"/>
      <c r="T25" s="11"/>
      <c r="U25" s="13"/>
      <c r="V25" s="12"/>
      <c r="W25" s="12"/>
      <c r="X25" s="12"/>
      <c r="Y25" s="12"/>
      <c r="Z25" s="11"/>
      <c r="AA25" s="12"/>
      <c r="AB25" s="12"/>
      <c r="AC25" s="13"/>
      <c r="AD25" s="11"/>
      <c r="AE25" s="12"/>
      <c r="AF25" s="11"/>
      <c r="AG25" s="13"/>
      <c r="AH25" s="15"/>
      <c r="AI25" s="11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1"/>
      <c r="AU25" s="12"/>
      <c r="AV25" s="13"/>
    </row>
    <row r="26" spans="1:49" s="28" customFormat="1" ht="12.75" x14ac:dyDescent="0.2">
      <c r="A26" s="23" t="s">
        <v>221</v>
      </c>
      <c r="B26" s="71" t="s">
        <v>212</v>
      </c>
      <c r="C26" s="24">
        <v>0</v>
      </c>
      <c r="D26" s="26" t="s">
        <v>50</v>
      </c>
      <c r="E26" s="60">
        <v>2</v>
      </c>
      <c r="F26" s="66">
        <v>0.1</v>
      </c>
      <c r="G26" s="66">
        <v>1</v>
      </c>
      <c r="H26" s="66">
        <v>1.0000000000000001E-5</v>
      </c>
      <c r="I26" s="66">
        <v>9.9999999999999995E-8</v>
      </c>
      <c r="J26" s="66" t="s">
        <v>150</v>
      </c>
      <c r="K26" s="62"/>
      <c r="L26" s="24">
        <v>3.14</v>
      </c>
      <c r="M26" s="26">
        <v>950</v>
      </c>
      <c r="N26" s="26">
        <v>0</v>
      </c>
      <c r="O26" s="25">
        <v>2650</v>
      </c>
      <c r="P26" s="60">
        <v>1000</v>
      </c>
      <c r="Q26" s="75">
        <v>1E-3</v>
      </c>
      <c r="R26" s="66">
        <v>4680</v>
      </c>
      <c r="S26" s="66">
        <v>0.6</v>
      </c>
      <c r="T26" s="24">
        <v>3600</v>
      </c>
      <c r="U26" s="25">
        <v>8760</v>
      </c>
      <c r="V26" s="26">
        <v>0</v>
      </c>
      <c r="W26" s="26" t="s">
        <v>61</v>
      </c>
      <c r="X26" s="26">
        <v>0</v>
      </c>
      <c r="Y26" s="26">
        <v>0</v>
      </c>
      <c r="Z26" s="119">
        <v>10.199999999999999</v>
      </c>
      <c r="AA26" s="120">
        <f>Z26+300*AE28</f>
        <v>16.2</v>
      </c>
      <c r="AB26" s="128" t="s">
        <v>61</v>
      </c>
      <c r="AC26" s="31" t="s">
        <v>61</v>
      </c>
      <c r="AD26" s="119" t="s">
        <v>215</v>
      </c>
      <c r="AE26" s="26">
        <v>0</v>
      </c>
      <c r="AF26" s="24" t="s">
        <v>210</v>
      </c>
      <c r="AG26" s="25">
        <v>1E-3</v>
      </c>
      <c r="AH26" s="23"/>
      <c r="AI26" s="26">
        <f>AG26</f>
        <v>1E-3</v>
      </c>
      <c r="AJ26" s="26">
        <v>20</v>
      </c>
      <c r="AK26" s="26">
        <f>AI26/AJ26</f>
        <v>5.0000000000000002E-5</v>
      </c>
      <c r="AL26" s="26">
        <f>AK26/F30</f>
        <v>5.5555555555555558E-5</v>
      </c>
      <c r="AM26" s="26">
        <v>0.5</v>
      </c>
      <c r="AN26" s="26">
        <f>L30/(M30*O30)</f>
        <v>2.2035087719298248E-6</v>
      </c>
      <c r="AO26" s="26">
        <f>AN26*F30</f>
        <v>1.9831578947368423E-6</v>
      </c>
      <c r="AP26" s="26">
        <f>AM26*AL26</f>
        <v>2.7777777777777779E-5</v>
      </c>
      <c r="AQ26" s="26">
        <f>AP26+AO26</f>
        <v>2.976093567251462E-5</v>
      </c>
      <c r="AR26" s="26">
        <v>2</v>
      </c>
      <c r="AS26" s="26">
        <v>3600</v>
      </c>
      <c r="AT26" s="53">
        <f>AL26*(AS26/AR26)</f>
        <v>0.1</v>
      </c>
      <c r="AU26" s="27">
        <f>AQ26*AS26/AR26^2</f>
        <v>2.6784842105263159E-2</v>
      </c>
      <c r="AV26" s="54">
        <f>(AL26*AR26)/AQ26</f>
        <v>3.7334548998648098</v>
      </c>
      <c r="AW26" s="28">
        <f>AR26/AM26</f>
        <v>4</v>
      </c>
    </row>
    <row r="27" spans="1:49" s="8" customFormat="1" ht="12.75" x14ac:dyDescent="0.2">
      <c r="A27" s="16"/>
      <c r="B27" s="72" t="s">
        <v>217</v>
      </c>
      <c r="C27" s="24">
        <v>1</v>
      </c>
      <c r="D27" s="26" t="s">
        <v>51</v>
      </c>
      <c r="E27" s="24">
        <v>2</v>
      </c>
      <c r="F27" s="26">
        <v>0.12</v>
      </c>
      <c r="G27" s="26">
        <v>1</v>
      </c>
      <c r="H27" s="26">
        <v>1.0000000000000001E-5</v>
      </c>
      <c r="I27" s="27">
        <v>2.0000000000000001E-4</v>
      </c>
      <c r="J27" s="26" t="s">
        <v>150</v>
      </c>
      <c r="K27" s="25"/>
      <c r="L27" s="24">
        <v>3.14</v>
      </c>
      <c r="M27" s="26">
        <v>950</v>
      </c>
      <c r="N27" s="26">
        <v>0</v>
      </c>
      <c r="O27" s="25">
        <v>2650</v>
      </c>
      <c r="P27" s="18"/>
      <c r="Q27" s="20"/>
      <c r="R27" s="20"/>
      <c r="S27" s="20"/>
      <c r="T27" s="18"/>
      <c r="U27" s="19" t="s">
        <v>199</v>
      </c>
      <c r="V27" s="20"/>
      <c r="W27" s="20"/>
      <c r="X27" s="20"/>
      <c r="Y27" s="20"/>
      <c r="Z27" s="18"/>
      <c r="AA27" s="20"/>
      <c r="AB27" s="20"/>
      <c r="AC27" s="19"/>
      <c r="AD27" s="18"/>
      <c r="AE27" s="20"/>
      <c r="AF27" s="18"/>
      <c r="AG27" s="19"/>
      <c r="AH27" s="16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18"/>
      <c r="AU27" s="20"/>
      <c r="AV27" s="19"/>
    </row>
    <row r="28" spans="1:49" s="8" customFormat="1" ht="12.75" x14ac:dyDescent="0.2">
      <c r="A28" s="16"/>
      <c r="B28" s="72" t="s">
        <v>218</v>
      </c>
      <c r="C28" s="24">
        <v>2</v>
      </c>
      <c r="D28" s="26" t="s">
        <v>52</v>
      </c>
      <c r="E28" s="24">
        <v>2</v>
      </c>
      <c r="F28" s="26">
        <v>0.1</v>
      </c>
      <c r="G28" s="26">
        <v>1</v>
      </c>
      <c r="H28" s="26">
        <v>1.0000000000000001E-5</v>
      </c>
      <c r="I28" s="26">
        <v>9.9999999999999995E-8</v>
      </c>
      <c r="J28" s="26" t="s">
        <v>150</v>
      </c>
      <c r="K28" s="25"/>
      <c r="L28" s="24">
        <v>3.14</v>
      </c>
      <c r="M28" s="26">
        <v>950</v>
      </c>
      <c r="N28" s="26">
        <v>0</v>
      </c>
      <c r="O28" s="25">
        <v>2650</v>
      </c>
      <c r="P28" s="18"/>
      <c r="Q28" s="20"/>
      <c r="R28" s="20"/>
      <c r="S28" s="20"/>
      <c r="T28" s="18"/>
      <c r="U28" s="19"/>
      <c r="V28" s="20"/>
      <c r="W28" s="20"/>
      <c r="X28" s="20"/>
      <c r="Y28" s="20"/>
      <c r="Z28" s="114" t="s">
        <v>214</v>
      </c>
      <c r="AA28" s="20">
        <f>AA23</f>
        <v>12.6</v>
      </c>
      <c r="AB28" s="20"/>
      <c r="AC28" s="19"/>
      <c r="AD28" s="18" t="s">
        <v>23</v>
      </c>
      <c r="AE28" s="20">
        <f>(AA28-Z26)/120</f>
        <v>2.0000000000000004E-2</v>
      </c>
      <c r="AF28" s="18"/>
      <c r="AG28" s="19"/>
      <c r="AH28" s="16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18"/>
      <c r="AU28" s="20"/>
      <c r="AV28" s="19"/>
    </row>
    <row r="29" spans="1:49" s="8" customFormat="1" ht="12.75" x14ac:dyDescent="0.2">
      <c r="A29" s="16"/>
      <c r="B29" s="72"/>
      <c r="C29" s="24">
        <v>3</v>
      </c>
      <c r="D29" s="26" t="s">
        <v>54</v>
      </c>
      <c r="E29" s="24">
        <v>2</v>
      </c>
      <c r="F29" s="26">
        <v>0.25</v>
      </c>
      <c r="G29" s="26">
        <v>1</v>
      </c>
      <c r="H29" s="26">
        <v>2.0000000000000001E-4</v>
      </c>
      <c r="I29" s="26">
        <v>0.01</v>
      </c>
      <c r="J29" s="26" t="s">
        <v>208</v>
      </c>
      <c r="K29" s="19"/>
      <c r="L29" s="24">
        <v>0.31</v>
      </c>
      <c r="M29" s="26">
        <v>1380</v>
      </c>
      <c r="N29" s="26">
        <v>0</v>
      </c>
      <c r="O29" s="25">
        <v>1500</v>
      </c>
      <c r="P29" s="18"/>
      <c r="Q29" s="20"/>
      <c r="R29" s="20"/>
      <c r="S29" s="20"/>
      <c r="T29" s="18"/>
      <c r="U29" s="19"/>
      <c r="V29" s="20"/>
      <c r="W29" s="20"/>
      <c r="X29" s="20"/>
      <c r="Y29" s="20"/>
      <c r="Z29" s="18"/>
      <c r="AA29" s="20"/>
      <c r="AB29" s="20"/>
      <c r="AC29" s="19"/>
      <c r="AD29" s="18"/>
      <c r="AE29" s="20"/>
      <c r="AF29" s="18"/>
      <c r="AG29" s="19"/>
      <c r="AH29" s="16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18"/>
      <c r="AU29" s="20"/>
      <c r="AV29" s="19"/>
    </row>
    <row r="30" spans="1:49" s="8" customFormat="1" ht="13.5" thickBot="1" x14ac:dyDescent="0.25">
      <c r="A30" s="15"/>
      <c r="B30" s="73"/>
      <c r="C30" s="61">
        <v>4</v>
      </c>
      <c r="D30" s="65" t="s">
        <v>53</v>
      </c>
      <c r="E30" s="61">
        <v>2</v>
      </c>
      <c r="F30" s="65">
        <v>0.9</v>
      </c>
      <c r="G30" s="65">
        <v>1</v>
      </c>
      <c r="H30" s="65">
        <v>2.0000000000000001E-4</v>
      </c>
      <c r="I30" s="65">
        <v>0.01</v>
      </c>
      <c r="J30" s="65" t="s">
        <v>209</v>
      </c>
      <c r="K30" s="13"/>
      <c r="L30" s="61">
        <v>3.14</v>
      </c>
      <c r="M30" s="65">
        <v>950</v>
      </c>
      <c r="N30" s="65">
        <v>0</v>
      </c>
      <c r="O30" s="63">
        <v>1500</v>
      </c>
      <c r="P30" s="11"/>
      <c r="Q30" s="12"/>
      <c r="R30" s="12"/>
      <c r="S30" s="12"/>
      <c r="T30" s="11"/>
      <c r="U30" s="13"/>
      <c r="V30" s="20"/>
      <c r="W30" s="20"/>
      <c r="X30" s="20"/>
      <c r="Y30" s="20"/>
      <c r="Z30" s="11"/>
      <c r="AA30" s="12"/>
      <c r="AB30" s="12"/>
      <c r="AC30" s="13"/>
      <c r="AD30" s="11"/>
      <c r="AE30" s="12"/>
      <c r="AF30" s="11"/>
      <c r="AG30" s="13"/>
      <c r="AH30" s="15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1"/>
      <c r="AU30" s="12"/>
      <c r="AV30" s="13"/>
    </row>
    <row r="31" spans="1:49" s="8" customFormat="1" ht="12.75" x14ac:dyDescent="0.2">
      <c r="A31" s="60" t="s">
        <v>222</v>
      </c>
      <c r="B31" s="118" t="s">
        <v>223</v>
      </c>
      <c r="C31" s="60">
        <v>0</v>
      </c>
      <c r="D31" s="66" t="s">
        <v>50</v>
      </c>
      <c r="E31" s="60">
        <v>2</v>
      </c>
      <c r="F31" s="66">
        <v>0.1</v>
      </c>
      <c r="G31" s="66">
        <v>1</v>
      </c>
      <c r="H31" s="66">
        <v>1.0000000000000001E-5</v>
      </c>
      <c r="I31" s="66">
        <v>9.9999999999999995E-8</v>
      </c>
      <c r="J31" s="66" t="s">
        <v>150</v>
      </c>
      <c r="K31" s="62"/>
      <c r="L31" s="60">
        <v>3.14</v>
      </c>
      <c r="M31" s="66">
        <v>950</v>
      </c>
      <c r="N31" s="66">
        <v>0</v>
      </c>
      <c r="O31" s="62">
        <v>2650</v>
      </c>
      <c r="P31" s="60">
        <v>1000</v>
      </c>
      <c r="Q31" s="75">
        <v>1E-3</v>
      </c>
      <c r="R31" s="66">
        <v>4680</v>
      </c>
      <c r="S31" s="66">
        <v>0.6</v>
      </c>
      <c r="T31" s="24">
        <v>3600</v>
      </c>
      <c r="U31" s="26">
        <v>8760</v>
      </c>
      <c r="V31" s="145">
        <v>1E-3</v>
      </c>
      <c r="W31" s="56" t="s">
        <v>61</v>
      </c>
      <c r="X31" s="127">
        <v>-1E-8</v>
      </c>
      <c r="Y31" s="140">
        <v>1E-8</v>
      </c>
      <c r="Z31" s="56">
        <v>9</v>
      </c>
      <c r="AA31" s="56">
        <v>18</v>
      </c>
      <c r="AB31" s="56" t="s">
        <v>61</v>
      </c>
      <c r="AC31" s="147" t="s">
        <v>164</v>
      </c>
      <c r="AD31" s="66" t="s">
        <v>164</v>
      </c>
      <c r="AE31" s="56">
        <v>0</v>
      </c>
      <c r="AF31" s="9" t="s">
        <v>224</v>
      </c>
      <c r="AG31" s="146">
        <v>-1E-3</v>
      </c>
      <c r="AH31" s="14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9"/>
      <c r="AU31" s="56"/>
      <c r="AV31" s="10"/>
    </row>
    <row r="32" spans="1:49" s="8" customFormat="1" ht="12.75" x14ac:dyDescent="0.2">
      <c r="A32" s="18"/>
      <c r="B32" s="72" t="s">
        <v>225</v>
      </c>
      <c r="C32" s="24">
        <v>1</v>
      </c>
      <c r="D32" s="26" t="s">
        <v>51</v>
      </c>
      <c r="E32" s="24">
        <v>2</v>
      </c>
      <c r="F32" s="26">
        <v>0.12</v>
      </c>
      <c r="G32" s="26">
        <v>1</v>
      </c>
      <c r="H32" s="26">
        <v>1.0000000000000001E-5</v>
      </c>
      <c r="I32" s="27">
        <v>2.0000000000000001E-4</v>
      </c>
      <c r="J32" s="26" t="s">
        <v>150</v>
      </c>
      <c r="K32" s="25"/>
      <c r="L32" s="24">
        <v>3.14</v>
      </c>
      <c r="M32" s="26">
        <v>950</v>
      </c>
      <c r="N32" s="26">
        <v>0</v>
      </c>
      <c r="O32" s="25">
        <v>2650</v>
      </c>
      <c r="P32" s="18"/>
      <c r="Q32" s="20"/>
      <c r="R32" s="20"/>
      <c r="S32" s="20"/>
      <c r="T32" s="18"/>
      <c r="U32" s="20"/>
      <c r="V32" s="18"/>
      <c r="W32" s="20"/>
      <c r="X32" s="20"/>
      <c r="Y32" s="19"/>
      <c r="Z32" s="20"/>
      <c r="AA32" s="20"/>
      <c r="AB32" s="20"/>
      <c r="AC32" s="19"/>
      <c r="AD32" s="20"/>
      <c r="AE32" s="20"/>
      <c r="AF32" s="18"/>
      <c r="AG32" s="19"/>
      <c r="AH32" s="16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18"/>
      <c r="AU32" s="20"/>
      <c r="AV32" s="19"/>
    </row>
    <row r="33" spans="1:48" s="8" customFormat="1" ht="12.75" x14ac:dyDescent="0.2">
      <c r="A33" s="18"/>
      <c r="B33" s="72" t="s">
        <v>228</v>
      </c>
      <c r="C33" s="24">
        <v>2</v>
      </c>
      <c r="D33" s="26" t="s">
        <v>52</v>
      </c>
      <c r="E33" s="24">
        <v>2</v>
      </c>
      <c r="F33" s="26">
        <v>0.1</v>
      </c>
      <c r="G33" s="26">
        <v>1</v>
      </c>
      <c r="H33" s="26">
        <v>1.0000000000000001E-5</v>
      </c>
      <c r="I33" s="26">
        <v>9.9999999999999995E-8</v>
      </c>
      <c r="J33" s="26" t="s">
        <v>150</v>
      </c>
      <c r="K33" s="25"/>
      <c r="L33" s="24">
        <v>3.14</v>
      </c>
      <c r="M33" s="26">
        <v>950</v>
      </c>
      <c r="N33" s="26">
        <v>0</v>
      </c>
      <c r="O33" s="25">
        <v>2650</v>
      </c>
      <c r="P33" s="18"/>
      <c r="Q33" s="20"/>
      <c r="R33" s="20"/>
      <c r="S33" s="20"/>
      <c r="T33" s="18"/>
      <c r="U33" s="20"/>
      <c r="V33" s="18"/>
      <c r="W33" s="20"/>
      <c r="X33" s="20"/>
      <c r="Y33" s="19"/>
      <c r="Z33" s="20"/>
      <c r="AA33" s="20"/>
      <c r="AB33" s="20"/>
      <c r="AC33" s="19"/>
      <c r="AD33" s="20"/>
      <c r="AE33" s="20"/>
      <c r="AF33" s="18"/>
      <c r="AG33" s="19"/>
      <c r="AH33" s="16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18"/>
      <c r="AU33" s="20"/>
      <c r="AV33" s="19"/>
    </row>
    <row r="34" spans="1:48" s="8" customFormat="1" ht="12.75" x14ac:dyDescent="0.2">
      <c r="A34" s="18"/>
      <c r="B34" s="222" t="s">
        <v>230</v>
      </c>
      <c r="C34" s="24">
        <v>3</v>
      </c>
      <c r="D34" s="26" t="s">
        <v>54</v>
      </c>
      <c r="E34" s="24">
        <v>2</v>
      </c>
      <c r="F34" s="26">
        <v>0.25</v>
      </c>
      <c r="G34" s="26">
        <v>1</v>
      </c>
      <c r="H34" s="26">
        <v>2.0000000000000001E-4</v>
      </c>
      <c r="I34" s="26">
        <v>0.01</v>
      </c>
      <c r="J34" s="26" t="s">
        <v>208</v>
      </c>
      <c r="K34" s="19"/>
      <c r="L34" s="24">
        <v>0.31</v>
      </c>
      <c r="M34" s="26">
        <v>1380</v>
      </c>
      <c r="N34" s="26">
        <v>0</v>
      </c>
      <c r="O34" s="25">
        <v>1500</v>
      </c>
      <c r="P34" s="18"/>
      <c r="Q34" s="20"/>
      <c r="R34" s="20"/>
      <c r="S34" s="20"/>
      <c r="T34" s="18"/>
      <c r="U34" s="20"/>
      <c r="V34" s="18"/>
      <c r="W34" s="20"/>
      <c r="X34" s="20"/>
      <c r="Y34" s="19"/>
      <c r="Z34" s="20"/>
      <c r="AA34" s="20"/>
      <c r="AB34" s="20"/>
      <c r="AC34" s="19"/>
      <c r="AD34" s="20"/>
      <c r="AE34" s="20"/>
      <c r="AF34" s="18"/>
      <c r="AG34" s="19"/>
      <c r="AH34" s="16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18"/>
      <c r="AU34" s="20"/>
      <c r="AV34" s="19"/>
    </row>
    <row r="35" spans="1:48" s="8" customFormat="1" ht="15.75" customHeight="1" thickBot="1" x14ac:dyDescent="0.25">
      <c r="A35" s="11"/>
      <c r="B35" s="223"/>
      <c r="C35" s="61">
        <v>4</v>
      </c>
      <c r="D35" s="65" t="s">
        <v>53</v>
      </c>
      <c r="E35" s="61">
        <v>2</v>
      </c>
      <c r="F35" s="65">
        <v>0.9</v>
      </c>
      <c r="G35" s="65">
        <v>1</v>
      </c>
      <c r="H35" s="65">
        <v>2.0000000000000001E-4</v>
      </c>
      <c r="I35" s="65">
        <v>0.01</v>
      </c>
      <c r="J35" s="65" t="s">
        <v>209</v>
      </c>
      <c r="K35" s="13"/>
      <c r="L35" s="61">
        <v>3.14</v>
      </c>
      <c r="M35" s="65">
        <v>950</v>
      </c>
      <c r="N35" s="65">
        <v>0</v>
      </c>
      <c r="O35" s="63">
        <v>1500</v>
      </c>
      <c r="P35" s="11"/>
      <c r="Q35" s="12"/>
      <c r="R35" s="12"/>
      <c r="S35" s="12"/>
      <c r="T35" s="11"/>
      <c r="U35" s="12"/>
      <c r="V35" s="141"/>
      <c r="W35" s="142"/>
      <c r="X35" s="143"/>
      <c r="Y35" s="144"/>
      <c r="Z35" s="12"/>
      <c r="AA35" s="12"/>
      <c r="AB35" s="12"/>
      <c r="AC35" s="13"/>
      <c r="AD35" s="12"/>
      <c r="AE35" s="12"/>
      <c r="AF35" s="11"/>
      <c r="AG35" s="13"/>
      <c r="AH35" s="15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18"/>
      <c r="AU35" s="20"/>
      <c r="AV35" s="19"/>
    </row>
    <row r="36" spans="1:48" s="188" customFormat="1" ht="24" customHeight="1" thickBot="1" x14ac:dyDescent="0.3">
      <c r="A36" s="151" t="s">
        <v>227</v>
      </c>
      <c r="B36" s="183"/>
      <c r="C36" s="151"/>
      <c r="D36" s="152"/>
      <c r="E36" s="148" t="s">
        <v>232</v>
      </c>
      <c r="F36" s="148"/>
      <c r="G36" s="148"/>
      <c r="H36" s="148"/>
      <c r="I36" s="148"/>
      <c r="J36" s="148"/>
      <c r="K36" s="148"/>
      <c r="L36" s="151" t="s">
        <v>232</v>
      </c>
      <c r="M36" s="148"/>
      <c r="N36" s="148"/>
      <c r="O36" s="152"/>
      <c r="P36" s="148" t="s">
        <v>232</v>
      </c>
      <c r="Q36" s="148"/>
      <c r="R36" s="148"/>
      <c r="S36" s="148"/>
      <c r="T36" s="151" t="s">
        <v>232</v>
      </c>
      <c r="U36" s="152"/>
      <c r="V36" s="184">
        <v>1E-3</v>
      </c>
      <c r="W36" s="148" t="s">
        <v>61</v>
      </c>
      <c r="X36" s="148">
        <v>0</v>
      </c>
      <c r="Y36" s="148">
        <v>0</v>
      </c>
      <c r="Z36" s="151">
        <v>9</v>
      </c>
      <c r="AA36" s="148">
        <v>18</v>
      </c>
      <c r="AB36" s="149" t="s">
        <v>61</v>
      </c>
      <c r="AC36" s="150" t="s">
        <v>61</v>
      </c>
      <c r="AD36" s="148" t="s">
        <v>164</v>
      </c>
      <c r="AE36" s="148">
        <v>0</v>
      </c>
      <c r="AF36" s="151" t="s">
        <v>224</v>
      </c>
      <c r="AG36" s="185">
        <v>-1E-3</v>
      </c>
      <c r="AH36" s="186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</row>
    <row r="37" spans="1:48" s="8" customFormat="1" ht="12.75" x14ac:dyDescent="0.2">
      <c r="A37" s="60" t="s">
        <v>231</v>
      </c>
      <c r="B37" s="220" t="s">
        <v>226</v>
      </c>
      <c r="C37" s="60">
        <v>0</v>
      </c>
      <c r="D37" s="66" t="s">
        <v>50</v>
      </c>
      <c r="E37" s="131">
        <v>2</v>
      </c>
      <c r="F37" s="129">
        <v>0.1</v>
      </c>
      <c r="G37" s="129">
        <v>1</v>
      </c>
      <c r="H37" s="129">
        <v>1.0000000000000001E-5</v>
      </c>
      <c r="I37" s="129">
        <v>9.9999999999999995E-8</v>
      </c>
      <c r="J37" s="129" t="s">
        <v>150</v>
      </c>
      <c r="K37" s="130"/>
      <c r="L37" s="131">
        <v>3.14</v>
      </c>
      <c r="M37" s="129">
        <v>950</v>
      </c>
      <c r="N37" s="129">
        <v>0</v>
      </c>
      <c r="O37" s="130">
        <v>2650</v>
      </c>
      <c r="P37" s="60">
        <v>1000</v>
      </c>
      <c r="Q37" s="75">
        <v>1E-3</v>
      </c>
      <c r="R37" s="66">
        <v>4680</v>
      </c>
      <c r="S37" s="66">
        <v>0.6</v>
      </c>
      <c r="T37" s="24">
        <v>3600</v>
      </c>
      <c r="U37" s="25">
        <v>8760</v>
      </c>
      <c r="V37" s="145">
        <v>1E-3</v>
      </c>
      <c r="W37" s="20" t="s">
        <v>61</v>
      </c>
      <c r="X37" s="26">
        <v>0</v>
      </c>
      <c r="Y37" s="26">
        <v>0</v>
      </c>
      <c r="Z37" s="9">
        <v>9</v>
      </c>
      <c r="AA37" s="56">
        <v>18</v>
      </c>
      <c r="AB37" s="128" t="s">
        <v>61</v>
      </c>
      <c r="AC37" s="31" t="s">
        <v>61</v>
      </c>
      <c r="AD37" s="66" t="s">
        <v>164</v>
      </c>
      <c r="AE37" s="56">
        <v>0</v>
      </c>
      <c r="AF37" s="9" t="s">
        <v>224</v>
      </c>
      <c r="AG37" s="146">
        <v>-1E-3</v>
      </c>
      <c r="AH37" s="14"/>
      <c r="AI37" s="9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9"/>
      <c r="AU37" s="56"/>
      <c r="AV37" s="10"/>
    </row>
    <row r="38" spans="1:48" s="8" customFormat="1" ht="12.75" x14ac:dyDescent="0.2">
      <c r="A38" s="18"/>
      <c r="B38" s="221"/>
      <c r="C38" s="24">
        <v>1</v>
      </c>
      <c r="D38" s="26" t="s">
        <v>51</v>
      </c>
      <c r="E38" s="119">
        <v>2</v>
      </c>
      <c r="F38" s="120">
        <v>0.25</v>
      </c>
      <c r="G38" s="120">
        <v>1</v>
      </c>
      <c r="H38" s="120">
        <v>2.0000000000000001E-4</v>
      </c>
      <c r="I38" s="120">
        <v>0.01</v>
      </c>
      <c r="J38" s="120" t="s">
        <v>150</v>
      </c>
      <c r="K38" s="121"/>
      <c r="L38" s="119">
        <v>0.31</v>
      </c>
      <c r="M38" s="120">
        <v>1380</v>
      </c>
      <c r="N38" s="120">
        <v>0</v>
      </c>
      <c r="O38" s="121">
        <v>1500</v>
      </c>
      <c r="P38" s="18"/>
      <c r="Q38" s="20"/>
      <c r="R38" s="20"/>
      <c r="S38" s="20"/>
      <c r="T38" s="18"/>
      <c r="U38" s="19"/>
      <c r="V38" s="20"/>
      <c r="W38" s="20"/>
      <c r="X38" s="20"/>
      <c r="Y38" s="20"/>
      <c r="Z38" s="18"/>
      <c r="AA38" s="20"/>
      <c r="AB38" s="20"/>
      <c r="AC38" s="19"/>
      <c r="AD38" s="20"/>
      <c r="AE38" s="20"/>
      <c r="AF38" s="18"/>
      <c r="AG38" s="19"/>
      <c r="AH38" s="16"/>
      <c r="AI38" s="18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18"/>
      <c r="AU38" s="20"/>
      <c r="AV38" s="19"/>
    </row>
    <row r="39" spans="1:48" s="8" customFormat="1" ht="12.75" x14ac:dyDescent="0.2">
      <c r="A39" s="18"/>
      <c r="B39" s="221"/>
      <c r="C39" s="24">
        <v>2</v>
      </c>
      <c r="D39" s="26" t="s">
        <v>52</v>
      </c>
      <c r="E39" s="132">
        <v>2</v>
      </c>
      <c r="F39" s="128">
        <v>0.1</v>
      </c>
      <c r="G39" s="128">
        <v>1</v>
      </c>
      <c r="H39" s="128">
        <v>1.0000000000000001E-5</v>
      </c>
      <c r="I39" s="128">
        <v>9.9999999999999995E-8</v>
      </c>
      <c r="J39" s="128" t="s">
        <v>150</v>
      </c>
      <c r="K39" s="31"/>
      <c r="L39" s="132">
        <v>3.14</v>
      </c>
      <c r="M39" s="128">
        <v>950</v>
      </c>
      <c r="N39" s="128">
        <v>0</v>
      </c>
      <c r="O39" s="31">
        <v>2650</v>
      </c>
      <c r="P39" s="18"/>
      <c r="Q39" s="20"/>
      <c r="R39" s="20"/>
      <c r="S39" s="20"/>
      <c r="T39" s="18"/>
      <c r="U39" s="19"/>
      <c r="V39" s="20"/>
      <c r="W39" s="20"/>
      <c r="X39" s="20"/>
      <c r="Y39" s="20"/>
      <c r="Z39" s="18"/>
      <c r="AA39" s="20"/>
      <c r="AB39" s="20"/>
      <c r="AC39" s="19"/>
      <c r="AD39" s="20"/>
      <c r="AE39" s="20"/>
      <c r="AF39" s="18"/>
      <c r="AG39" s="19"/>
      <c r="AH39" s="16"/>
      <c r="AI39" s="18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18"/>
      <c r="AU39" s="20"/>
      <c r="AV39" s="19"/>
    </row>
    <row r="40" spans="1:48" s="8" customFormat="1" ht="12.75" x14ac:dyDescent="0.2">
      <c r="A40" s="18"/>
      <c r="B40" s="72" t="s">
        <v>228</v>
      </c>
      <c r="C40" s="24">
        <v>3</v>
      </c>
      <c r="D40" s="26" t="s">
        <v>54</v>
      </c>
      <c r="E40" s="119">
        <v>2</v>
      </c>
      <c r="F40" s="120">
        <v>0.9</v>
      </c>
      <c r="G40" s="120">
        <v>1</v>
      </c>
      <c r="H40" s="120">
        <v>2.0000000000000001E-4</v>
      </c>
      <c r="I40" s="120">
        <v>0.01</v>
      </c>
      <c r="J40" s="120" t="s">
        <v>208</v>
      </c>
      <c r="K40" s="122"/>
      <c r="L40" s="119">
        <v>0.31</v>
      </c>
      <c r="M40" s="120">
        <v>1380</v>
      </c>
      <c r="N40" s="120">
        <v>0</v>
      </c>
      <c r="O40" s="121">
        <v>1000</v>
      </c>
      <c r="P40" s="18"/>
      <c r="Q40" s="20"/>
      <c r="R40" s="20"/>
      <c r="S40" s="20"/>
      <c r="T40" s="18"/>
      <c r="U40" s="19"/>
      <c r="V40" s="20"/>
      <c r="W40" s="20"/>
      <c r="X40" s="20"/>
      <c r="Y40" s="20"/>
      <c r="Z40" s="18"/>
      <c r="AA40" s="20"/>
      <c r="AB40" s="20"/>
      <c r="AC40" s="19"/>
      <c r="AD40" s="20"/>
      <c r="AE40" s="20"/>
      <c r="AF40" s="18"/>
      <c r="AG40" s="19"/>
      <c r="AH40" s="16"/>
      <c r="AI40" s="18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18"/>
      <c r="AU40" s="20"/>
      <c r="AV40" s="19"/>
    </row>
    <row r="41" spans="1:48" s="8" customFormat="1" ht="13.5" thickBot="1" x14ac:dyDescent="0.25">
      <c r="A41" s="11"/>
      <c r="B41" s="73"/>
      <c r="C41" s="61">
        <v>4</v>
      </c>
      <c r="D41" s="65" t="s">
        <v>53</v>
      </c>
      <c r="E41" s="123">
        <v>2</v>
      </c>
      <c r="F41" s="124">
        <v>0.9</v>
      </c>
      <c r="G41" s="124">
        <v>1</v>
      </c>
      <c r="H41" s="124">
        <v>2.0000000000000001E-4</v>
      </c>
      <c r="I41" s="124">
        <v>0.01</v>
      </c>
      <c r="J41" s="124" t="s">
        <v>209</v>
      </c>
      <c r="K41" s="125"/>
      <c r="L41" s="123">
        <v>0.31</v>
      </c>
      <c r="M41" s="124">
        <v>1380</v>
      </c>
      <c r="N41" s="124">
        <v>0</v>
      </c>
      <c r="O41" s="126">
        <v>1000</v>
      </c>
      <c r="P41" s="11"/>
      <c r="Q41" s="12"/>
      <c r="R41" s="12"/>
      <c r="S41" s="12"/>
      <c r="T41" s="11"/>
      <c r="U41" s="13"/>
      <c r="V41" s="12"/>
      <c r="W41" s="12"/>
      <c r="X41" s="12"/>
      <c r="Y41" s="12"/>
      <c r="Z41" s="11"/>
      <c r="AA41" s="12"/>
      <c r="AB41" s="12"/>
      <c r="AC41" s="13"/>
      <c r="AD41" s="12"/>
      <c r="AE41" s="12"/>
      <c r="AF41" s="11"/>
      <c r="AG41" s="13"/>
      <c r="AH41" s="15"/>
      <c r="AI41" s="11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1"/>
      <c r="AU41" s="12"/>
      <c r="AV41" s="13"/>
    </row>
    <row r="42" spans="1:48" s="8" customFormat="1" ht="12.75" x14ac:dyDescent="0.2">
      <c r="A42" s="20"/>
      <c r="B42" s="117"/>
      <c r="C42" s="26"/>
      <c r="D42" s="26"/>
      <c r="E42" s="26"/>
      <c r="F42" s="26"/>
      <c r="G42" s="26"/>
      <c r="H42" s="26"/>
      <c r="I42" s="26"/>
      <c r="J42" s="26"/>
      <c r="K42" s="20"/>
      <c r="L42" s="26"/>
      <c r="M42" s="26"/>
      <c r="N42" s="26"/>
      <c r="O42" s="26"/>
      <c r="P42" s="20"/>
      <c r="Q42" s="20"/>
      <c r="R42" s="20"/>
      <c r="S42" s="20"/>
      <c r="T42" s="20"/>
      <c r="U42" s="20"/>
      <c r="V42" s="20"/>
      <c r="W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spans="1:48" s="8" customFormat="1" ht="12.75" x14ac:dyDescent="0.2">
      <c r="A43" s="20"/>
      <c r="B43" s="117"/>
      <c r="C43" s="26"/>
      <c r="D43" s="26"/>
      <c r="E43" s="26"/>
      <c r="F43" s="26"/>
      <c r="G43" s="26"/>
      <c r="H43" s="26"/>
      <c r="I43" s="26"/>
      <c r="J43" s="26"/>
      <c r="K43" s="20"/>
      <c r="L43" s="26"/>
      <c r="M43" s="26"/>
      <c r="N43" s="26"/>
      <c r="O43" s="26"/>
      <c r="P43" s="20"/>
      <c r="Q43" s="20"/>
      <c r="R43" s="20"/>
      <c r="S43" s="20"/>
      <c r="T43" s="20"/>
      <c r="U43" s="20"/>
      <c r="V43" s="20"/>
      <c r="W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spans="1:48" s="8" customFormat="1" ht="12.75" x14ac:dyDescent="0.2">
      <c r="A44" s="20"/>
      <c r="B44" s="117"/>
      <c r="C44" s="26"/>
      <c r="D44" s="26"/>
      <c r="E44" s="26"/>
      <c r="F44" s="26"/>
      <c r="G44" s="26"/>
      <c r="H44" s="26"/>
      <c r="I44" s="26"/>
      <c r="J44" s="26"/>
      <c r="K44" s="20"/>
      <c r="L44" s="26"/>
      <c r="M44" s="26"/>
      <c r="N44" s="26"/>
      <c r="O44" s="26"/>
      <c r="P44" s="20"/>
      <c r="Q44" s="20"/>
      <c r="R44" s="20"/>
      <c r="S44" s="20"/>
      <c r="T44" s="20"/>
      <c r="U44" s="20"/>
      <c r="V44" s="20"/>
      <c r="W44" s="20"/>
      <c r="X44" s="139">
        <f>X31</f>
        <v>-1E-8</v>
      </c>
      <c r="Y44" s="20" t="s">
        <v>92</v>
      </c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spans="1:48" s="8" customFormat="1" ht="12.75" x14ac:dyDescent="0.2">
      <c r="A45" s="20"/>
      <c r="B45" s="117"/>
      <c r="C45" s="26"/>
      <c r="D45" s="26"/>
      <c r="E45" s="26"/>
      <c r="F45" s="26"/>
      <c r="G45" s="26"/>
      <c r="H45" s="26"/>
      <c r="I45" s="26"/>
      <c r="J45" s="26"/>
      <c r="K45" s="20"/>
      <c r="L45" s="26"/>
      <c r="M45" s="26"/>
      <c r="N45" s="26"/>
      <c r="O45" s="26"/>
      <c r="P45" s="20"/>
      <c r="Q45" s="20"/>
      <c r="R45" s="20"/>
      <c r="S45" s="20"/>
      <c r="T45" s="20"/>
      <c r="U45" s="20"/>
      <c r="V45" s="20"/>
      <c r="W45" s="20"/>
      <c r="X45" s="20">
        <f>X44/300</f>
        <v>-3.3333333333333335E-11</v>
      </c>
      <c r="Y45" s="20" t="s">
        <v>94</v>
      </c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spans="1:48" x14ac:dyDescent="0.25">
      <c r="A46" t="s">
        <v>220</v>
      </c>
      <c r="X46" s="20">
        <f>X45*3600*24*365</f>
        <v>-1.0512000000000002E-3</v>
      </c>
      <c r="Y46" s="20" t="s">
        <v>229</v>
      </c>
      <c r="Z46">
        <v>9</v>
      </c>
      <c r="AA46">
        <f>800*0.03+9</f>
        <v>33</v>
      </c>
      <c r="AB46" t="s">
        <v>61</v>
      </c>
      <c r="AC46" t="s">
        <v>61</v>
      </c>
    </row>
    <row r="47" spans="1:48" x14ac:dyDescent="0.25">
      <c r="AD47" s="1"/>
    </row>
  </sheetData>
  <mergeCells count="12">
    <mergeCell ref="B37:B39"/>
    <mergeCell ref="AD2:AE2"/>
    <mergeCell ref="AF2:AG2"/>
    <mergeCell ref="AT2:AV2"/>
    <mergeCell ref="V1:AC1"/>
    <mergeCell ref="E2:K2"/>
    <mergeCell ref="L2:O2"/>
    <mergeCell ref="P2:S2"/>
    <mergeCell ref="T2:U2"/>
    <mergeCell ref="V2:Y2"/>
    <mergeCell ref="Z2:AC2"/>
    <mergeCell ref="B34:B35"/>
  </mergeCells>
  <hyperlinks>
    <hyperlink ref="Z23" r:id="rId1"/>
    <hyperlink ref="Z28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1"/>
  <sheetViews>
    <sheetView tabSelected="1" zoomScale="85" zoomScaleNormal="85" workbookViewId="0">
      <selection activeCell="D37" sqref="D37"/>
    </sheetView>
  </sheetViews>
  <sheetFormatPr defaultRowHeight="15" x14ac:dyDescent="0.25"/>
  <cols>
    <col min="1" max="1" width="35.5703125" customWidth="1"/>
    <col min="2" max="2" width="1.42578125" customWidth="1"/>
    <col min="3" max="3" width="5.85546875" customWidth="1"/>
    <col min="4" max="4" width="7.5703125" customWidth="1"/>
    <col min="6" max="6" width="7" customWidth="1"/>
    <col min="7" max="7" width="14.28515625" customWidth="1"/>
    <col min="8" max="8" width="6.7109375" customWidth="1"/>
    <col min="9" max="9" width="3.140625" customWidth="1"/>
    <col min="10" max="10" width="3.85546875" customWidth="1"/>
    <col min="11" max="11" width="2" customWidth="1"/>
    <col min="12" max="12" width="2.28515625" customWidth="1"/>
    <col min="13" max="14" width="2.85546875" customWidth="1"/>
    <col min="15" max="15" width="1.7109375" customWidth="1"/>
    <col min="16" max="16" width="2.7109375" customWidth="1"/>
    <col min="17" max="17" width="1.85546875" customWidth="1"/>
    <col min="18" max="18" width="2" customWidth="1"/>
    <col min="19" max="19" width="3.140625" customWidth="1"/>
    <col min="21" max="21" width="8.85546875" customWidth="1"/>
    <col min="22" max="22" width="4.140625" bestFit="1" customWidth="1"/>
    <col min="23" max="23" width="7.85546875" bestFit="1" customWidth="1"/>
    <col min="24" max="24" width="10.28515625" bestFit="1" customWidth="1"/>
    <col min="25" max="25" width="9.28515625" bestFit="1" customWidth="1"/>
    <col min="26" max="26" width="7.85546875" customWidth="1"/>
    <col min="28" max="28" width="6.140625" customWidth="1"/>
    <col min="29" max="29" width="6.28515625" customWidth="1"/>
    <col min="31" max="31" width="29.85546875" bestFit="1" customWidth="1"/>
    <col min="32" max="32" width="13" customWidth="1"/>
    <col min="33" max="33" width="9.28515625" bestFit="1" customWidth="1"/>
    <col min="34" max="34" width="5.85546875" customWidth="1"/>
  </cols>
  <sheetData>
    <row r="1" spans="1:48" s="8" customFormat="1" ht="13.5" thickBot="1" x14ac:dyDescent="0.25">
      <c r="A1" s="14" t="s">
        <v>0</v>
      </c>
      <c r="B1" s="67"/>
      <c r="C1" s="9"/>
      <c r="D1" s="10"/>
      <c r="E1" s="214" t="s">
        <v>37</v>
      </c>
      <c r="F1" s="215"/>
      <c r="G1" s="215"/>
      <c r="H1" s="215"/>
      <c r="I1" s="215"/>
      <c r="J1" s="215"/>
      <c r="K1" s="216"/>
      <c r="L1" s="214" t="s">
        <v>39</v>
      </c>
      <c r="M1" s="215"/>
      <c r="N1" s="215"/>
      <c r="O1" s="216"/>
      <c r="P1" s="214" t="s">
        <v>34</v>
      </c>
      <c r="Q1" s="215"/>
      <c r="R1" s="215"/>
      <c r="S1" s="216"/>
      <c r="T1" s="214" t="s">
        <v>43</v>
      </c>
      <c r="U1" s="216"/>
      <c r="V1" s="217" t="s">
        <v>59</v>
      </c>
      <c r="W1" s="218"/>
      <c r="X1" s="218"/>
      <c r="Y1" s="218"/>
      <c r="Z1" s="218" t="s">
        <v>67</v>
      </c>
      <c r="AA1" s="218"/>
      <c r="AB1" s="218"/>
      <c r="AC1" s="219"/>
      <c r="AD1" s="218" t="s">
        <v>31</v>
      </c>
      <c r="AE1" s="218"/>
      <c r="AF1" s="217" t="s">
        <v>46</v>
      </c>
      <c r="AG1" s="219"/>
      <c r="AH1" s="133"/>
      <c r="AI1" s="189" t="s">
        <v>90</v>
      </c>
      <c r="AJ1" s="190" t="s">
        <v>93</v>
      </c>
      <c r="AK1" s="190" t="s">
        <v>91</v>
      </c>
      <c r="AL1" s="190" t="s">
        <v>78</v>
      </c>
      <c r="AM1" s="190" t="s">
        <v>211</v>
      </c>
      <c r="AN1" s="190" t="s">
        <v>98</v>
      </c>
      <c r="AO1" s="190" t="s">
        <v>79</v>
      </c>
      <c r="AP1" s="190" t="s">
        <v>110</v>
      </c>
      <c r="AQ1" s="190" t="s">
        <v>99</v>
      </c>
      <c r="AR1" s="190" t="s">
        <v>80</v>
      </c>
      <c r="AS1" s="190" t="s">
        <v>101</v>
      </c>
      <c r="AT1" s="217" t="s">
        <v>11</v>
      </c>
      <c r="AU1" s="218"/>
      <c r="AV1" s="219"/>
    </row>
    <row r="2" spans="1:48" s="8" customFormat="1" ht="13.5" thickBot="1" x14ac:dyDescent="0.25">
      <c r="A2" s="15"/>
      <c r="B2" s="191"/>
      <c r="C2" s="11" t="s">
        <v>2</v>
      </c>
      <c r="D2" s="13" t="s">
        <v>3</v>
      </c>
      <c r="E2" s="11" t="s">
        <v>38</v>
      </c>
      <c r="F2" s="12" t="s">
        <v>4</v>
      </c>
      <c r="G2" s="12" t="s">
        <v>5</v>
      </c>
      <c r="H2" s="12" t="s">
        <v>6</v>
      </c>
      <c r="I2" s="12" t="s">
        <v>41</v>
      </c>
      <c r="J2" s="12" t="s">
        <v>42</v>
      </c>
      <c r="K2" s="13" t="s">
        <v>7</v>
      </c>
      <c r="L2" s="11" t="s">
        <v>172</v>
      </c>
      <c r="M2" s="12" t="s">
        <v>173</v>
      </c>
      <c r="N2" s="12" t="s">
        <v>174</v>
      </c>
      <c r="O2" s="13" t="s">
        <v>105</v>
      </c>
      <c r="P2" s="11" t="s">
        <v>35</v>
      </c>
      <c r="Q2" s="12" t="s">
        <v>36</v>
      </c>
      <c r="R2" s="12" t="s">
        <v>175</v>
      </c>
      <c r="S2" s="13" t="s">
        <v>176</v>
      </c>
      <c r="T2" s="11" t="s">
        <v>8</v>
      </c>
      <c r="U2" s="13" t="s">
        <v>40</v>
      </c>
      <c r="V2" s="11" t="s">
        <v>63</v>
      </c>
      <c r="W2" s="12" t="s">
        <v>64</v>
      </c>
      <c r="X2" s="12" t="s">
        <v>65</v>
      </c>
      <c r="Y2" s="12" t="s">
        <v>66</v>
      </c>
      <c r="Z2" s="11" t="s">
        <v>63</v>
      </c>
      <c r="AA2" s="12" t="s">
        <v>64</v>
      </c>
      <c r="AB2" s="12" t="s">
        <v>65</v>
      </c>
      <c r="AC2" s="12" t="s">
        <v>66</v>
      </c>
      <c r="AD2" s="192" t="s">
        <v>32</v>
      </c>
      <c r="AE2" s="193" t="s">
        <v>47</v>
      </c>
      <c r="AF2" s="11" t="s">
        <v>104</v>
      </c>
      <c r="AG2" s="13" t="s">
        <v>103</v>
      </c>
      <c r="AH2" s="15" t="s">
        <v>75</v>
      </c>
      <c r="AI2" s="11" t="s">
        <v>92</v>
      </c>
      <c r="AJ2" s="134" t="s">
        <v>81</v>
      </c>
      <c r="AK2" s="135" t="s">
        <v>77</v>
      </c>
      <c r="AL2" s="135" t="s">
        <v>94</v>
      </c>
      <c r="AM2" s="135" t="s">
        <v>97</v>
      </c>
      <c r="AN2" s="136" t="s">
        <v>113</v>
      </c>
      <c r="AO2" s="12" t="s">
        <v>109</v>
      </c>
      <c r="AP2" s="12" t="s">
        <v>111</v>
      </c>
      <c r="AQ2" s="12" t="s">
        <v>114</v>
      </c>
      <c r="AR2" s="12" t="s">
        <v>100</v>
      </c>
      <c r="AS2" s="12" t="s">
        <v>102</v>
      </c>
      <c r="AT2" s="11" t="s">
        <v>107</v>
      </c>
      <c r="AU2" s="12" t="s">
        <v>106</v>
      </c>
      <c r="AV2" s="13" t="s">
        <v>115</v>
      </c>
    </row>
    <row r="3" spans="1:48" s="8" customFormat="1" ht="13.5" thickBot="1" x14ac:dyDescent="0.25">
      <c r="A3" s="210" t="s">
        <v>261</v>
      </c>
      <c r="B3" s="117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9"/>
      <c r="AK3" s="21"/>
      <c r="AL3" s="21"/>
      <c r="AM3" s="21"/>
      <c r="AN3" s="30"/>
      <c r="AO3" s="20"/>
      <c r="AP3" s="20"/>
      <c r="AQ3" s="20"/>
      <c r="AR3" s="20"/>
      <c r="AS3" s="20"/>
      <c r="AT3" s="20"/>
      <c r="AU3" s="20"/>
      <c r="AV3" s="20"/>
    </row>
    <row r="4" spans="1:48" x14ac:dyDescent="0.25">
      <c r="A4" t="s">
        <v>243</v>
      </c>
      <c r="T4">
        <v>1</v>
      </c>
      <c r="U4">
        <v>1</v>
      </c>
      <c r="V4" s="1" t="s">
        <v>235</v>
      </c>
      <c r="W4" s="1" t="s">
        <v>235</v>
      </c>
      <c r="X4">
        <v>0</v>
      </c>
      <c r="Y4">
        <v>0</v>
      </c>
      <c r="Z4">
        <v>9.5</v>
      </c>
      <c r="AA4">
        <v>18.2</v>
      </c>
      <c r="AB4" t="s">
        <v>235</v>
      </c>
      <c r="AC4" t="s">
        <v>235</v>
      </c>
      <c r="AD4">
        <v>0</v>
      </c>
      <c r="AE4">
        <v>0</v>
      </c>
      <c r="AF4" t="s">
        <v>240</v>
      </c>
      <c r="AG4" t="s">
        <v>240</v>
      </c>
    </row>
    <row r="5" spans="1:48" s="1" customFormat="1" x14ac:dyDescent="0.25">
      <c r="A5" s="1" t="s">
        <v>244</v>
      </c>
      <c r="T5" s="1">
        <v>1000</v>
      </c>
      <c r="U5" s="1">
        <f>5*T5</f>
        <v>5000</v>
      </c>
      <c r="V5" s="1" t="s">
        <v>235</v>
      </c>
      <c r="W5" s="1" t="s">
        <v>235</v>
      </c>
      <c r="X5" s="1">
        <v>0</v>
      </c>
      <c r="Y5" s="1">
        <v>0</v>
      </c>
      <c r="Z5" s="1">
        <v>-6.8000000000000005E-2</v>
      </c>
      <c r="AA5" s="1">
        <v>6.8000000000000005E-2</v>
      </c>
      <c r="AB5" s="1" t="s">
        <v>235</v>
      </c>
      <c r="AC5" s="1" t="s">
        <v>235</v>
      </c>
      <c r="AD5" s="1" t="s">
        <v>144</v>
      </c>
      <c r="AE5" s="1">
        <v>0</v>
      </c>
      <c r="AF5" s="1" t="s">
        <v>236</v>
      </c>
      <c r="AG5" s="1" t="s">
        <v>240</v>
      </c>
    </row>
    <row r="6" spans="1:48" s="200" customFormat="1" x14ac:dyDescent="0.25">
      <c r="A6" s="200" t="s">
        <v>248</v>
      </c>
      <c r="T6" s="202">
        <v>31000000</v>
      </c>
      <c r="U6" s="202">
        <v>31000000</v>
      </c>
      <c r="V6" s="200" t="s">
        <v>235</v>
      </c>
      <c r="W6" s="200" t="s">
        <v>235</v>
      </c>
      <c r="X6" s="200">
        <v>-100</v>
      </c>
      <c r="Y6" s="200">
        <v>0</v>
      </c>
      <c r="Z6" s="200" t="s">
        <v>240</v>
      </c>
      <c r="AA6" s="200" t="s">
        <v>240</v>
      </c>
      <c r="AB6" s="200" t="s">
        <v>240</v>
      </c>
      <c r="AC6" s="200" t="s">
        <v>240</v>
      </c>
      <c r="AD6" s="200" t="s">
        <v>240</v>
      </c>
      <c r="AE6" s="200">
        <v>0</v>
      </c>
      <c r="AF6" s="200" t="s">
        <v>240</v>
      </c>
      <c r="AG6" s="200" t="s">
        <v>240</v>
      </c>
    </row>
    <row r="7" spans="1:48" s="1" customFormat="1" x14ac:dyDescent="0.25">
      <c r="A7" s="1" t="s">
        <v>242</v>
      </c>
      <c r="T7" s="7">
        <v>31000000</v>
      </c>
      <c r="U7" s="7">
        <f>5*31000000</f>
        <v>155000000</v>
      </c>
      <c r="V7" s="1" t="s">
        <v>235</v>
      </c>
      <c r="W7" s="1" t="s">
        <v>235</v>
      </c>
      <c r="X7" s="7">
        <v>-3.9999999999999998E-6</v>
      </c>
      <c r="Y7" s="7">
        <v>3.9999999999999998E-6</v>
      </c>
      <c r="Z7" s="1" t="s">
        <v>240</v>
      </c>
      <c r="AA7" s="1" t="s">
        <v>240</v>
      </c>
      <c r="AB7" s="1" t="s">
        <v>240</v>
      </c>
      <c r="AC7" s="1" t="s">
        <v>240</v>
      </c>
      <c r="AD7" s="1" t="s">
        <v>240</v>
      </c>
      <c r="AE7" s="1" t="s">
        <v>144</v>
      </c>
      <c r="AF7" s="1" t="s">
        <v>240</v>
      </c>
      <c r="AG7" s="1" t="s">
        <v>236</v>
      </c>
    </row>
    <row r="8" spans="1:48" s="1" customFormat="1" x14ac:dyDescent="0.25">
      <c r="A8" s="38" t="s">
        <v>249</v>
      </c>
      <c r="T8" s="7">
        <v>31000000</v>
      </c>
      <c r="U8" s="7">
        <f>5*31000000</f>
        <v>155000000</v>
      </c>
      <c r="V8" s="1" t="s">
        <v>235</v>
      </c>
      <c r="W8" s="1" t="s">
        <v>235</v>
      </c>
      <c r="X8" s="194">
        <v>0</v>
      </c>
      <c r="Y8" s="7">
        <v>3.9999999999999998E-6</v>
      </c>
      <c r="Z8" s="38" t="s">
        <v>240</v>
      </c>
      <c r="AA8" s="38" t="s">
        <v>240</v>
      </c>
      <c r="AB8" s="38" t="s">
        <v>240</v>
      </c>
      <c r="AC8" s="38" t="s">
        <v>240</v>
      </c>
      <c r="AD8" s="38" t="s">
        <v>240</v>
      </c>
      <c r="AE8" s="195" t="s">
        <v>250</v>
      </c>
      <c r="AF8" s="38" t="s">
        <v>240</v>
      </c>
      <c r="AG8" s="1" t="s">
        <v>236</v>
      </c>
    </row>
    <row r="9" spans="1:48" s="196" customFormat="1" x14ac:dyDescent="0.25">
      <c r="A9" s="195" t="s">
        <v>251</v>
      </c>
      <c r="T9" s="199">
        <v>86400</v>
      </c>
      <c r="U9" s="199">
        <f>3650*T9</f>
        <v>315360000</v>
      </c>
      <c r="V9" s="196" t="s">
        <v>235</v>
      </c>
      <c r="W9" s="196" t="s">
        <v>235</v>
      </c>
      <c r="X9" s="203">
        <v>0</v>
      </c>
      <c r="Y9" s="199">
        <v>3.9999999999999998E-6</v>
      </c>
      <c r="Z9" s="196">
        <v>-6.8000000000000005E-2</v>
      </c>
      <c r="AA9" s="196">
        <v>6.8000000000000005E-2</v>
      </c>
      <c r="AB9" s="196" t="s">
        <v>235</v>
      </c>
      <c r="AC9" s="196" t="s">
        <v>235</v>
      </c>
      <c r="AD9" s="196" t="s">
        <v>144</v>
      </c>
      <c r="AE9" s="196" t="s">
        <v>144</v>
      </c>
      <c r="AF9" s="196" t="s">
        <v>236</v>
      </c>
      <c r="AG9" s="196" t="s">
        <v>236</v>
      </c>
    </row>
    <row r="10" spans="1:48" s="205" customFormat="1" x14ac:dyDescent="0.25">
      <c r="A10" s="208" t="s">
        <v>252</v>
      </c>
      <c r="T10" s="205">
        <v>86400</v>
      </c>
      <c r="U10" s="205">
        <f>3650*T10</f>
        <v>315360000</v>
      </c>
      <c r="V10" s="205" t="s">
        <v>235</v>
      </c>
      <c r="W10" s="205" t="s">
        <v>235</v>
      </c>
      <c r="X10" s="207">
        <v>-1.9999999999999999E-6</v>
      </c>
      <c r="Y10" s="206">
        <v>-50</v>
      </c>
      <c r="Z10" s="205">
        <v>-6.8000000000000005E-2</v>
      </c>
      <c r="AA10" s="205">
        <v>6.8000000000000005E-2</v>
      </c>
      <c r="AB10" s="205" t="s">
        <v>235</v>
      </c>
      <c r="AC10" s="205" t="s">
        <v>235</v>
      </c>
      <c r="AD10" s="205" t="s">
        <v>144</v>
      </c>
      <c r="AE10" s="208" t="s">
        <v>253</v>
      </c>
      <c r="AF10" s="208" t="s">
        <v>236</v>
      </c>
      <c r="AG10" s="208" t="s">
        <v>236</v>
      </c>
    </row>
    <row r="11" spans="1:48" s="197" customFormat="1" x14ac:dyDescent="0.25">
      <c r="A11" s="197" t="s">
        <v>245</v>
      </c>
      <c r="T11" s="197">
        <v>86400</v>
      </c>
      <c r="U11" s="204">
        <v>32000000</v>
      </c>
      <c r="V11" s="197" t="s">
        <v>235</v>
      </c>
      <c r="W11" s="197" t="s">
        <v>235</v>
      </c>
      <c r="X11" s="204">
        <v>-3.9999999999999998E-6</v>
      </c>
      <c r="Y11" s="204">
        <v>3.9999999999999998E-6</v>
      </c>
      <c r="Z11" s="197">
        <v>-6.8000000000000005E-2</v>
      </c>
      <c r="AA11" s="197">
        <v>6.8000000000000005E-2</v>
      </c>
      <c r="AB11" s="197" t="s">
        <v>235</v>
      </c>
      <c r="AC11" s="197" t="s">
        <v>235</v>
      </c>
      <c r="AD11" s="197" t="s">
        <v>144</v>
      </c>
      <c r="AE11" s="197" t="s">
        <v>144</v>
      </c>
      <c r="AF11" s="197" t="s">
        <v>236</v>
      </c>
      <c r="AG11" s="197" t="s">
        <v>236</v>
      </c>
    </row>
    <row r="12" spans="1:48" s="8" customFormat="1" ht="12.75" x14ac:dyDescent="0.2">
      <c r="A12" s="8" t="s">
        <v>260</v>
      </c>
      <c r="U12" s="209"/>
      <c r="V12" s="8" t="s">
        <v>235</v>
      </c>
      <c r="W12" s="8" t="s">
        <v>235</v>
      </c>
      <c r="X12" s="209">
        <v>-3.9999999999999998E-6</v>
      </c>
      <c r="Y12" s="209">
        <v>3.9999999999999998E-6</v>
      </c>
      <c r="Z12" s="8">
        <v>-6.8000000000000005E-2</v>
      </c>
      <c r="AA12" s="8">
        <v>6.8000000000000005E-2</v>
      </c>
      <c r="AB12" s="8" t="s">
        <v>235</v>
      </c>
      <c r="AC12" s="8" t="s">
        <v>235</v>
      </c>
      <c r="AD12" s="8" t="s">
        <v>144</v>
      </c>
      <c r="AE12" s="8">
        <v>0</v>
      </c>
      <c r="AF12" s="8" t="s">
        <v>236</v>
      </c>
      <c r="AG12" s="8" t="s">
        <v>236</v>
      </c>
    </row>
    <row r="13" spans="1:48" x14ac:dyDescent="0.25">
      <c r="A13" t="s">
        <v>246</v>
      </c>
      <c r="T13">
        <v>86400</v>
      </c>
      <c r="U13" s="7">
        <v>10950</v>
      </c>
      <c r="V13" t="s">
        <v>240</v>
      </c>
      <c r="W13" t="s">
        <v>240</v>
      </c>
      <c r="X13" t="s">
        <v>240</v>
      </c>
      <c r="Y13" t="s">
        <v>240</v>
      </c>
      <c r="Z13" t="s">
        <v>247</v>
      </c>
      <c r="AA13">
        <v>6.8000000000000005E-2</v>
      </c>
      <c r="AB13" s="1" t="s">
        <v>235</v>
      </c>
      <c r="AC13" s="1" t="s">
        <v>235</v>
      </c>
      <c r="AD13" t="s">
        <v>240</v>
      </c>
      <c r="AE13" t="s">
        <v>240</v>
      </c>
      <c r="AF13" t="s">
        <v>236</v>
      </c>
      <c r="AG13" t="s">
        <v>240</v>
      </c>
    </row>
    <row r="14" spans="1:48" s="1" customFormat="1" ht="15.75" thickBot="1" x14ac:dyDescent="0.3">
      <c r="U14" s="7"/>
    </row>
    <row r="15" spans="1:48" s="1" customFormat="1" ht="15.75" thickBot="1" x14ac:dyDescent="0.3">
      <c r="A15" s="35" t="s">
        <v>262</v>
      </c>
      <c r="C15" s="1" t="s">
        <v>292</v>
      </c>
    </row>
    <row r="16" spans="1:48" s="1" customFormat="1" x14ac:dyDescent="0.25">
      <c r="A16" s="1" t="s">
        <v>256</v>
      </c>
      <c r="T16" s="1">
        <v>86400</v>
      </c>
      <c r="U16" s="1">
        <f>365*30*T16</f>
        <v>946080000</v>
      </c>
      <c r="V16" s="1" t="s">
        <v>235</v>
      </c>
      <c r="W16" s="1" t="s">
        <v>235</v>
      </c>
      <c r="X16" s="1">
        <v>0</v>
      </c>
      <c r="Y16" s="1">
        <v>0</v>
      </c>
      <c r="Z16" s="1">
        <v>-6.8000000000000005E-2</v>
      </c>
      <c r="AA16" s="1">
        <v>6.8000000000000005E-2</v>
      </c>
      <c r="AB16" s="1" t="s">
        <v>235</v>
      </c>
      <c r="AC16" s="1" t="s">
        <v>235</v>
      </c>
      <c r="AD16" s="1" t="s">
        <v>144</v>
      </c>
      <c r="AE16" s="1">
        <v>0</v>
      </c>
      <c r="AF16" s="1" t="s">
        <v>240</v>
      </c>
      <c r="AG16" s="7">
        <v>-0.01</v>
      </c>
    </row>
    <row r="17" spans="1:33" s="200" customFormat="1" x14ac:dyDescent="0.25">
      <c r="A17" s="200" t="s">
        <v>255</v>
      </c>
      <c r="T17" s="1">
        <v>86400</v>
      </c>
      <c r="U17" s="1">
        <f>10950*T17</f>
        <v>946080000</v>
      </c>
      <c r="V17" s="200" t="s">
        <v>235</v>
      </c>
      <c r="W17" s="200" t="s">
        <v>235</v>
      </c>
      <c r="X17" s="201">
        <v>-100</v>
      </c>
      <c r="Y17" s="201">
        <v>0</v>
      </c>
      <c r="Z17" s="1">
        <v>-6.8000000000000005E-2</v>
      </c>
      <c r="AA17" s="1">
        <v>6.8000000000000005E-2</v>
      </c>
      <c r="AB17" s="1" t="s">
        <v>235</v>
      </c>
      <c r="AC17" s="1" t="s">
        <v>235</v>
      </c>
      <c r="AD17" s="1" t="s">
        <v>144</v>
      </c>
      <c r="AE17" s="1" t="s">
        <v>144</v>
      </c>
      <c r="AF17" s="200" t="s">
        <v>240</v>
      </c>
      <c r="AG17" s="202">
        <v>-0.01</v>
      </c>
    </row>
    <row r="18" spans="1:33" s="1" customFormat="1" x14ac:dyDescent="0.25">
      <c r="A18" s="197" t="s">
        <v>281</v>
      </c>
      <c r="C18" s="1" t="s">
        <v>286</v>
      </c>
      <c r="T18" s="1">
        <v>86400</v>
      </c>
      <c r="U18" s="1">
        <f>U17</f>
        <v>946080000</v>
      </c>
      <c r="V18" s="1" t="s">
        <v>235</v>
      </c>
      <c r="W18" s="1" t="s">
        <v>235</v>
      </c>
      <c r="X18" s="7">
        <v>-3.9999999999999998E-6</v>
      </c>
      <c r="Y18" s="7">
        <v>3.9999999999999998E-6</v>
      </c>
      <c r="Z18" s="1">
        <v>-6.8000000000000005E-2</v>
      </c>
      <c r="AA18" s="1">
        <v>6.8000000000000005E-2</v>
      </c>
      <c r="AB18" s="1" t="s">
        <v>235</v>
      </c>
      <c r="AC18" s="1" t="s">
        <v>235</v>
      </c>
      <c r="AD18" s="1" t="s">
        <v>144</v>
      </c>
      <c r="AE18" s="1" t="s">
        <v>144</v>
      </c>
      <c r="AF18" s="1" t="s">
        <v>240</v>
      </c>
      <c r="AG18" s="198" t="s">
        <v>224</v>
      </c>
    </row>
    <row r="19" spans="1:33" s="1" customFormat="1" x14ac:dyDescent="0.25">
      <c r="A19" s="197" t="s">
        <v>280</v>
      </c>
      <c r="C19" s="1" t="s">
        <v>284</v>
      </c>
      <c r="T19" s="1">
        <v>86400</v>
      </c>
      <c r="U19" s="1">
        <f>18250*T19</f>
        <v>1576800000</v>
      </c>
      <c r="V19" s="1" t="s">
        <v>235</v>
      </c>
      <c r="W19" s="1" t="s">
        <v>235</v>
      </c>
      <c r="X19" s="7">
        <v>-3.9999999999999998E-6</v>
      </c>
      <c r="Y19" s="7">
        <v>3.9999999999999998E-6</v>
      </c>
      <c r="Z19" s="1">
        <v>-6.8000000000000005E-2</v>
      </c>
      <c r="AA19" s="1">
        <v>6.8000000000000005E-2</v>
      </c>
      <c r="AB19" s="1" t="s">
        <v>235</v>
      </c>
      <c r="AC19" s="1" t="s">
        <v>235</v>
      </c>
      <c r="AD19" s="1" t="s">
        <v>144</v>
      </c>
      <c r="AE19" s="1" t="s">
        <v>144</v>
      </c>
      <c r="AF19" s="1" t="s">
        <v>240</v>
      </c>
      <c r="AG19" s="198" t="s">
        <v>258</v>
      </c>
    </row>
    <row r="20" spans="1:33" s="1" customFormat="1" x14ac:dyDescent="0.25">
      <c r="A20" s="197" t="s">
        <v>282</v>
      </c>
      <c r="C20" s="1" t="s">
        <v>283</v>
      </c>
      <c r="T20" s="1">
        <v>86400</v>
      </c>
      <c r="U20" s="1">
        <f>30*365*T20</f>
        <v>946080000</v>
      </c>
      <c r="V20" s="1" t="s">
        <v>235</v>
      </c>
      <c r="W20" s="1" t="s">
        <v>235</v>
      </c>
      <c r="X20" s="7">
        <v>-3.9999999999999998E-6</v>
      </c>
      <c r="Y20" s="7">
        <v>3.9999999999999998E-6</v>
      </c>
      <c r="Z20" s="1">
        <v>-6.8000000000000005E-2</v>
      </c>
      <c r="AA20" s="1">
        <v>6.8000000000000005E-2</v>
      </c>
      <c r="AB20" s="1" t="s">
        <v>235</v>
      </c>
      <c r="AC20" s="1" t="s">
        <v>235</v>
      </c>
      <c r="AD20" s="1" t="s">
        <v>144</v>
      </c>
      <c r="AE20" s="1" t="s">
        <v>144</v>
      </c>
      <c r="AF20" s="1" t="s">
        <v>240</v>
      </c>
      <c r="AG20" s="198" t="s">
        <v>254</v>
      </c>
    </row>
    <row r="21" spans="1:33" s="1" customFormat="1" x14ac:dyDescent="0.25">
      <c r="A21" s="197" t="s">
        <v>282</v>
      </c>
      <c r="C21" s="1" t="s">
        <v>300</v>
      </c>
      <c r="T21" s="1">
        <v>86400</v>
      </c>
      <c r="U21" s="1">
        <f>30*365*T21</f>
        <v>946080000</v>
      </c>
      <c r="V21" s="1" t="s">
        <v>235</v>
      </c>
      <c r="W21" s="1" t="s">
        <v>235</v>
      </c>
      <c r="X21" s="7">
        <v>-3.9999999999999998E-6</v>
      </c>
      <c r="Y21" s="7">
        <v>3.9999999999999998E-6</v>
      </c>
      <c r="Z21" s="1">
        <v>-6.8000000000000005E-2</v>
      </c>
      <c r="AA21" s="1">
        <v>6.8000000000000005E-2</v>
      </c>
      <c r="AB21" s="1" t="s">
        <v>235</v>
      </c>
      <c r="AC21" s="1" t="s">
        <v>235</v>
      </c>
      <c r="AD21" s="1" t="s">
        <v>144</v>
      </c>
      <c r="AE21" s="1" t="s">
        <v>144</v>
      </c>
      <c r="AF21" s="1" t="s">
        <v>240</v>
      </c>
      <c r="AG21" s="198" t="s">
        <v>254</v>
      </c>
    </row>
    <row r="22" spans="1:33" s="1" customFormat="1" x14ac:dyDescent="0.25">
      <c r="A22" s="197" t="s">
        <v>282</v>
      </c>
      <c r="C22" s="213" t="s">
        <v>303</v>
      </c>
      <c r="H22" s="1" t="s">
        <v>308</v>
      </c>
      <c r="I22" s="1">
        <f>7637*86400</f>
        <v>659836800</v>
      </c>
      <c r="J22" s="1">
        <f>I22/(3600*24*365)</f>
        <v>20.923287671232877</v>
      </c>
      <c r="K22" s="1" t="s">
        <v>307</v>
      </c>
      <c r="T22" s="1">
        <v>86400</v>
      </c>
      <c r="U22" s="1">
        <f>30*365*T22</f>
        <v>946080000</v>
      </c>
      <c r="V22" s="1" t="s">
        <v>235</v>
      </c>
      <c r="W22" s="1" t="s">
        <v>235</v>
      </c>
      <c r="X22" s="7">
        <v>-3.9999999999999998E-6</v>
      </c>
      <c r="Y22" s="7">
        <v>3.9999999999999998E-6</v>
      </c>
      <c r="Z22" s="1">
        <v>-6.8000000000000005E-2</v>
      </c>
      <c r="AA22" s="1">
        <v>6.8000000000000005E-2</v>
      </c>
      <c r="AB22" s="1" t="s">
        <v>235</v>
      </c>
      <c r="AC22" s="1" t="s">
        <v>235</v>
      </c>
      <c r="AD22" s="1" t="s">
        <v>144</v>
      </c>
      <c r="AE22" s="1" t="s">
        <v>144</v>
      </c>
      <c r="AF22" s="1" t="s">
        <v>240</v>
      </c>
      <c r="AG22" s="198" t="s">
        <v>254</v>
      </c>
    </row>
    <row r="23" spans="1:33" s="196" customFormat="1" x14ac:dyDescent="0.25">
      <c r="A23" s="196" t="s">
        <v>285</v>
      </c>
      <c r="C23" s="196" t="s">
        <v>301</v>
      </c>
      <c r="T23" s="196">
        <v>86400</v>
      </c>
      <c r="U23" s="196">
        <f>18250*T23</f>
        <v>1576800000</v>
      </c>
      <c r="V23" s="196" t="s">
        <v>235</v>
      </c>
      <c r="W23" s="196" t="s">
        <v>235</v>
      </c>
      <c r="X23" s="203">
        <v>0</v>
      </c>
      <c r="Y23" s="199">
        <v>3.9999999999999998E-6</v>
      </c>
      <c r="Z23" s="196">
        <v>-6.8000000000000005E-2</v>
      </c>
      <c r="AA23" s="196">
        <v>6.8000000000000005E-2</v>
      </c>
      <c r="AB23" s="196" t="s">
        <v>235</v>
      </c>
      <c r="AC23" s="196" t="s">
        <v>235</v>
      </c>
      <c r="AD23" s="196" t="s">
        <v>144</v>
      </c>
      <c r="AE23" s="196" t="s">
        <v>144</v>
      </c>
      <c r="AF23" s="196" t="s">
        <v>240</v>
      </c>
      <c r="AG23" s="196">
        <v>-0.08</v>
      </c>
    </row>
    <row r="24" spans="1:33" s="196" customFormat="1" x14ac:dyDescent="0.25">
      <c r="A24" s="196" t="s">
        <v>291</v>
      </c>
      <c r="C24" s="196" t="s">
        <v>299</v>
      </c>
      <c r="T24" s="196">
        <v>86400</v>
      </c>
      <c r="U24" s="196">
        <f>18250*T24</f>
        <v>1576800000</v>
      </c>
      <c r="V24" s="196" t="s">
        <v>235</v>
      </c>
      <c r="W24" s="196" t="s">
        <v>235</v>
      </c>
      <c r="X24" s="203">
        <v>0</v>
      </c>
      <c r="Y24" s="199">
        <v>3.9999999999999998E-6</v>
      </c>
      <c r="Z24" s="196">
        <v>-6.8000000000000005E-2</v>
      </c>
      <c r="AA24" s="196">
        <v>6.8000000000000005E-2</v>
      </c>
      <c r="AB24" s="196" t="s">
        <v>235</v>
      </c>
      <c r="AC24" s="196" t="s">
        <v>235</v>
      </c>
      <c r="AD24" s="196" t="s">
        <v>144</v>
      </c>
      <c r="AE24" s="196" t="s">
        <v>144</v>
      </c>
      <c r="AF24" s="196" t="s">
        <v>240</v>
      </c>
      <c r="AG24" s="211" t="s">
        <v>289</v>
      </c>
    </row>
    <row r="25" spans="1:33" s="205" customFormat="1" x14ac:dyDescent="0.25">
      <c r="A25" s="205" t="s">
        <v>259</v>
      </c>
      <c r="C25" s="205" t="s">
        <v>287</v>
      </c>
      <c r="T25" s="205">
        <v>3600</v>
      </c>
      <c r="U25" s="205">
        <f>87600*T25</f>
        <v>315360000</v>
      </c>
      <c r="V25" s="205" t="s">
        <v>235</v>
      </c>
      <c r="W25" s="205" t="s">
        <v>235</v>
      </c>
      <c r="X25" s="207">
        <v>-1.9999999999999999E-6</v>
      </c>
      <c r="Y25" s="205">
        <v>-50</v>
      </c>
      <c r="Z25" s="205">
        <v>-6.8000000000000005E-2</v>
      </c>
      <c r="AA25" s="205">
        <v>6.8000000000000005E-2</v>
      </c>
      <c r="AB25" s="205" t="s">
        <v>235</v>
      </c>
      <c r="AC25" s="205" t="s">
        <v>235</v>
      </c>
      <c r="AD25" s="205" t="s">
        <v>144</v>
      </c>
      <c r="AE25" s="205" t="s">
        <v>144</v>
      </c>
      <c r="AF25" s="205" t="s">
        <v>240</v>
      </c>
      <c r="AG25" s="205">
        <v>-0.08</v>
      </c>
    </row>
    <row r="26" spans="1:33" s="1" customFormat="1" x14ac:dyDescent="0.25"/>
    <row r="27" spans="1:33" s="1" customFormat="1" x14ac:dyDescent="0.25">
      <c r="A27" s="1" t="s">
        <v>257</v>
      </c>
    </row>
    <row r="28" spans="1:33" s="1" customFormat="1" x14ac:dyDescent="0.25">
      <c r="A28" s="197" t="s">
        <v>263</v>
      </c>
      <c r="C28" s="1" t="s">
        <v>272</v>
      </c>
      <c r="T28" s="1">
        <v>86400</v>
      </c>
      <c r="U28" s="1">
        <f>18250*T28</f>
        <v>1576800000</v>
      </c>
      <c r="V28" s="1" t="s">
        <v>235</v>
      </c>
      <c r="W28" s="1" t="s">
        <v>235</v>
      </c>
      <c r="X28" s="7">
        <v>-3.9999999999999998E-6</v>
      </c>
      <c r="Y28" s="7">
        <v>3.9999999999999998E-6</v>
      </c>
      <c r="Z28" s="1">
        <v>-6.8000000000000005E-2</v>
      </c>
      <c r="AA28" s="1">
        <v>6.8000000000000005E-2</v>
      </c>
      <c r="AB28" s="1" t="s">
        <v>235</v>
      </c>
      <c r="AC28" s="1" t="s">
        <v>235</v>
      </c>
      <c r="AD28" s="1" t="s">
        <v>144</v>
      </c>
      <c r="AE28" s="1" t="s">
        <v>144</v>
      </c>
      <c r="AF28" s="1" t="s">
        <v>240</v>
      </c>
      <c r="AG28" s="198" t="s">
        <v>264</v>
      </c>
    </row>
    <row r="29" spans="1:33" s="1" customFormat="1" x14ac:dyDescent="0.25"/>
    <row r="30" spans="1:33" s="1" customFormat="1" x14ac:dyDescent="0.25"/>
    <row r="31" spans="1:33" s="1" customFormat="1" ht="15.75" thickBot="1" x14ac:dyDescent="0.3"/>
    <row r="32" spans="1:33" s="1" customFormat="1" ht="15.75" thickBot="1" x14ac:dyDescent="0.3">
      <c r="A32" s="35" t="s">
        <v>265</v>
      </c>
      <c r="C32" s="1" t="s">
        <v>288</v>
      </c>
    </row>
    <row r="33" spans="1:33" s="1" customFormat="1" x14ac:dyDescent="0.25">
      <c r="A33" s="1" t="s">
        <v>268</v>
      </c>
      <c r="C33" s="1" t="s">
        <v>271</v>
      </c>
      <c r="T33" s="1">
        <v>86400</v>
      </c>
      <c r="U33" s="1">
        <f>18250*T33</f>
        <v>1576800000</v>
      </c>
      <c r="V33" s="1" t="s">
        <v>235</v>
      </c>
      <c r="W33" s="1" t="s">
        <v>235</v>
      </c>
      <c r="X33" s="7">
        <v>-3.9999999999999998E-6</v>
      </c>
      <c r="Y33" s="7">
        <v>3.9999999999999998E-6</v>
      </c>
      <c r="Z33" s="1">
        <v>-6.8000000000000005E-2</v>
      </c>
      <c r="AA33" s="1">
        <v>6.8000000000000005E-2</v>
      </c>
      <c r="AB33" s="1" t="s">
        <v>235</v>
      </c>
      <c r="AC33" s="1" t="s">
        <v>235</v>
      </c>
      <c r="AD33" s="1" t="s">
        <v>144</v>
      </c>
      <c r="AE33" s="1" t="s">
        <v>144</v>
      </c>
    </row>
    <row r="34" spans="1:33" s="1" customFormat="1" x14ac:dyDescent="0.25">
      <c r="A34" s="1" t="s">
        <v>267</v>
      </c>
      <c r="C34" s="213" t="s">
        <v>305</v>
      </c>
      <c r="H34" s="1" t="s">
        <v>308</v>
      </c>
      <c r="I34" s="1">
        <f>7643*86400</f>
        <v>660355200</v>
      </c>
      <c r="J34" s="1">
        <f>I34/(3600*24*365)</f>
        <v>20.93972602739726</v>
      </c>
      <c r="K34" s="1" t="s">
        <v>309</v>
      </c>
      <c r="T34" s="1">
        <v>86400</v>
      </c>
      <c r="U34" s="1">
        <f>18250*T34</f>
        <v>1576800000</v>
      </c>
      <c r="V34" s="1" t="s">
        <v>235</v>
      </c>
      <c r="W34" s="1" t="s">
        <v>235</v>
      </c>
      <c r="X34" s="7">
        <v>-3.9999999999999998E-6</v>
      </c>
      <c r="Y34" s="7">
        <v>3.9999999999999998E-6</v>
      </c>
      <c r="Z34" s="1">
        <v>-6.8000000000000005E-2</v>
      </c>
      <c r="AA34" s="1">
        <v>6.8000000000000005E-2</v>
      </c>
      <c r="AB34" s="1" t="s">
        <v>235</v>
      </c>
      <c r="AC34" s="1" t="s">
        <v>235</v>
      </c>
      <c r="AD34" s="1" t="s">
        <v>144</v>
      </c>
      <c r="AE34" s="1" t="s">
        <v>144</v>
      </c>
      <c r="AF34" s="1" t="s">
        <v>240</v>
      </c>
      <c r="AG34" s="1" t="s">
        <v>269</v>
      </c>
    </row>
    <row r="35" spans="1:33" s="196" customFormat="1" x14ac:dyDescent="0.25">
      <c r="A35" s="196" t="s">
        <v>270</v>
      </c>
      <c r="C35" s="196" t="s">
        <v>302</v>
      </c>
      <c r="T35" s="196">
        <v>86400</v>
      </c>
      <c r="U35" s="196">
        <f>18250*T35</f>
        <v>1576800000</v>
      </c>
      <c r="V35" s="196" t="s">
        <v>235</v>
      </c>
      <c r="W35" s="196" t="s">
        <v>235</v>
      </c>
      <c r="X35" s="203">
        <v>0</v>
      </c>
      <c r="Y35" s="199">
        <v>3.9999999999999998E-6</v>
      </c>
      <c r="Z35" s="196">
        <v>-6.8000000000000005E-2</v>
      </c>
      <c r="AA35" s="196">
        <v>6.8000000000000005E-2</v>
      </c>
      <c r="AB35" s="196" t="s">
        <v>235</v>
      </c>
      <c r="AC35" s="196" t="s">
        <v>235</v>
      </c>
      <c r="AD35" s="196" t="s">
        <v>144</v>
      </c>
      <c r="AE35" s="196" t="s">
        <v>144</v>
      </c>
      <c r="AF35" s="196" t="s">
        <v>240</v>
      </c>
      <c r="AG35" s="196">
        <v>-0.08</v>
      </c>
    </row>
    <row r="36" spans="1:33" s="196" customFormat="1" x14ac:dyDescent="0.25">
      <c r="A36" s="196" t="s">
        <v>276</v>
      </c>
      <c r="B36" s="1"/>
      <c r="C36" s="196" t="s">
        <v>299</v>
      </c>
      <c r="T36" s="196">
        <v>86400</v>
      </c>
      <c r="U36" s="196">
        <f>18250*T36</f>
        <v>1576800000</v>
      </c>
      <c r="V36" s="196" t="s">
        <v>235</v>
      </c>
      <c r="W36" s="196" t="s">
        <v>235</v>
      </c>
      <c r="X36" s="203">
        <v>0</v>
      </c>
      <c r="Y36" s="199">
        <v>3.9999999999999998E-6</v>
      </c>
      <c r="Z36" s="196">
        <v>-6.8000000000000005E-2</v>
      </c>
      <c r="AA36" s="196">
        <v>6.8000000000000005E-2</v>
      </c>
      <c r="AB36" s="196" t="s">
        <v>235</v>
      </c>
      <c r="AC36" s="196" t="s">
        <v>235</v>
      </c>
      <c r="AD36" s="196" t="s">
        <v>144</v>
      </c>
      <c r="AE36" s="196" t="s">
        <v>144</v>
      </c>
      <c r="AF36" s="196" t="s">
        <v>240</v>
      </c>
      <c r="AG36" s="211" t="s">
        <v>273</v>
      </c>
    </row>
    <row r="37" spans="1:33" s="1" customFormat="1" x14ac:dyDescent="0.25">
      <c r="T37" s="196"/>
      <c r="U37" s="196"/>
      <c r="V37" s="196"/>
      <c r="W37" s="196"/>
      <c r="X37" s="203"/>
      <c r="Y37" s="199"/>
      <c r="Z37" s="196"/>
      <c r="AA37" s="196"/>
      <c r="AB37" s="196"/>
      <c r="AC37" s="196"/>
      <c r="AD37" s="196"/>
      <c r="AE37" s="196"/>
      <c r="AF37" s="196"/>
      <c r="AG37" s="196"/>
    </row>
    <row r="38" spans="1:33" s="1" customFormat="1" x14ac:dyDescent="0.25">
      <c r="A38" s="1" t="s">
        <v>294</v>
      </c>
    </row>
    <row r="39" spans="1:33" s="1" customFormat="1" x14ac:dyDescent="0.25">
      <c r="A39" s="1" t="s">
        <v>293</v>
      </c>
    </row>
    <row r="40" spans="1:33" s="1" customFormat="1" x14ac:dyDescent="0.25"/>
    <row r="41" spans="1:33" s="1" customFormat="1" x14ac:dyDescent="0.25">
      <c r="U41" s="7">
        <v>165888000</v>
      </c>
    </row>
    <row r="42" spans="1:33" s="1" customFormat="1" x14ac:dyDescent="0.25"/>
    <row r="43" spans="1:33" s="1" customFormat="1" ht="15.75" thickBot="1" x14ac:dyDescent="0.3"/>
    <row r="44" spans="1:33" s="1" customFormat="1" ht="15.75" thickBot="1" x14ac:dyDescent="0.3">
      <c r="A44" s="35" t="s">
        <v>266</v>
      </c>
      <c r="C44" s="1" t="s">
        <v>275</v>
      </c>
    </row>
    <row r="45" spans="1:33" s="196" customFormat="1" x14ac:dyDescent="0.25">
      <c r="A45" s="196" t="s">
        <v>276</v>
      </c>
      <c r="C45" s="196" t="s">
        <v>299</v>
      </c>
      <c r="T45" s="196">
        <v>3600</v>
      </c>
      <c r="U45" s="196">
        <f t="shared" ref="U45:U51" si="0">8760*T45</f>
        <v>31536000</v>
      </c>
      <c r="V45" s="196" t="s">
        <v>235</v>
      </c>
      <c r="W45" s="196" t="s">
        <v>235</v>
      </c>
      <c r="X45" s="203">
        <v>0</v>
      </c>
      <c r="Y45" s="199">
        <v>3.9999999999999998E-6</v>
      </c>
      <c r="Z45" s="196">
        <v>-6.8000000000000005E-2</v>
      </c>
      <c r="AA45" s="196">
        <v>6.8000000000000005E-2</v>
      </c>
      <c r="AB45" s="196" t="s">
        <v>235</v>
      </c>
      <c r="AC45" s="196" t="s">
        <v>235</v>
      </c>
      <c r="AD45" s="196" t="s">
        <v>144</v>
      </c>
      <c r="AE45" s="196" t="s">
        <v>274</v>
      </c>
      <c r="AF45" s="196" t="s">
        <v>240</v>
      </c>
      <c r="AG45" s="211" t="s">
        <v>298</v>
      </c>
    </row>
    <row r="46" spans="1:33" s="196" customFormat="1" x14ac:dyDescent="0.25">
      <c r="A46" s="196" t="s">
        <v>277</v>
      </c>
      <c r="C46" s="196" t="s">
        <v>290</v>
      </c>
      <c r="T46" s="196">
        <v>3600</v>
      </c>
      <c r="U46" s="196">
        <f t="shared" si="0"/>
        <v>31536000</v>
      </c>
      <c r="V46" s="196" t="s">
        <v>235</v>
      </c>
      <c r="W46" s="196" t="s">
        <v>235</v>
      </c>
      <c r="X46" s="203">
        <v>0</v>
      </c>
      <c r="Y46" s="199">
        <v>3.9999999999999998E-6</v>
      </c>
      <c r="Z46" s="196">
        <v>-6.8000000000000005E-2</v>
      </c>
      <c r="AA46" s="196">
        <v>6.8000000000000005E-2</v>
      </c>
      <c r="AB46" s="196" t="s">
        <v>235</v>
      </c>
      <c r="AC46" s="196" t="s">
        <v>235</v>
      </c>
      <c r="AD46" s="196" t="s">
        <v>144</v>
      </c>
      <c r="AE46" s="196" t="s">
        <v>274</v>
      </c>
      <c r="AF46" s="196" t="s">
        <v>240</v>
      </c>
      <c r="AG46" s="211" t="s">
        <v>278</v>
      </c>
    </row>
    <row r="47" spans="1:33" s="196" customFormat="1" x14ac:dyDescent="0.25">
      <c r="A47" s="196" t="s">
        <v>277</v>
      </c>
      <c r="C47" s="196" t="s">
        <v>304</v>
      </c>
      <c r="T47" s="196">
        <v>3600</v>
      </c>
      <c r="U47" s="196">
        <f t="shared" si="0"/>
        <v>31536000</v>
      </c>
      <c r="V47" s="196" t="s">
        <v>235</v>
      </c>
      <c r="W47" s="196" t="s">
        <v>235</v>
      </c>
      <c r="X47" s="203">
        <v>0</v>
      </c>
      <c r="Y47" s="199">
        <v>3.9999999999999998E-6</v>
      </c>
      <c r="Z47" s="196">
        <v>-6.8000000000000005E-2</v>
      </c>
      <c r="AA47" s="196">
        <v>6.8000000000000005E-2</v>
      </c>
      <c r="AB47" s="196" t="s">
        <v>235</v>
      </c>
      <c r="AC47" s="196" t="s">
        <v>235</v>
      </c>
      <c r="AD47" s="196" t="s">
        <v>144</v>
      </c>
      <c r="AE47" s="196" t="s">
        <v>274</v>
      </c>
      <c r="AF47" s="196" t="s">
        <v>240</v>
      </c>
      <c r="AG47" s="211" t="s">
        <v>278</v>
      </c>
    </row>
    <row r="48" spans="1:33" s="196" customFormat="1" x14ac:dyDescent="0.25">
      <c r="A48" s="196" t="s">
        <v>277</v>
      </c>
      <c r="C48" s="196" t="s">
        <v>306</v>
      </c>
      <c r="T48" s="196">
        <v>3600</v>
      </c>
      <c r="U48" s="196">
        <f t="shared" ref="U48" si="1">8760*T48</f>
        <v>31536000</v>
      </c>
      <c r="V48" s="196" t="s">
        <v>235</v>
      </c>
      <c r="W48" s="196" t="s">
        <v>235</v>
      </c>
      <c r="X48" s="203">
        <v>0</v>
      </c>
      <c r="Y48" s="199">
        <v>3.9999999999999998E-6</v>
      </c>
      <c r="Z48" s="196">
        <v>-6.8000000000000005E-2</v>
      </c>
      <c r="AA48" s="196">
        <v>6.8000000000000005E-2</v>
      </c>
      <c r="AB48" s="196" t="s">
        <v>235</v>
      </c>
      <c r="AC48" s="196" t="s">
        <v>235</v>
      </c>
      <c r="AD48" s="196" t="s">
        <v>144</v>
      </c>
      <c r="AE48" s="196" t="s">
        <v>274</v>
      </c>
      <c r="AF48" s="196" t="s">
        <v>240</v>
      </c>
      <c r="AG48" s="211" t="s">
        <v>278</v>
      </c>
    </row>
    <row r="49" spans="1:33" s="1" customFormat="1" x14ac:dyDescent="0.25">
      <c r="A49" s="1" t="s">
        <v>296</v>
      </c>
      <c r="C49" s="213" t="s">
        <v>299</v>
      </c>
      <c r="T49" s="196">
        <v>3600</v>
      </c>
      <c r="U49" s="196">
        <f t="shared" si="0"/>
        <v>31536000</v>
      </c>
      <c r="V49" s="1" t="s">
        <v>235</v>
      </c>
      <c r="W49" s="1" t="s">
        <v>235</v>
      </c>
      <c r="X49" s="7">
        <v>-3.9999999999999998E-6</v>
      </c>
      <c r="Y49" s="7">
        <v>3.9999999999999998E-6</v>
      </c>
      <c r="Z49" s="1">
        <v>-6.8000000000000005E-2</v>
      </c>
      <c r="AA49" s="1">
        <v>6.8000000000000005E-2</v>
      </c>
      <c r="AB49" s="1" t="s">
        <v>235</v>
      </c>
      <c r="AC49" s="1" t="s">
        <v>235</v>
      </c>
      <c r="AD49" s="1" t="s">
        <v>144</v>
      </c>
      <c r="AE49" s="1" t="s">
        <v>144</v>
      </c>
      <c r="AF49" s="1" t="s">
        <v>240</v>
      </c>
      <c r="AG49" s="212" t="s">
        <v>279</v>
      </c>
    </row>
    <row r="50" spans="1:33" s="1" customFormat="1" x14ac:dyDescent="0.25">
      <c r="A50" s="1" t="s">
        <v>296</v>
      </c>
      <c r="C50" s="213" t="s">
        <v>311</v>
      </c>
      <c r="T50" s="196">
        <v>3600</v>
      </c>
      <c r="U50" s="196">
        <f t="shared" si="0"/>
        <v>31536000</v>
      </c>
      <c r="V50" s="1" t="s">
        <v>235</v>
      </c>
      <c r="W50" s="1" t="s">
        <v>235</v>
      </c>
      <c r="X50" s="7">
        <v>-3.9999999999999998E-6</v>
      </c>
      <c r="Y50" s="7">
        <v>3.9999999999999998E-6</v>
      </c>
      <c r="Z50" s="1">
        <v>-6.8000000000000005E-2</v>
      </c>
      <c r="AA50" s="1">
        <v>6.8000000000000005E-2</v>
      </c>
      <c r="AB50" s="1" t="s">
        <v>235</v>
      </c>
      <c r="AC50" s="1" t="s">
        <v>235</v>
      </c>
      <c r="AD50" s="1" t="s">
        <v>144</v>
      </c>
      <c r="AE50" s="1" t="s">
        <v>144</v>
      </c>
      <c r="AF50" s="1" t="s">
        <v>240</v>
      </c>
      <c r="AG50" s="212" t="s">
        <v>279</v>
      </c>
    </row>
    <row r="51" spans="1:33" s="1" customFormat="1" x14ac:dyDescent="0.25">
      <c r="A51" s="1" t="s">
        <v>297</v>
      </c>
      <c r="B51" s="196"/>
      <c r="C51" s="196" t="s">
        <v>299</v>
      </c>
      <c r="T51" s="196">
        <v>3600</v>
      </c>
      <c r="U51" s="196">
        <f t="shared" si="0"/>
        <v>31536000</v>
      </c>
      <c r="V51" s="1" t="s">
        <v>235</v>
      </c>
      <c r="W51" s="1" t="s">
        <v>235</v>
      </c>
      <c r="X51" s="7">
        <v>-3.9999999999999998E-6</v>
      </c>
      <c r="Y51" s="7">
        <v>3.9999999999999998E-6</v>
      </c>
      <c r="Z51" s="1">
        <v>-6.8000000000000005E-2</v>
      </c>
      <c r="AA51" s="1">
        <v>6.8000000000000005E-2</v>
      </c>
      <c r="AB51" s="1" t="s">
        <v>235</v>
      </c>
      <c r="AC51" s="1" t="s">
        <v>235</v>
      </c>
      <c r="AD51" s="1" t="s">
        <v>144</v>
      </c>
      <c r="AE51" s="1" t="s">
        <v>144</v>
      </c>
      <c r="AF51" s="1" t="s">
        <v>240</v>
      </c>
      <c r="AG51" s="212" t="s">
        <v>279</v>
      </c>
    </row>
    <row r="52" spans="1:33" s="1" customFormat="1" x14ac:dyDescent="0.25">
      <c r="A52" s="197"/>
      <c r="X52" s="7"/>
      <c r="Y52" s="7"/>
      <c r="AG52" s="198"/>
    </row>
    <row r="53" spans="1:33" s="1" customFormat="1" x14ac:dyDescent="0.25"/>
    <row r="54" spans="1:33" x14ac:dyDescent="0.25">
      <c r="A54" s="38" t="s">
        <v>295</v>
      </c>
      <c r="F54" t="s">
        <v>12</v>
      </c>
      <c r="G54" t="s">
        <v>237</v>
      </c>
      <c r="K54" s="7"/>
    </row>
    <row r="55" spans="1:33" x14ac:dyDescent="0.25">
      <c r="A55" t="s">
        <v>310</v>
      </c>
      <c r="G55" s="7">
        <v>9.9999999999999995E-8</v>
      </c>
      <c r="K55" s="7"/>
    </row>
    <row r="56" spans="1:33" x14ac:dyDescent="0.25">
      <c r="G56">
        <v>50</v>
      </c>
      <c r="K56" s="7"/>
    </row>
    <row r="57" spans="1:33" x14ac:dyDescent="0.25">
      <c r="G57">
        <v>1000</v>
      </c>
    </row>
    <row r="58" spans="1:33" x14ac:dyDescent="0.25">
      <c r="F58" t="s">
        <v>12</v>
      </c>
      <c r="G58" s="7">
        <f>G55*G56/G57</f>
        <v>4.9999999999999993E-9</v>
      </c>
      <c r="K58">
        <f>24*3600</f>
        <v>86400</v>
      </c>
    </row>
    <row r="59" spans="1:33" x14ac:dyDescent="0.25">
      <c r="F59" t="s">
        <v>120</v>
      </c>
      <c r="G59" s="7">
        <f>G58/0.1</f>
        <v>4.9999999999999991E-8</v>
      </c>
      <c r="H59" t="s">
        <v>94</v>
      </c>
      <c r="I59" s="7">
        <f>G59*3600*24*365</f>
        <v>1.5767999999999998</v>
      </c>
      <c r="J59" t="s">
        <v>229</v>
      </c>
      <c r="K59">
        <f>365*50</f>
        <v>18250</v>
      </c>
    </row>
    <row r="61" spans="1:33" x14ac:dyDescent="0.25">
      <c r="F61" t="s">
        <v>241</v>
      </c>
      <c r="G61" s="7">
        <f>G58*400</f>
        <v>1.9999999999999999E-6</v>
      </c>
    </row>
  </sheetData>
  <mergeCells count="9">
    <mergeCell ref="AD1:AE1"/>
    <mergeCell ref="AF1:AG1"/>
    <mergeCell ref="AT1:AV1"/>
    <mergeCell ref="E1:K1"/>
    <mergeCell ref="L1:O1"/>
    <mergeCell ref="P1:S1"/>
    <mergeCell ref="T1:U1"/>
    <mergeCell ref="V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E35" sqref="E35"/>
    </sheetView>
  </sheetViews>
  <sheetFormatPr defaultColWidth="11.5703125" defaultRowHeight="15" x14ac:dyDescent="0.25"/>
  <sheetData>
    <row r="1" spans="1:8" s="1" customFormat="1" x14ac:dyDescent="0.25">
      <c r="A1" s="1" t="s">
        <v>44</v>
      </c>
      <c r="E1" s="1" t="s">
        <v>26</v>
      </c>
    </row>
    <row r="2" spans="1:8" x14ac:dyDescent="0.25">
      <c r="A2" s="2" t="s">
        <v>12</v>
      </c>
      <c r="B2" s="2">
        <v>0.06</v>
      </c>
      <c r="C2" s="2"/>
      <c r="D2" s="2"/>
      <c r="E2" s="3" t="s">
        <v>14</v>
      </c>
      <c r="F2" s="2">
        <v>11</v>
      </c>
      <c r="G2" s="2">
        <v>0</v>
      </c>
      <c r="H2" s="2" t="s">
        <v>15</v>
      </c>
    </row>
    <row r="3" spans="1:8" x14ac:dyDescent="0.25">
      <c r="A3" s="2" t="s">
        <v>13</v>
      </c>
      <c r="B3" s="2">
        <v>3</v>
      </c>
      <c r="C3" s="2"/>
      <c r="D3" s="2"/>
      <c r="E3" s="3" t="s">
        <v>16</v>
      </c>
      <c r="F3" s="4">
        <v>23</v>
      </c>
      <c r="G3" s="2">
        <v>460</v>
      </c>
      <c r="H3" s="2" t="s">
        <v>15</v>
      </c>
    </row>
    <row r="4" spans="1:8" x14ac:dyDescent="0.25">
      <c r="A4" s="3" t="s">
        <v>14</v>
      </c>
      <c r="B4" s="2">
        <v>15</v>
      </c>
      <c r="C4" s="2">
        <v>670</v>
      </c>
      <c r="D4" s="2" t="s">
        <v>15</v>
      </c>
      <c r="E4" s="2"/>
    </row>
    <row r="5" spans="1:8" x14ac:dyDescent="0.25">
      <c r="A5" s="3" t="s">
        <v>16</v>
      </c>
      <c r="B5" s="4" t="s">
        <v>17</v>
      </c>
      <c r="C5" s="2">
        <v>800</v>
      </c>
      <c r="D5" s="2" t="s">
        <v>15</v>
      </c>
      <c r="E5" s="2" t="s">
        <v>23</v>
      </c>
      <c r="F5">
        <f>(F2-F3)/(G2-G3)</f>
        <v>2.6086956521739129E-2</v>
      </c>
    </row>
    <row r="6" spans="1:8" x14ac:dyDescent="0.25">
      <c r="A6" s="2"/>
      <c r="B6" s="2" t="s">
        <v>18</v>
      </c>
      <c r="C6" s="2"/>
      <c r="D6" s="2"/>
      <c r="E6" s="2" t="s">
        <v>25</v>
      </c>
      <c r="F6">
        <f>B3*F5</f>
        <v>7.8260869565217384E-2</v>
      </c>
    </row>
    <row r="7" spans="1:8" x14ac:dyDescent="0.25">
      <c r="A7" s="2"/>
      <c r="B7" s="2" t="s">
        <v>19</v>
      </c>
      <c r="C7" s="2"/>
      <c r="D7" s="2"/>
      <c r="E7" s="2"/>
    </row>
    <row r="8" spans="1:8" x14ac:dyDescent="0.25">
      <c r="A8" s="2"/>
      <c r="B8" s="2" t="s">
        <v>20</v>
      </c>
      <c r="C8" s="2"/>
      <c r="D8" s="2"/>
      <c r="E8" s="6" t="s">
        <v>27</v>
      </c>
      <c r="F8" s="1">
        <f>F2-F5*G2</f>
        <v>11</v>
      </c>
      <c r="G8" s="1">
        <v>0</v>
      </c>
      <c r="H8" s="1" t="s">
        <v>15</v>
      </c>
    </row>
    <row r="9" spans="1:8" x14ac:dyDescent="0.25">
      <c r="A9" s="2"/>
      <c r="B9" s="2" t="s">
        <v>21</v>
      </c>
      <c r="C9" s="2"/>
      <c r="D9" s="2"/>
      <c r="E9" s="6" t="s">
        <v>28</v>
      </c>
      <c r="F9" s="1">
        <f>F8+F5*G9</f>
        <v>31.869565217391305</v>
      </c>
      <c r="G9" s="1">
        <v>800</v>
      </c>
      <c r="H9" s="1" t="s">
        <v>15</v>
      </c>
    </row>
    <row r="10" spans="1:8" x14ac:dyDescent="0.25">
      <c r="A10" s="2" t="s">
        <v>22</v>
      </c>
      <c r="B10" s="2">
        <f>B4-B2*(C4-C5)/B3</f>
        <v>17.600000000000001</v>
      </c>
      <c r="C10" s="2" t="s">
        <v>24</v>
      </c>
      <c r="D10" s="2"/>
      <c r="E10" s="2"/>
    </row>
    <row r="11" spans="1:8" x14ac:dyDescent="0.25">
      <c r="A11" s="2" t="s">
        <v>23</v>
      </c>
      <c r="B11" s="2">
        <f>(B10-B4)/(C5-C4)</f>
        <v>2.0000000000000011E-2</v>
      </c>
      <c r="C11" s="5"/>
      <c r="D11" s="2"/>
      <c r="E11" s="2"/>
    </row>
    <row r="13" spans="1:8" x14ac:dyDescent="0.25">
      <c r="A13" s="1" t="s">
        <v>45</v>
      </c>
      <c r="B13" s="1"/>
      <c r="C13" s="1"/>
      <c r="D13" s="1"/>
    </row>
    <row r="14" spans="1:8" x14ac:dyDescent="0.25">
      <c r="A14" s="3" t="s">
        <v>14</v>
      </c>
      <c r="B14" s="2">
        <v>10</v>
      </c>
      <c r="C14" s="2">
        <v>70</v>
      </c>
      <c r="D14" s="2" t="s">
        <v>15</v>
      </c>
    </row>
    <row r="15" spans="1:8" x14ac:dyDescent="0.25">
      <c r="A15" s="3" t="s">
        <v>16</v>
      </c>
      <c r="B15" s="4">
        <v>15</v>
      </c>
      <c r="C15" s="2">
        <v>230</v>
      </c>
      <c r="D15" s="2" t="s">
        <v>15</v>
      </c>
    </row>
    <row r="16" spans="1:8" x14ac:dyDescent="0.25">
      <c r="A16" s="2"/>
      <c r="B16" s="1"/>
      <c r="C16" s="1"/>
      <c r="D16" s="1"/>
    </row>
    <row r="17" spans="1:4" x14ac:dyDescent="0.25">
      <c r="A17" s="2" t="s">
        <v>23</v>
      </c>
      <c r="B17" s="1">
        <f>(B14-B15)/(C14-C15)</f>
        <v>3.125E-2</v>
      </c>
      <c r="C17" s="1"/>
      <c r="D17" s="1"/>
    </row>
    <row r="18" spans="1:4" x14ac:dyDescent="0.25">
      <c r="A18" s="2" t="s">
        <v>25</v>
      </c>
      <c r="B18" s="1">
        <f>B3*B17</f>
        <v>9.375E-2</v>
      </c>
      <c r="C18" s="1"/>
      <c r="D18" s="1"/>
    </row>
    <row r="20" spans="1:4" x14ac:dyDescent="0.25">
      <c r="A20" s="6" t="s">
        <v>27</v>
      </c>
      <c r="B20">
        <f>B14-B17*C14</f>
        <v>7.8125</v>
      </c>
      <c r="C20">
        <v>0</v>
      </c>
      <c r="D20" t="s">
        <v>15</v>
      </c>
    </row>
    <row r="21" spans="1:4" x14ac:dyDescent="0.25">
      <c r="A21" s="6" t="s">
        <v>28</v>
      </c>
      <c r="B21">
        <f>B20+B17*C21</f>
        <v>32.8125</v>
      </c>
      <c r="C21">
        <v>800</v>
      </c>
      <c r="D21" t="s">
        <v>15</v>
      </c>
    </row>
  </sheetData>
  <hyperlinks>
    <hyperlink ref="A4" r:id="rId1"/>
    <hyperlink ref="A5" r:id="rId2"/>
    <hyperlink ref="E2" r:id="rId3"/>
    <hyperlink ref="E3" r:id="rId4"/>
    <hyperlink ref="A14" r:id="rId5"/>
    <hyperlink ref="A15" r:id="rId6"/>
    <hyperlink ref="A20" r:id="rId7"/>
    <hyperlink ref="A21" r:id="rId8"/>
    <hyperlink ref="E8" r:id="rId9"/>
    <hyperlink ref="E9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18" sqref="B18"/>
    </sheetView>
  </sheetViews>
  <sheetFormatPr defaultColWidth="11.5703125" defaultRowHeight="15" x14ac:dyDescent="0.25"/>
  <cols>
    <col min="1" max="1" width="19" bestFit="1" customWidth="1"/>
    <col min="2" max="2" width="18.7109375" bestFit="1" customWidth="1"/>
  </cols>
  <sheetData>
    <row r="1" spans="1:19" s="1" customFormat="1" x14ac:dyDescent="0.25">
      <c r="A1" s="1" t="s">
        <v>95</v>
      </c>
      <c r="C1" s="1" t="s">
        <v>118</v>
      </c>
    </row>
    <row r="2" spans="1:19" x14ac:dyDescent="0.25">
      <c r="A2" t="s">
        <v>117</v>
      </c>
      <c r="C2" t="s">
        <v>119</v>
      </c>
      <c r="D2" t="s">
        <v>116</v>
      </c>
    </row>
    <row r="3" spans="1:19" x14ac:dyDescent="0.25">
      <c r="A3" t="s">
        <v>84</v>
      </c>
      <c r="C3" t="s">
        <v>87</v>
      </c>
      <c r="D3" t="s">
        <v>86</v>
      </c>
    </row>
    <row r="4" spans="1:19" s="1" customFormat="1" x14ac:dyDescent="0.25">
      <c r="A4" s="1" t="s">
        <v>96</v>
      </c>
      <c r="C4" s="1" t="s">
        <v>121</v>
      </c>
      <c r="D4" s="1" t="s">
        <v>122</v>
      </c>
    </row>
    <row r="5" spans="1:19" s="1" customFormat="1" x14ac:dyDescent="0.25"/>
    <row r="6" spans="1:19" s="1" customFormat="1" x14ac:dyDescent="0.25">
      <c r="A6" s="1" t="s">
        <v>83</v>
      </c>
      <c r="B6" s="1">
        <v>8000</v>
      </c>
      <c r="D6" s="1" t="s">
        <v>12</v>
      </c>
      <c r="E6" s="7">
        <v>1E-4</v>
      </c>
    </row>
    <row r="7" spans="1:19" s="1" customFormat="1" x14ac:dyDescent="0.25">
      <c r="A7" t="s">
        <v>82</v>
      </c>
      <c r="B7" s="7">
        <v>1.8E-5</v>
      </c>
      <c r="C7" t="s">
        <v>85</v>
      </c>
      <c r="D7" s="1" t="s">
        <v>83</v>
      </c>
      <c r="E7" s="7">
        <f>E6*B7/B8</f>
        <v>8241.7582417582416</v>
      </c>
    </row>
    <row r="8" spans="1:19" x14ac:dyDescent="0.25">
      <c r="A8" t="s">
        <v>13</v>
      </c>
      <c r="B8">
        <v>2.1840000000000001E-13</v>
      </c>
      <c r="C8" t="s">
        <v>81</v>
      </c>
    </row>
    <row r="9" spans="1:19" x14ac:dyDescent="0.25">
      <c r="A9" t="s">
        <v>12</v>
      </c>
      <c r="B9" s="7">
        <f>(B8*B6)/B7</f>
        <v>9.7066666666666677E-5</v>
      </c>
    </row>
    <row r="10" spans="1:19" ht="15.75" thickBot="1" x14ac:dyDescent="0.3"/>
    <row r="11" spans="1:19" ht="15.75" thickBot="1" x14ac:dyDescent="0.3">
      <c r="A11" s="32" t="s">
        <v>123</v>
      </c>
      <c r="B11" s="33"/>
      <c r="C11" s="34" t="s">
        <v>1</v>
      </c>
      <c r="D11" s="1"/>
      <c r="E11" s="1"/>
      <c r="H11" s="32" t="s">
        <v>123</v>
      </c>
      <c r="I11" s="33"/>
      <c r="J11" s="34" t="s">
        <v>198</v>
      </c>
      <c r="K11" s="1"/>
      <c r="L11" s="1"/>
    </row>
    <row r="12" spans="1:19" ht="15.75" thickBot="1" x14ac:dyDescent="0.3">
      <c r="A12" s="1"/>
      <c r="B12" s="1"/>
      <c r="C12" s="1"/>
      <c r="D12" s="1"/>
      <c r="E12" s="1"/>
      <c r="H12" s="1"/>
      <c r="I12" s="1"/>
      <c r="J12" s="1"/>
      <c r="K12" s="1"/>
      <c r="L12" s="1"/>
    </row>
    <row r="13" spans="1:19" ht="15.75" thickBot="1" x14ac:dyDescent="0.3">
      <c r="A13" s="1" t="s">
        <v>124</v>
      </c>
      <c r="B13" s="35">
        <v>0.1</v>
      </c>
      <c r="C13" s="1"/>
      <c r="D13" s="1"/>
      <c r="E13" s="1"/>
      <c r="H13" s="1" t="s">
        <v>124</v>
      </c>
      <c r="I13" s="35">
        <v>1</v>
      </c>
      <c r="J13" s="1"/>
      <c r="K13" s="1"/>
      <c r="L13" s="1"/>
    </row>
    <row r="14" spans="1:19" ht="15.75" thickBot="1" x14ac:dyDescent="0.3">
      <c r="A14" s="1" t="s">
        <v>125</v>
      </c>
      <c r="B14" s="35">
        <f>400*0.0000001*200/1000</f>
        <v>7.9999999999999996E-6</v>
      </c>
      <c r="C14" s="1" t="s">
        <v>92</v>
      </c>
      <c r="D14" s="1" t="s">
        <v>145</v>
      </c>
      <c r="E14" s="1"/>
      <c r="H14" s="1" t="s">
        <v>125</v>
      </c>
      <c r="I14" s="39">
        <v>1E-3</v>
      </c>
      <c r="J14" s="1" t="s">
        <v>92</v>
      </c>
      <c r="K14" s="1" t="s">
        <v>145</v>
      </c>
      <c r="L14" s="1"/>
      <c r="P14" s="37" t="s">
        <v>128</v>
      </c>
      <c r="Q14" s="37" t="s">
        <v>200</v>
      </c>
      <c r="R14" s="37" t="s">
        <v>201</v>
      </c>
      <c r="S14" s="37" t="s">
        <v>202</v>
      </c>
    </row>
    <row r="15" spans="1:19" x14ac:dyDescent="0.25">
      <c r="A15" s="1" t="s">
        <v>126</v>
      </c>
      <c r="B15" s="1">
        <v>400</v>
      </c>
      <c r="C15" s="1" t="s">
        <v>81</v>
      </c>
      <c r="D15" s="1"/>
      <c r="E15" s="1"/>
      <c r="H15" s="1" t="s">
        <v>126</v>
      </c>
      <c r="I15" s="1">
        <v>80</v>
      </c>
      <c r="J15" s="1" t="s">
        <v>81</v>
      </c>
      <c r="K15" s="1"/>
      <c r="L15" s="1"/>
      <c r="P15">
        <f>60*60*24</f>
        <v>86400</v>
      </c>
      <c r="Q15">
        <v>365</v>
      </c>
      <c r="R15" s="37" t="s">
        <v>199</v>
      </c>
      <c r="S15">
        <v>30</v>
      </c>
    </row>
    <row r="16" spans="1:19" x14ac:dyDescent="0.25">
      <c r="A16" s="1" t="s">
        <v>12</v>
      </c>
      <c r="B16" s="36">
        <f>B14/B15</f>
        <v>2E-8</v>
      </c>
      <c r="C16" s="1" t="s">
        <v>94</v>
      </c>
      <c r="D16" s="1"/>
      <c r="E16" s="1"/>
      <c r="H16" s="1" t="s">
        <v>12</v>
      </c>
      <c r="I16" s="36">
        <f>I14/I15</f>
        <v>1.2500000000000001E-5</v>
      </c>
      <c r="J16" s="1" t="s">
        <v>94</v>
      </c>
      <c r="K16" s="1"/>
      <c r="L16" s="1"/>
      <c r="P16">
        <f>60*60</f>
        <v>3600</v>
      </c>
      <c r="Q16">
        <f>24*365</f>
        <v>8760</v>
      </c>
      <c r="R16" s="37" t="s">
        <v>199</v>
      </c>
      <c r="S16">
        <f>24*30</f>
        <v>720</v>
      </c>
    </row>
    <row r="17" spans="1:12" s="1" customFormat="1" ht="15.75" thickBot="1" x14ac:dyDescent="0.3">
      <c r="A17" s="38" t="s">
        <v>120</v>
      </c>
      <c r="B17" s="36">
        <f>B16/B13</f>
        <v>1.9999999999999999E-7</v>
      </c>
      <c r="D17" s="1" t="s">
        <v>194</v>
      </c>
      <c r="E17" s="1" t="s">
        <v>195</v>
      </c>
      <c r="F17" s="1" t="s">
        <v>196</v>
      </c>
      <c r="H17" s="38" t="s">
        <v>120</v>
      </c>
      <c r="I17" s="36">
        <f>I16/I13</f>
        <v>1.2500000000000001E-5</v>
      </c>
      <c r="K17" s="1" t="s">
        <v>194</v>
      </c>
      <c r="L17" s="1" t="s">
        <v>195</v>
      </c>
    </row>
    <row r="18" spans="1:12" ht="15.75" thickBot="1" x14ac:dyDescent="0.3">
      <c r="A18" s="1" t="s">
        <v>127</v>
      </c>
      <c r="B18" s="35">
        <f>60*60*24</f>
        <v>86400</v>
      </c>
      <c r="C18" s="1" t="s">
        <v>128</v>
      </c>
      <c r="D18" s="1">
        <f>24*365</f>
        <v>8760</v>
      </c>
      <c r="E18" s="1">
        <f>60*60</f>
        <v>3600</v>
      </c>
      <c r="F18">
        <f>E18/30</f>
        <v>120</v>
      </c>
      <c r="H18" s="1" t="s">
        <v>127</v>
      </c>
      <c r="I18" s="35">
        <f>60*60</f>
        <v>3600</v>
      </c>
      <c r="J18" s="1" t="s">
        <v>128</v>
      </c>
      <c r="K18" s="1">
        <v>2160</v>
      </c>
      <c r="L18" s="1">
        <v>3600</v>
      </c>
    </row>
    <row r="19" spans="1:12" ht="15.75" thickBot="1" x14ac:dyDescent="0.3">
      <c r="A19" s="1" t="s">
        <v>129</v>
      </c>
      <c r="B19" s="40">
        <v>2</v>
      </c>
      <c r="C19" s="1" t="s">
        <v>15</v>
      </c>
      <c r="D19" s="1"/>
      <c r="E19" s="1"/>
      <c r="H19" s="1" t="s">
        <v>129</v>
      </c>
      <c r="I19" s="40">
        <f>6/3.5</f>
        <v>1.7142857142857142</v>
      </c>
      <c r="J19" s="1" t="s">
        <v>15</v>
      </c>
      <c r="K19" s="1"/>
      <c r="L19" s="1"/>
    </row>
    <row r="20" spans="1:12" ht="15.75" thickBot="1" x14ac:dyDescent="0.3">
      <c r="A20" s="1" t="s">
        <v>143</v>
      </c>
      <c r="B20" s="39">
        <f>3.14/(950*2650)</f>
        <v>1.2472691161866931E-6</v>
      </c>
      <c r="C20" s="1" t="s">
        <v>15</v>
      </c>
      <c r="D20" s="1"/>
      <c r="E20" s="1"/>
      <c r="H20" s="1" t="s">
        <v>143</v>
      </c>
      <c r="I20" s="39">
        <f>0.31/(1500*1380)</f>
        <v>1.497584541062802E-7</v>
      </c>
      <c r="J20" s="1" t="s">
        <v>15</v>
      </c>
      <c r="K20" s="1"/>
      <c r="L20" s="1"/>
    </row>
    <row r="21" spans="1:12" x14ac:dyDescent="0.25">
      <c r="A21" s="1" t="s">
        <v>197</v>
      </c>
      <c r="B21" s="7">
        <v>0.5</v>
      </c>
      <c r="C21" s="1" t="s">
        <v>15</v>
      </c>
      <c r="D21" s="1"/>
      <c r="E21" s="1"/>
      <c r="H21" s="1" t="s">
        <v>197</v>
      </c>
      <c r="I21" s="7">
        <v>0.5</v>
      </c>
      <c r="J21" s="1" t="s">
        <v>15</v>
      </c>
      <c r="K21" s="1"/>
      <c r="L21" s="1"/>
    </row>
    <row r="22" spans="1:12" s="1" customFormat="1" x14ac:dyDescent="0.25">
      <c r="A22" s="38" t="s">
        <v>238</v>
      </c>
      <c r="B22" s="7">
        <v>0.5</v>
      </c>
      <c r="I22" s="7"/>
    </row>
    <row r="23" spans="1:12" s="1" customFormat="1" x14ac:dyDescent="0.25">
      <c r="A23" s="38" t="s">
        <v>239</v>
      </c>
      <c r="B23" s="7">
        <f>B20+B21*B17</f>
        <v>1.3472691161866933E-6</v>
      </c>
      <c r="H23" s="38" t="s">
        <v>146</v>
      </c>
      <c r="I23" s="7">
        <f>I20+I21*I17</f>
        <v>6.3997584541062802E-6</v>
      </c>
    </row>
    <row r="24" spans="1:12" x14ac:dyDescent="0.25">
      <c r="A24" s="41" t="s">
        <v>130</v>
      </c>
      <c r="B24" s="42">
        <f>B19*B19/2</f>
        <v>2</v>
      </c>
      <c r="C24" s="41" t="s">
        <v>131</v>
      </c>
      <c r="D24" s="1"/>
      <c r="E24" s="1"/>
      <c r="H24" s="41" t="s">
        <v>130</v>
      </c>
      <c r="I24" s="42">
        <f>I19*I19/2</f>
        <v>1.4693877551020407</v>
      </c>
      <c r="J24" s="41" t="s">
        <v>131</v>
      </c>
      <c r="K24" s="1"/>
      <c r="L24" s="1"/>
    </row>
    <row r="25" spans="1:12" x14ac:dyDescent="0.25">
      <c r="A25" s="41" t="s">
        <v>132</v>
      </c>
      <c r="B25" s="42">
        <f>B24*B13</f>
        <v>0.2</v>
      </c>
      <c r="C25" s="41" t="s">
        <v>133</v>
      </c>
      <c r="D25" s="1"/>
      <c r="E25" s="1"/>
      <c r="H25" s="41" t="s">
        <v>132</v>
      </c>
      <c r="I25" s="42">
        <f>I24*I13</f>
        <v>1.4693877551020407</v>
      </c>
      <c r="J25" s="41" t="s">
        <v>133</v>
      </c>
      <c r="K25" s="1"/>
      <c r="L25" s="1"/>
    </row>
    <row r="26" spans="1:12" x14ac:dyDescent="0.25">
      <c r="A26" s="41" t="s">
        <v>134</v>
      </c>
      <c r="B26" s="41">
        <f>B14*B18</f>
        <v>0.69119999999999993</v>
      </c>
      <c r="C26" s="41" t="s">
        <v>92</v>
      </c>
      <c r="D26" s="1"/>
      <c r="E26" s="1"/>
      <c r="H26" s="41" t="s">
        <v>134</v>
      </c>
      <c r="I26" s="41">
        <f>I14*I18</f>
        <v>3.6</v>
      </c>
      <c r="J26" s="41" t="s">
        <v>92</v>
      </c>
      <c r="K26" s="1"/>
      <c r="L26" s="1"/>
    </row>
    <row r="27" spans="1:12" ht="15.75" thickBot="1" x14ac:dyDescent="0.3">
      <c r="A27" s="1"/>
      <c r="B27" s="1"/>
      <c r="C27" s="1"/>
      <c r="D27" s="1"/>
      <c r="E27" s="1"/>
      <c r="H27" s="1"/>
      <c r="I27" s="1"/>
      <c r="J27" s="1"/>
      <c r="K27" s="1"/>
      <c r="L27" s="1"/>
    </row>
    <row r="28" spans="1:12" x14ac:dyDescent="0.25">
      <c r="A28" s="77" t="s">
        <v>10</v>
      </c>
      <c r="B28" s="78">
        <f>B17*B18/B19</f>
        <v>8.6400000000000001E-3</v>
      </c>
      <c r="C28" s="79" t="s">
        <v>135</v>
      </c>
      <c r="D28" s="1" t="s">
        <v>136</v>
      </c>
      <c r="E28" s="1"/>
      <c r="H28" s="77" t="s">
        <v>10</v>
      </c>
      <c r="I28" s="78">
        <f>I17*I18/I19</f>
        <v>2.6250000000000006E-2</v>
      </c>
      <c r="J28" s="79" t="s">
        <v>135</v>
      </c>
      <c r="K28" s="1" t="s">
        <v>136</v>
      </c>
      <c r="L28" s="1"/>
    </row>
    <row r="29" spans="1:12" x14ac:dyDescent="0.25">
      <c r="A29" s="80" t="s">
        <v>9</v>
      </c>
      <c r="B29" s="81">
        <f>B23*B18/(B19*B19)</f>
        <v>2.9101012909632573E-2</v>
      </c>
      <c r="C29" s="82" t="s">
        <v>137</v>
      </c>
      <c r="D29" s="1" t="s">
        <v>138</v>
      </c>
      <c r="E29" s="1"/>
      <c r="H29" s="80" t="s">
        <v>9</v>
      </c>
      <c r="I29" s="81">
        <f>I23*I18/(I19*I19)</f>
        <v>7.8397041062801941E-3</v>
      </c>
      <c r="J29" s="82" t="s">
        <v>137</v>
      </c>
      <c r="K29" s="1" t="s">
        <v>138</v>
      </c>
      <c r="L29" s="1"/>
    </row>
    <row r="30" spans="1:12" ht="15.75" thickBot="1" x14ac:dyDescent="0.3">
      <c r="A30" s="83" t="s">
        <v>74</v>
      </c>
      <c r="B30" s="84">
        <f>B17*B19/B23</f>
        <v>0.29689688214048793</v>
      </c>
      <c r="C30" s="85">
        <f>B19/B21</f>
        <v>4</v>
      </c>
      <c r="D30" s="1" t="s">
        <v>139</v>
      </c>
      <c r="E30" s="1" t="s">
        <v>140</v>
      </c>
      <c r="H30" s="83" t="s">
        <v>74</v>
      </c>
      <c r="I30" s="84">
        <f>I17*I19/I23</f>
        <v>3.3483406572668697</v>
      </c>
      <c r="J30" s="85">
        <f>I19/I21</f>
        <v>3.4285714285714284</v>
      </c>
      <c r="K30" s="1" t="s">
        <v>139</v>
      </c>
      <c r="L30" s="1" t="s">
        <v>140</v>
      </c>
    </row>
    <row r="31" spans="1:12" x14ac:dyDescent="0.25">
      <c r="A31" s="1"/>
      <c r="B31" s="1"/>
      <c r="C31" s="1"/>
      <c r="D31" s="1" t="s">
        <v>141</v>
      </c>
      <c r="E31" s="1" t="s">
        <v>142</v>
      </c>
      <c r="H31" s="1"/>
      <c r="I31" s="1"/>
      <c r="J31" s="1"/>
      <c r="K31" s="1" t="s">
        <v>141</v>
      </c>
      <c r="L31" s="1" t="s">
        <v>142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1D</vt:lpstr>
      <vt:lpstr>2D</vt:lpstr>
      <vt:lpstr>NEWMODEL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2020-01-26T08:26:45Z</dcterms:created>
  <dcterms:modified xsi:type="dcterms:W3CDTF">2020-04-15T10:11:48Z</dcterms:modified>
</cp:coreProperties>
</file>