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8" yWindow="-108" windowWidth="23256" windowHeight="12720" firstSheet="2"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9" i="4" l="1"/>
  <c r="M21" i="4"/>
  <c r="M22" i="4"/>
  <c r="M23" i="4"/>
  <c r="M24" i="4"/>
  <c r="M25" i="4"/>
  <c r="M20" i="4"/>
  <c r="K21" i="4"/>
  <c r="K22" i="4"/>
  <c r="K23" i="4"/>
  <c r="K24" i="4"/>
  <c r="K25" i="4"/>
  <c r="K20" i="4"/>
  <c r="E12" i="1"/>
  <c r="G12" i="1"/>
  <c r="C12" i="1"/>
  <c r="F60" i="4" l="1"/>
  <c r="E54" i="4" l="1"/>
  <c r="F54" i="4" s="1"/>
  <c r="C58" i="4"/>
  <c r="D55" i="4" s="1"/>
  <c r="F57" i="4"/>
  <c r="F55" i="4"/>
  <c r="D54" i="4" l="1"/>
  <c r="D57" i="4"/>
  <c r="D58" i="4"/>
  <c r="D56" i="4"/>
  <c r="F56" i="4"/>
  <c r="F58" i="4"/>
  <c r="F49" i="4"/>
  <c r="E41" i="4"/>
  <c r="F41" i="4" s="1"/>
  <c r="C47" i="4"/>
  <c r="F47" i="4" s="1"/>
  <c r="C46" i="4"/>
  <c r="F46" i="4" s="1"/>
  <c r="C45" i="4"/>
  <c r="C44" i="4"/>
  <c r="F44" i="4" s="1"/>
  <c r="C43" i="4"/>
  <c r="C42" i="4"/>
  <c r="M5" i="4"/>
  <c r="M7" i="4"/>
  <c r="M9" i="4"/>
  <c r="M10" i="4"/>
  <c r="M4" i="4"/>
  <c r="D41" i="4" l="1"/>
  <c r="F61" i="4"/>
  <c r="D43" i="4"/>
  <c r="D45" i="4"/>
  <c r="F43" i="4"/>
  <c r="D42" i="4"/>
  <c r="D46" i="4"/>
  <c r="D47" i="4"/>
  <c r="F45" i="4"/>
  <c r="D44" i="4"/>
  <c r="F42" i="4"/>
  <c r="F48" i="4"/>
  <c r="F50" i="4" s="1"/>
  <c r="K59" i="2"/>
  <c r="K58" i="2"/>
  <c r="K57" i="2"/>
  <c r="E33" i="1" l="1"/>
  <c r="E25" i="1"/>
  <c r="E18" i="1"/>
  <c r="C33" i="1"/>
  <c r="C25" i="1"/>
  <c r="C18" i="1"/>
  <c r="F6" i="1"/>
  <c r="C29" i="1"/>
  <c r="F14" i="1"/>
  <c r="F22" i="1"/>
  <c r="AA4" i="1" l="1"/>
  <c r="AB4" i="1" s="1"/>
  <c r="AC4" i="1" s="1"/>
  <c r="AD4" i="1" s="1"/>
  <c r="AG8" i="1"/>
  <c r="Z9" i="1"/>
  <c r="AA9" i="1"/>
  <c r="AB9" i="1"/>
  <c r="AE10" i="1"/>
  <c r="C27" i="4"/>
  <c r="C21" i="4"/>
  <c r="C22" i="4" s="1"/>
  <c r="C23" i="4" s="1"/>
  <c r="C24"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25" i="1" l="1"/>
  <c r="G34" i="1" l="1"/>
</calcChain>
</file>

<file path=xl/sharedStrings.xml><?xml version="1.0" encoding="utf-8"?>
<sst xmlns="http://schemas.openxmlformats.org/spreadsheetml/2006/main" count="899" uniqueCount="500">
  <si>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</si>
  <si>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</si>
  <si>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</si>
  <si>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</si>
  <si>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</si>
  <si>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</si>
  <si>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</si>
  <si>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</si>
  <si>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</si>
  <si>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</si>
  <si>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</si>
  <si>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</si>
  <si>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</si>
  <si>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</si>
  <si>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</si>
  <si>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</si>
  <si>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</si>
  <si>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</si>
  <si>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</si>
  <si>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</si>
  <si>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</si>
  <si>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</si>
  <si>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</si>
  <si>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</si>
  <si>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</si>
  <si>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</si>
  <si>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</si>
  <si>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</si>
  <si>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</si>
  <si>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</si>
  <si>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</si>
  <si>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</si>
  <si>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</si>
  <si>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</si>
  <si>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</si>
  <si>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</si>
  <si>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</si>
  <si>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</si>
  <si>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</si>
  <si>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</si>
  <si>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</si>
  <si>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</si>
  <si>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</si>
  <si>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</si>
  <si>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</si>
  <si>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</si>
  <si>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</si>
  <si>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</si>
  <si>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</si>
  <si>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</si>
  <si>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</si>
  <si>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</si>
  <si>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</si>
  <si>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</si>
  <si>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</si>
  <si>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</si>
  <si>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</si>
  <si>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</si>
  <si>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</si>
  <si>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</si>
  <si>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</si>
  <si>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</si>
  <si>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</si>
  <si>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</si>
  <si>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</si>
  <si>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</si>
  <si>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</si>
  <si>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</si>
  <si>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</si>
  <si>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</si>
  <si>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</si>
  <si>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</si>
  <si>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</si>
  <si>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</si>
  <si>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</si>
  <si>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</si>
  <si>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</si>
  <si>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</si>
  <si>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</si>
  <si>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</si>
  <si>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</si>
  <si>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</si>
  <si>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</si>
  <si>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</si>
  <si>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</si>
  <si>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</si>
  <si>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</si>
  <si>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</si>
  <si>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</si>
  <si>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</si>
  <si>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</si>
  <si>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</si>
  <si>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</si>
  <si>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</si>
  <si>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</si>
  <si>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</si>
  <si>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</si>
  <si>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</si>
  <si>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</si>
  <si>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</si>
  <si>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</si>
  <si>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</si>
  <si>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</si>
  <si>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</si>
  <si>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</si>
  <si>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</si>
  <si>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</si>
  <si>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</si>
  <si>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</si>
  <si>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</si>
  <si>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</si>
  <si>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</si>
  <si>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</si>
  <si>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</si>
  <si>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</si>
  <si>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</si>
  <si>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</si>
  <si>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</si>
  <si>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</si>
  <si>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</si>
  <si>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</si>
  <si>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</si>
  <si>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</si>
  <si>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</si>
  <si>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</si>
  <si>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</si>
  <si>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</si>
  <si>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</si>
  <si>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</si>
  <si>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</si>
  <si>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</si>
  <si>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</si>
  <si>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</si>
  <si>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</si>
  <si>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</si>
  <si>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</si>
  <si>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</si>
  <si>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</si>
  <si>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</si>
  <si>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</si>
  <si>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</si>
  <si>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</si>
  <si>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</si>
  <si>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</si>
  <si>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</si>
  <si>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</si>
  <si>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</si>
  <si>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</si>
  <si>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</si>
  <si>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</si>
  <si>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</si>
  <si>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</si>
  <si>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</si>
  <si>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</si>
  <si>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</si>
  <si>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</si>
  <si>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</si>
  <si>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</si>
  <si>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</si>
  <si>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</si>
  <si>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</si>
  <si>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</si>
  <si>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</si>
  <si>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</si>
  <si>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</si>
  <si>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</si>
  <si>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</si>
  <si>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</si>
  <si>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</si>
  <si>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</si>
  <si>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</si>
  <si>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</si>
  <si>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</si>
  <si>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</si>
  <si>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</si>
  <si>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</si>
  <si>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</si>
  <si>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</si>
  <si>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</si>
  <si>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</si>
  <si>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</si>
  <si>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</si>
  <si>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</si>
  <si>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</si>
  <si>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</si>
  <si>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</si>
  <si>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</si>
  <si>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</si>
  <si>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</si>
  <si>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</si>
  <si>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</si>
  <si>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</si>
  <si>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</si>
  <si>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</si>
  <si>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</si>
  <si>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</si>
  <si>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</si>
  <si>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</si>
  <si>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</si>
  <si>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</si>
  <si>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</si>
  <si>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</si>
  <si>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</si>
  <si>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</si>
  <si>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</si>
  <si>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</si>
  <si>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</si>
  <si>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</si>
  <si>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</si>
  <si>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</si>
  <si>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</si>
  <si>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</si>
  <si>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</si>
  <si>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</si>
  <si>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</si>
  <si>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</si>
  <si>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</si>
  <si>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</si>
  <si>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</si>
  <si>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</si>
  <si>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</si>
  <si>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</si>
  <si>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</si>
  <si>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</si>
  <si>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</si>
  <si>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</si>
  <si>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</si>
  <si>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</si>
  <si>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</si>
  <si>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</si>
  <si>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</si>
  <si>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</si>
  <si>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</si>
  <si>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</si>
  <si>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</si>
  <si>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</si>
  <si>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</si>
  <si>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</si>
  <si>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</si>
  <si>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</si>
  <si>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</si>
  <si>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</si>
  <si>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</si>
  <si>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</si>
  <si>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</si>
  <si>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</si>
  <si>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</si>
  <si>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</si>
  <si>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</si>
  <si>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</si>
  <si>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</si>
  <si>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</si>
  <si>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</si>
  <si>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</si>
  <si>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</si>
  <si>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</si>
  <si>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</si>
  <si>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</si>
  <si>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</si>
  <si>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</si>
  <si>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</si>
  <si>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</si>
  <si>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</si>
  <si>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</si>
  <si>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</si>
  <si>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</si>
  <si>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</si>
  <si>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</si>
  <si>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</si>
  <si>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</si>
  <si>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</si>
  <si>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</si>
  <si>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</si>
  <si>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</si>
  <si>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</si>
  <si>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</si>
  <si>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</si>
  <si>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</si>
  <si>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</si>
  <si>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</si>
  <si>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</si>
  <si>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</si>
  <si>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</si>
  <si>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</si>
  <si>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</si>
  <si>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</si>
  <si>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</si>
  <si>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</si>
  <si>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</si>
  <si>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</si>
  <si>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</si>
  <si>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</si>
  <si>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</si>
  <si>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</si>
  <si>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</si>
  <si>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</si>
  <si>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</si>
  <si>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</si>
  <si>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</si>
  <si>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</si>
  <si>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</si>
  <si>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</si>
  <si>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</si>
  <si>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</si>
  <si>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</si>
  <si>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</si>
  <si>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</si>
  <si>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</si>
  <si>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</si>
  <si>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</si>
  <si>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</si>
  <si>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</si>
  <si>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</si>
  <si>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</si>
  <si>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</si>
  <si>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</si>
  <si>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</si>
  <si>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</si>
  <si>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</si>
  <si>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</si>
  <si>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</si>
  <si>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</si>
  <si>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</si>
  <si>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</si>
  <si>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</si>
  <si>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</si>
  <si>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</si>
  <si>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</si>
  <si>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</si>
  <si>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</si>
  <si>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</si>
  <si>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</si>
  <si>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</si>
  <si>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</si>
  <si>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</si>
  <si>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</si>
  <si>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</si>
  <si>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</si>
  <si>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</si>
  <si>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</si>
  <si>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</si>
  <si>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</si>
  <si>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</si>
  <si>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</si>
  <si>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</si>
  <si>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</si>
  <si>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</si>
  <si>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</si>
  <si>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</si>
  <si>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</si>
  <si>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</si>
  <si>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</si>
  <si>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</si>
  <si>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</si>
  <si>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</si>
  <si>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</si>
  <si>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</si>
  <si>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</si>
  <si>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</si>
  <si>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</si>
  <si>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</si>
  <si>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</si>
  <si>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</si>
  <si>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</si>
  <si>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</si>
  <si>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</si>
  <si>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</si>
  <si>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</si>
  <si>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</si>
  <si>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</si>
  <si>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</si>
  <si>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</si>
  <si>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</si>
  <si>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</si>
  <si>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</si>
  <si>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</si>
  <si>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</si>
  <si>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</si>
  <si>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</si>
  <si>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</si>
  <si>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</si>
  <si>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</si>
  <si>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</si>
  <si>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</si>
  <si>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</si>
  <si>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</si>
  <si>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</si>
  <si>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</si>
  <si>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</si>
  <si>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</si>
  <si>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</si>
  <si>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</si>
  <si>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</si>
  <si>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</si>
  <si>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</si>
  <si>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</si>
  <si>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</si>
  <si>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</si>
  <si>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</si>
  <si>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</si>
  <si>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</si>
  <si>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</si>
  <si>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</si>
  <si>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</si>
  <si>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</si>
  <si>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</si>
  <si>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</si>
  <si>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</si>
  <si>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</si>
  <si>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plot geothermal gradient with cond vs heat production</t>
  </si>
  <si>
    <t>Busby (2019)</t>
  </si>
  <si>
    <t>Burley et al., 1984</t>
  </si>
  <si>
    <t>Carrington-1 (Monaghan and Brown, 2014)</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</si>
  <si>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</si>
  <si>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</si>
  <si>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</si>
  <si>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</si>
  <si>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</si>
  <si>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</si>
  <si>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</si>
  <si>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</si>
  <si>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</si>
  <si>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</si>
  <si>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</si>
  <si>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</si>
  <si>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</si>
  <si>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</si>
  <si>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</si>
  <si>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</si>
  <si>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</si>
  <si>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</si>
  <si>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</si>
  <si>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</si>
  <si>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</si>
  <si>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</si>
  <si>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</si>
  <si>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</si>
  <si>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</si>
  <si>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</si>
  <si>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</si>
  <si>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</si>
  <si>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</si>
  <si>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</si>
  <si>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</si>
  <si>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</si>
  <si>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</si>
  <si>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</si>
  <si>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</si>
  <si>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</si>
  <si>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</si>
  <si>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</si>
  <si>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</si>
  <si>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 xml:space="preserve"> Heat flow (mW/m2)</t>
  </si>
  <si>
    <t>2,1*</t>
  </si>
  <si>
    <t>*Kirkwood Fm conductivity</t>
  </si>
  <si>
    <t>4,19**</t>
  </si>
  <si>
    <t>**Clyde Sandstone Fm Conductivity</t>
  </si>
  <si>
    <t>AVERAGE RHP (µW/m3):</t>
  </si>
  <si>
    <t>TOTAL RHP (W):</t>
  </si>
  <si>
    <t>RHP</t>
  </si>
  <si>
    <t>Limestone</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</si>
  <si>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</si>
  <si>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</si>
  <si>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</si>
  <si>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</si>
  <si>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</si>
  <si>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</si>
  <si>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</si>
  <si>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</si>
  <si>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</si>
  <si>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</si>
  <si>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</si>
  <si>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</si>
  <si>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</si>
  <si>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</si>
  <si>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</si>
  <si>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RHP (W/m3)</t>
  </si>
  <si>
    <t>RHP (J/s)</t>
  </si>
  <si>
    <t>%thickness</t>
  </si>
  <si>
    <t>Q</t>
  </si>
  <si>
    <t>L/s</t>
  </si>
  <si>
    <t>kg</t>
  </si>
  <si>
    <t>rho</t>
  </si>
  <si>
    <t>Kg/m3</t>
  </si>
  <si>
    <t>V</t>
  </si>
  <si>
    <t>m3</t>
  </si>
  <si>
    <t xml:space="preserve"> Dalkeith (full thickness)</t>
  </si>
  <si>
    <t>Carrington-1:</t>
  </si>
  <si>
    <t>Groundwater composition</t>
  </si>
  <si>
    <t>Siltstone CM</t>
  </si>
  <si>
    <t>Mudstone CM</t>
  </si>
  <si>
    <t>Coal</t>
  </si>
  <si>
    <t>Calculated harmonic mean</t>
  </si>
  <si>
    <t>Calculated harmonic mean (W/m3)</t>
  </si>
  <si>
    <t>Average RHP</t>
  </si>
  <si>
    <t>Average conductivity :</t>
  </si>
  <si>
    <t>Gradient :</t>
  </si>
  <si>
    <t>Heat flux :</t>
  </si>
  <si>
    <t>Midlothian  Model</t>
  </si>
  <si>
    <t>Reference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</si>
</sst>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
  </numFmts>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theme="6"/>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3">
    <xf numFmtId="0" fontId="0" fillId="0" borderId="0"/>
    <xf numFmtId="0" fontId="3" fillId="0" borderId="0"/>
    <xf numFmtId="0" fontId="9" fillId="0" borderId="0"/>
  </cellStyleXfs>
  <cellXfs count="326">
    <xf numFmtId="0" fontId="0" fillId="0" borderId="0" xfId="0"/>
    <xf numFmtId="0" fontId="0" fillId="0" borderId="0" xfId="0" applyAlignment="1">
      <alignment horizontal="center" vertical="center"/>
    </xf>
    <xf numFmtId="0" fontId="0" fillId="0" borderId="0" xfId="0" applyAlignment="1">
      <alignment horizontal="right"/>
    </xf>
    <xf numFmtId="0" fontId="0" fillId="0" borderId="0" xfId="0" applyNumberFormat="1" applyAlignment="1">
      <alignment horizontal="right"/>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2" xfId="0" applyFill="1" applyBorder="1"/>
    <xf numFmtId="0" fontId="0" fillId="3" borderId="12" xfId="0" applyFill="1" applyBorder="1" applyAlignment="1">
      <alignment horizontal="right"/>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xf numFmtId="0" fontId="0" fillId="3" borderId="0" xfId="0" applyFill="1" applyBorder="1" applyAlignment="1">
      <alignment horizontal="right"/>
    </xf>
    <xf numFmtId="0" fontId="0" fillId="3" borderId="5" xfId="0" applyFill="1" applyBorder="1"/>
    <xf numFmtId="0" fontId="0" fillId="3" borderId="0" xfId="0" applyNumberFormat="1" applyFill="1" applyBorder="1" applyAlignment="1">
      <alignment horizontal="right"/>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xf numFmtId="0" fontId="0" fillId="3" borderId="0" xfId="0" applyFill="1" applyAlignment="1">
      <alignment horizontal="right"/>
    </xf>
    <xf numFmtId="0" fontId="0" fillId="3" borderId="0" xfId="0" applyNumberFormat="1" applyFill="1" applyAlignment="1">
      <alignment horizontal="right"/>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4" borderId="14" xfId="1" applyFont="1" applyFill="1" applyBorder="1" applyAlignment="1">
      <alignment horizontal="left" vertical="top" wrapText="1" indent="1"/>
    </xf>
    <xf numFmtId="0" fontId="7" fillId="4" borderId="14" xfId="1" applyFont="1" applyFill="1" applyBorder="1" applyAlignment="1">
      <alignment horizontal="left" vertical="top" wrapText="1"/>
    </xf>
    <xf numFmtId="0" fontId="8" fillId="5" borderId="14" xfId="1" applyFont="1" applyFill="1" applyBorder="1" applyAlignment="1">
      <alignment vertical="top" wrapText="1" indent="1"/>
    </xf>
    <xf numFmtId="0" fontId="8" fillId="5" borderId="14" xfId="1" applyFont="1" applyFill="1" applyBorder="1" applyAlignment="1">
      <alignment vertical="top" wrapText="1"/>
    </xf>
    <xf numFmtId="0" fontId="8" fillId="4" borderId="14" xfId="1" applyFont="1" applyFill="1" applyBorder="1" applyAlignment="1">
      <alignment vertical="top" wrapText="1" indent="1"/>
    </xf>
    <xf numFmtId="0" fontId="8" fillId="4"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2"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4" borderId="0" xfId="1" applyFont="1" applyFill="1" applyBorder="1" applyAlignment="1">
      <alignment vertical="top" wrapText="1"/>
    </xf>
    <xf numFmtId="0" fontId="8" fillId="5" borderId="0" xfId="1" applyFont="1" applyFill="1" applyBorder="1" applyAlignment="1">
      <alignment vertical="top"/>
    </xf>
    <xf numFmtId="0" fontId="12" fillId="0" borderId="0" xfId="0" applyFont="1" applyFill="1" applyAlignment="1">
      <alignment vertical="center" wrapText="1"/>
    </xf>
    <xf numFmtId="0" fontId="13" fillId="2" borderId="29" xfId="0" applyFont="1" applyFill="1" applyBorder="1" applyAlignment="1">
      <alignment horizontal="left"/>
    </xf>
    <xf numFmtId="0" fontId="12" fillId="2" borderId="29" xfId="0" applyFont="1" applyFill="1" applyBorder="1" applyAlignment="1">
      <alignment horizontal="left"/>
    </xf>
    <xf numFmtId="0" fontId="12" fillId="2" borderId="21" xfId="0" applyFont="1" applyFill="1" applyBorder="1" applyAlignment="1">
      <alignment horizontal="left"/>
    </xf>
    <xf numFmtId="0" fontId="12" fillId="2" borderId="17" xfId="0" applyFont="1" applyFill="1" applyBorder="1" applyAlignment="1">
      <alignment horizontal="left" vertical="center"/>
    </xf>
    <xf numFmtId="0" fontId="12" fillId="2" borderId="15" xfId="0" applyFont="1" applyFill="1" applyBorder="1" applyAlignment="1">
      <alignment horizontal="left" vertical="center"/>
    </xf>
    <xf numFmtId="0" fontId="3" fillId="2" borderId="0" xfId="1" applyFont="1" applyFill="1" applyAlignment="1"/>
    <xf numFmtId="0" fontId="8" fillId="2" borderId="14" xfId="1" applyFont="1" applyFill="1" applyBorder="1" applyAlignment="1">
      <alignment vertical="top" wrapText="1" indent="1"/>
    </xf>
    <xf numFmtId="0" fontId="8" fillId="2"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3" fillId="0" borderId="30" xfId="0" applyFont="1" applyFill="1" applyBorder="1"/>
    <xf numFmtId="0" fontId="13" fillId="0" borderId="31" xfId="0" applyFont="1" applyFill="1" applyBorder="1"/>
    <xf numFmtId="0" fontId="14" fillId="0" borderId="0" xfId="0" applyFont="1"/>
    <xf numFmtId="0" fontId="15" fillId="0" borderId="0" xfId="0" applyFont="1"/>
    <xf numFmtId="0" fontId="12" fillId="0" borderId="9" xfId="0" applyFont="1" applyFill="1" applyBorder="1"/>
    <xf numFmtId="0" fontId="12" fillId="0" borderId="8" xfId="0" applyFont="1" applyFill="1" applyBorder="1"/>
    <xf numFmtId="0" fontId="13" fillId="0" borderId="36" xfId="0" applyFont="1" applyFill="1" applyBorder="1"/>
    <xf numFmtId="0" fontId="12" fillId="0" borderId="37" xfId="2" applyFont="1" applyFill="1" applyBorder="1" applyAlignment="1">
      <alignment horizontal="right"/>
    </xf>
    <xf numFmtId="0" fontId="12" fillId="0" borderId="38" xfId="2" applyFont="1" applyFill="1" applyBorder="1" applyAlignment="1">
      <alignment horizontal="right"/>
    </xf>
    <xf numFmtId="0" fontId="12" fillId="0" borderId="39"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3" xfId="0" applyBorder="1"/>
    <xf numFmtId="0" fontId="0" fillId="0" borderId="44" xfId="0" applyBorder="1"/>
    <xf numFmtId="0" fontId="14" fillId="0" borderId="44" xfId="0" applyFont="1" applyBorder="1"/>
    <xf numFmtId="0" fontId="0" fillId="0" borderId="44" xfId="0" applyBorder="1" applyAlignment="1">
      <alignment wrapText="1"/>
    </xf>
    <xf numFmtId="0" fontId="15" fillId="0" borderId="44" xfId="0" applyFont="1" applyBorder="1"/>
    <xf numFmtId="0" fontId="14" fillId="0" borderId="45" xfId="0" applyFont="1" applyBorder="1"/>
    <xf numFmtId="0" fontId="0" fillId="0" borderId="40" xfId="0" applyBorder="1"/>
    <xf numFmtId="0" fontId="0" fillId="0" borderId="41" xfId="0" applyBorder="1"/>
    <xf numFmtId="0" fontId="12" fillId="0" borderId="22" xfId="0" applyFont="1" applyFill="1" applyBorder="1" applyAlignment="1">
      <alignment horizontal="center" vertical="center"/>
    </xf>
    <xf numFmtId="0" fontId="12" fillId="0" borderId="17"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20" xfId="0" applyFont="1" applyFill="1" applyBorder="1" applyAlignment="1">
      <alignment horizontal="center" vertical="center"/>
    </xf>
    <xf numFmtId="0" fontId="12" fillId="0" borderId="42" xfId="0" applyFont="1" applyFill="1" applyBorder="1" applyAlignment="1">
      <alignment horizontal="center" vertical="center"/>
    </xf>
    <xf numFmtId="0" fontId="12" fillId="2" borderId="1" xfId="0" applyFont="1" applyFill="1" applyBorder="1" applyAlignment="1">
      <alignment horizontal="center"/>
    </xf>
    <xf numFmtId="0" fontId="12" fillId="0" borderId="41" xfId="0" applyFont="1" applyFill="1" applyBorder="1" applyAlignment="1">
      <alignment horizontal="center" vertical="center"/>
    </xf>
    <xf numFmtId="0" fontId="12" fillId="0" borderId="0" xfId="0" applyFont="1" applyFill="1" applyAlignment="1">
      <alignment horizontal="right"/>
    </xf>
    <xf numFmtId="0" fontId="12" fillId="7" borderId="15" xfId="2" applyFont="1" applyFill="1" applyBorder="1"/>
    <xf numFmtId="0" fontId="12" fillId="7" borderId="38" xfId="2" applyFont="1" applyFill="1" applyBorder="1" applyAlignment="1">
      <alignment horizontal="right"/>
    </xf>
    <xf numFmtId="0" fontId="12" fillId="7" borderId="16" xfId="0" applyFont="1" applyFill="1" applyBorder="1"/>
    <xf numFmtId="0" fontId="12" fillId="7" borderId="15" xfId="0" applyFont="1" applyFill="1" applyBorder="1"/>
    <xf numFmtId="0" fontId="12" fillId="7" borderId="17" xfId="0" applyFont="1" applyFill="1" applyBorder="1"/>
    <xf numFmtId="0" fontId="13" fillId="7" borderId="16" xfId="0" applyFont="1" applyFill="1" applyBorder="1" applyAlignment="1">
      <alignment horizontal="left"/>
    </xf>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8" fillId="0" borderId="0" xfId="1" applyFont="1" applyBorder="1" applyAlignment="1">
      <alignment horizontal="center" vertical="top"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0" xfId="0" applyFont="1" applyAlignment="1">
      <alignment horizontal="center" wrapText="1"/>
    </xf>
    <xf numFmtId="0" fontId="12" fillId="0" borderId="46"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9" borderId="4" xfId="0" applyFill="1" applyBorder="1"/>
    <xf numFmtId="9" fontId="0" fillId="9" borderId="0" xfId="0" applyNumberFormat="1" applyFill="1" applyBorder="1" applyAlignment="1">
      <alignment horizontal="right"/>
    </xf>
    <xf numFmtId="11" fontId="0" fillId="9" borderId="0" xfId="0" applyNumberFormat="1" applyFill="1" applyBorder="1" applyAlignment="1">
      <alignment horizontal="right"/>
    </xf>
    <xf numFmtId="0" fontId="0" fillId="9" borderId="5" xfId="0" applyFill="1" applyBorder="1"/>
    <xf numFmtId="0" fontId="0" fillId="9" borderId="5" xfId="0" applyFill="1" applyBorder="1" applyAlignment="1">
      <alignment horizontal="right"/>
    </xf>
    <xf numFmtId="0" fontId="0" fillId="9" borderId="0" xfId="0" applyFill="1" applyBorder="1"/>
    <xf numFmtId="0" fontId="0" fillId="9" borderId="4" xfId="0" applyFill="1" applyBorder="1" applyAlignment="1">
      <alignment horizontal="center" vertical="center" wrapText="1"/>
    </xf>
    <xf numFmtId="11" fontId="0" fillId="9" borderId="0" xfId="0" applyNumberFormat="1" applyFill="1" applyBorder="1"/>
    <xf numFmtId="0" fontId="0" fillId="9" borderId="0" xfId="0" applyFill="1" applyBorder="1" applyAlignment="1">
      <alignment horizontal="right"/>
    </xf>
    <xf numFmtId="0" fontId="0" fillId="9" borderId="9" xfId="0" applyFill="1" applyBorder="1"/>
    <xf numFmtId="0" fontId="0" fillId="9" borderId="10" xfId="0" applyFill="1" applyBorder="1"/>
    <xf numFmtId="0" fontId="0" fillId="9" borderId="0" xfId="0" applyNumberFormat="1" applyFill="1" applyBorder="1" applyAlignment="1">
      <alignment horizontal="right"/>
    </xf>
    <xf numFmtId="0" fontId="0" fillId="9" borderId="2" xfId="0" applyNumberFormat="1" applyFill="1" applyBorder="1" applyAlignment="1">
      <alignment horizontal="right"/>
    </xf>
    <xf numFmtId="0" fontId="0" fillId="9" borderId="6" xfId="0" applyFill="1" applyBorder="1" applyAlignment="1">
      <alignment horizontal="left" vertical="center"/>
    </xf>
    <xf numFmtId="0" fontId="0" fillId="9" borderId="7" xfId="0" applyFill="1" applyBorder="1" applyAlignment="1">
      <alignment horizontal="center" vertical="center"/>
    </xf>
    <xf numFmtId="0" fontId="1" fillId="9" borderId="8" xfId="0" applyFont="1" applyFill="1" applyBorder="1" applyAlignment="1">
      <alignment horizontal="right"/>
    </xf>
    <xf numFmtId="0" fontId="1" fillId="9" borderId="9" xfId="0" applyFont="1" applyFill="1" applyBorder="1" applyAlignment="1">
      <alignment horizontal="right"/>
    </xf>
    <xf numFmtId="1" fontId="1" fillId="9" borderId="9" xfId="0" applyNumberFormat="1" applyFont="1" applyFill="1" applyBorder="1"/>
    <xf numFmtId="9" fontId="1" fillId="9" borderId="9" xfId="0" applyNumberFormat="1" applyFont="1" applyFill="1" applyBorder="1" applyAlignment="1">
      <alignment horizontal="left"/>
    </xf>
    <xf numFmtId="0" fontId="0" fillId="8" borderId="10" xfId="0" applyFill="1" applyBorder="1" applyAlignment="1">
      <alignment horizontal="right"/>
    </xf>
    <xf numFmtId="0" fontId="0" fillId="8" borderId="8" xfId="0" applyFill="1" applyBorder="1"/>
    <xf numFmtId="0" fontId="0" fillId="8" borderId="9" xfId="0" applyFill="1" applyBorder="1"/>
    <xf numFmtId="0" fontId="0" fillId="8" borderId="10" xfId="0" applyFill="1" applyBorder="1"/>
    <xf numFmtId="0" fontId="0" fillId="8" borderId="1" xfId="0" applyFill="1" applyBorder="1" applyAlignment="1">
      <alignment horizontal="right"/>
    </xf>
    <xf numFmtId="0" fontId="0" fillId="8" borderId="1" xfId="0" applyFill="1" applyBorder="1" applyAlignment="1">
      <alignment horizontal="center" vertical="center"/>
    </xf>
    <xf numFmtId="0" fontId="0" fillId="8" borderId="1" xfId="0" applyNumberFormat="1" applyFill="1" applyBorder="1" applyAlignment="1">
      <alignment horizontal="right"/>
    </xf>
    <xf numFmtId="0" fontId="1" fillId="9" borderId="2" xfId="0" applyFont="1" applyFill="1" applyBorder="1" applyAlignment="1">
      <alignment horizontal="center" vertical="center" wrapText="1"/>
    </xf>
    <xf numFmtId="0" fontId="1" fillId="9" borderId="2" xfId="0" applyFont="1" applyFill="1" applyBorder="1" applyAlignment="1">
      <alignment horizontal="right" vertical="center" wrapText="1"/>
    </xf>
    <xf numFmtId="0" fontId="1" fillId="8"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11" fontId="0" fillId="8" borderId="9" xfId="0" applyNumberFormat="1" applyFill="1" applyBorder="1"/>
    <xf numFmtId="0" fontId="0" fillId="10" borderId="8" xfId="0" applyFill="1" applyBorder="1" applyAlignment="1">
      <alignment horizontal="center" vertical="center"/>
    </xf>
    <xf numFmtId="0" fontId="0" fillId="10" borderId="8" xfId="0" applyFill="1" applyBorder="1" applyAlignment="1">
      <alignment horizontal="center" vertical="center" wrapText="1"/>
    </xf>
    <xf numFmtId="0" fontId="0" fillId="3" borderId="13" xfId="0" applyFill="1" applyBorder="1" applyAlignment="1">
      <alignment horizontal="left"/>
    </xf>
    <xf numFmtId="0" fontId="0" fillId="3" borderId="5" xfId="0" applyFill="1" applyBorder="1" applyAlignment="1">
      <alignment horizontal="left"/>
    </xf>
    <xf numFmtId="0" fontId="0" fillId="9" borderId="0" xfId="0" applyFill="1" applyBorder="1" applyAlignment="1">
      <alignment horizontal="center" vertical="center"/>
    </xf>
    <xf numFmtId="0" fontId="1" fillId="9" borderId="3" xfId="0" applyFont="1" applyFill="1" applyBorder="1" applyAlignment="1">
      <alignment horizontal="center" vertical="center" wrapText="1"/>
    </xf>
    <xf numFmtId="0" fontId="0" fillId="9" borderId="6" xfId="0" applyFill="1" applyBorder="1" applyAlignment="1">
      <alignment horizontal="center" vertical="center" wrapText="1"/>
    </xf>
    <xf numFmtId="0" fontId="0" fillId="9" borderId="6" xfId="0" applyFill="1" applyBorder="1"/>
    <xf numFmtId="9" fontId="0" fillId="9" borderId="7" xfId="0" applyNumberFormat="1" applyFill="1" applyBorder="1" applyAlignment="1">
      <alignment horizontal="right"/>
    </xf>
    <xf numFmtId="0" fontId="0" fillId="9" borderId="7" xfId="0" applyNumberFormat="1" applyFill="1" applyBorder="1" applyAlignment="1">
      <alignment horizontal="right"/>
    </xf>
    <xf numFmtId="0" fontId="0" fillId="9" borderId="3" xfId="0" applyNumberFormat="1" applyFill="1" applyBorder="1" applyAlignment="1">
      <alignment horizontal="right"/>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8" xfId="0" applyBorder="1" applyAlignment="1">
      <alignment horizontal="center" vertical="center"/>
    </xf>
    <xf numFmtId="0" fontId="1" fillId="8" borderId="8" xfId="0" applyNumberFormat="1" applyFont="1" applyFill="1" applyBorder="1" applyAlignment="1">
      <alignment horizontal="right"/>
    </xf>
    <xf numFmtId="165" fontId="1" fillId="8" borderId="10" xfId="0" applyNumberFormat="1" applyFont="1" applyFill="1" applyBorder="1" applyAlignment="1">
      <alignment horizontal="right"/>
    </xf>
    <xf numFmtId="0" fontId="1" fillId="8" borderId="9" xfId="0" applyNumberFormat="1" applyFont="1" applyFill="1" applyBorder="1" applyAlignment="1">
      <alignment horizontal="right"/>
    </xf>
    <xf numFmtId="164" fontId="1" fillId="8" borderId="10" xfId="0" applyNumberFormat="1" applyFont="1" applyFill="1" applyBorder="1"/>
    <xf numFmtId="0" fontId="1" fillId="8" borderId="8" xfId="0" applyFont="1" applyFill="1" applyBorder="1"/>
    <xf numFmtId="164" fontId="1" fillId="8" borderId="9" xfId="0" applyNumberFormat="1" applyFont="1" applyFill="1" applyBorder="1"/>
    <xf numFmtId="0" fontId="1" fillId="8" borderId="9" xfId="0" applyFont="1" applyFill="1" applyBorder="1" applyAlignment="1">
      <alignment horizontal="right"/>
    </xf>
    <xf numFmtId="0" fontId="1" fillId="0" borderId="1" xfId="0" applyFont="1" applyBorder="1" applyAlignment="1">
      <alignment horizontal="center" vertical="center"/>
    </xf>
    <xf numFmtId="0" fontId="1" fillId="1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3" fillId="0" borderId="23"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25"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horizontal="center"/>
    </xf>
    <xf numFmtId="11"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3" fillId="0" borderId="8" xfId="0" applyFont="1" applyFill="1" applyBorder="1" applyAlignment="1">
      <alignment horizontal="right"/>
    </xf>
    <xf numFmtId="0" fontId="13" fillId="0" borderId="6" xfId="0" applyFont="1" applyFill="1" applyBorder="1" applyAlignment="1">
      <alignment horizontal="right"/>
    </xf>
    <xf numFmtId="0" fontId="13" fillId="3" borderId="13" xfId="0" applyFont="1" applyFill="1" applyBorder="1" applyAlignment="1">
      <alignment horizontal="center" vertical="center"/>
    </xf>
    <xf numFmtId="0" fontId="12" fillId="0" borderId="28" xfId="0" applyFont="1" applyFill="1" applyBorder="1" applyAlignment="1">
      <alignment horizontal="center" vertical="center"/>
    </xf>
    <xf numFmtId="0" fontId="12" fillId="0" borderId="40" xfId="0" applyFont="1" applyFill="1" applyBorder="1" applyAlignment="1">
      <alignment horizontal="center" vertical="center"/>
    </xf>
    <xf numFmtId="0" fontId="12" fillId="0" borderId="4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39" xfId="0" applyFont="1" applyFill="1" applyBorder="1" applyAlignment="1">
      <alignment horizontal="center" vertical="center"/>
    </xf>
    <xf numFmtId="11" fontId="12" fillId="0" borderId="40" xfId="0" applyNumberFormat="1" applyFont="1" applyFill="1" applyBorder="1" applyAlignment="1">
      <alignment horizontal="center" wrapText="1"/>
    </xf>
    <xf numFmtId="11" fontId="12" fillId="0" borderId="41" xfId="0" applyNumberFormat="1" applyFont="1" applyFill="1" applyBorder="1" applyAlignment="1">
      <alignment horizontal="center" wrapText="1"/>
    </xf>
    <xf numFmtId="11" fontId="12" fillId="0" borderId="41" xfId="0" applyNumberFormat="1"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2" borderId="8" xfId="0" applyFont="1" applyFill="1" applyBorder="1" applyAlignment="1">
      <alignment horizontal="center"/>
    </xf>
    <xf numFmtId="0" fontId="13" fillId="0" borderId="46"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3" borderId="0" xfId="0" applyFont="1" applyFill="1" applyAlignment="1">
      <alignment vertical="center" wrapText="1"/>
    </xf>
    <xf numFmtId="0" fontId="12" fillId="3" borderId="0" xfId="0" applyFont="1" applyFill="1" applyBorder="1"/>
    <xf numFmtId="0" fontId="12" fillId="3" borderId="0" xfId="0" applyFont="1" applyFill="1"/>
    <xf numFmtId="0" fontId="12" fillId="3" borderId="0" xfId="0" applyFont="1" applyFill="1" applyBorder="1" applyAlignment="1">
      <alignment vertical="center" wrapText="1"/>
    </xf>
    <xf numFmtId="0" fontId="13" fillId="3" borderId="8" xfId="0" applyFont="1" applyFill="1" applyBorder="1" applyAlignment="1">
      <alignment horizontal="center"/>
    </xf>
    <xf numFmtId="0" fontId="13" fillId="3" borderId="9" xfId="0" applyFont="1" applyFill="1" applyBorder="1" applyAlignment="1">
      <alignment horizontal="center"/>
    </xf>
    <xf numFmtId="0" fontId="12" fillId="3" borderId="12" xfId="0" applyFont="1" applyFill="1" applyBorder="1"/>
    <xf numFmtId="0" fontId="12" fillId="3" borderId="5" xfId="0" applyFont="1" applyFill="1" applyBorder="1"/>
    <xf numFmtId="0" fontId="12" fillId="2" borderId="33" xfId="0" applyFont="1" applyFill="1" applyBorder="1" applyAlignment="1">
      <alignment horizontal="center"/>
    </xf>
    <xf numFmtId="0" fontId="12" fillId="2" borderId="12" xfId="0" applyFont="1" applyFill="1" applyBorder="1" applyAlignment="1">
      <alignment horizontal="center"/>
    </xf>
    <xf numFmtId="0" fontId="12" fillId="2" borderId="34" xfId="0" applyFont="1" applyFill="1" applyBorder="1" applyAlignment="1">
      <alignment horizontal="center"/>
    </xf>
    <xf numFmtId="0" fontId="12" fillId="2" borderId="35" xfId="0" applyFont="1" applyFill="1" applyBorder="1" applyAlignment="1">
      <alignment horizontal="center"/>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2" fillId="2" borderId="25" xfId="0" applyFont="1" applyFill="1" applyBorder="1" applyAlignment="1">
      <alignment horizontal="center"/>
    </xf>
    <xf numFmtId="0" fontId="12" fillId="0" borderId="26" xfId="0" applyFont="1" applyFill="1" applyBorder="1" applyAlignment="1">
      <alignment horizontal="center" vertical="center"/>
    </xf>
    <xf numFmtId="0" fontId="12" fillId="6" borderId="27" xfId="0" applyFont="1" applyFill="1" applyBorder="1" applyAlignment="1">
      <alignment horizontal="center" vertical="center"/>
    </xf>
    <xf numFmtId="0" fontId="12" fillId="0" borderId="27" xfId="0" applyFont="1" applyFill="1" applyBorder="1" applyAlignment="1">
      <alignment horizontal="center" vertical="center"/>
    </xf>
    <xf numFmtId="0" fontId="12" fillId="6" borderId="4" xfId="0" applyFont="1" applyFill="1" applyBorder="1" applyAlignment="1">
      <alignment horizontal="center" vertical="center"/>
    </xf>
    <xf numFmtId="0" fontId="12" fillId="0"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0" borderId="16"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2" fillId="0" borderId="49" xfId="0" applyFont="1" applyFill="1" applyBorder="1" applyAlignment="1">
      <alignment horizontal="center"/>
    </xf>
    <xf numFmtId="0" fontId="12" fillId="0" borderId="50" xfId="0" applyFont="1" applyFill="1" applyBorder="1" applyAlignment="1">
      <alignment horizontal="center"/>
    </xf>
    <xf numFmtId="0" fontId="12"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13" fillId="3" borderId="1" xfId="0" applyFont="1" applyFill="1" applyBorder="1" applyAlignment="1">
      <alignment horizontal="right" vertical="center"/>
    </xf>
    <xf numFmtId="0" fontId="13" fillId="0" borderId="40" xfId="0" applyFont="1" applyFill="1" applyBorder="1" applyAlignment="1">
      <alignment horizontal="left" vertical="center"/>
    </xf>
    <xf numFmtId="0" fontId="13" fillId="0" borderId="41" xfId="0" applyFont="1" applyFill="1" applyBorder="1" applyAlignment="1">
      <alignment horizontal="left" vertical="center"/>
    </xf>
    <xf numFmtId="0" fontId="13" fillId="0" borderId="42" xfId="0" applyFont="1" applyFill="1" applyBorder="1" applyAlignment="1">
      <alignment horizontal="left" vertical="center"/>
    </xf>
    <xf numFmtId="0" fontId="13" fillId="3" borderId="0" xfId="0" applyFont="1" applyFill="1" applyBorder="1" applyAlignment="1"/>
    <xf numFmtId="9" fontId="0" fillId="3" borderId="0" xfId="0" applyNumberFormat="1" applyFill="1" applyBorder="1" applyAlignment="1">
      <alignment horizontal="right"/>
    </xf>
    <xf numFmtId="0" fontId="13" fillId="3" borderId="0" xfId="0" applyFont="1" applyFill="1" applyAlignment="1">
      <alignment horizontal="right"/>
    </xf>
    <xf numFmtId="0" fontId="1" fillId="3" borderId="26" xfId="0" applyFont="1" applyFill="1" applyBorder="1" applyAlignment="1">
      <alignment horizontal="right"/>
    </xf>
    <xf numFmtId="0" fontId="1" fillId="3" borderId="27" xfId="0" applyFont="1" applyFill="1" applyBorder="1" applyAlignment="1">
      <alignment horizontal="right"/>
    </xf>
    <xf numFmtId="0" fontId="1" fillId="3" borderId="28" xfId="0" applyFont="1" applyFill="1" applyBorder="1" applyAlignment="1">
      <alignment horizontal="right"/>
    </xf>
    <xf numFmtId="0" fontId="13" fillId="3" borderId="40" xfId="0" applyFont="1" applyFill="1" applyBorder="1" applyAlignment="1">
      <alignment horizontal="left" vertical="center"/>
    </xf>
    <xf numFmtId="0" fontId="13" fillId="3" borderId="41" xfId="0" applyFont="1" applyFill="1" applyBorder="1" applyAlignment="1">
      <alignment horizontal="left" vertical="center"/>
    </xf>
    <xf numFmtId="0" fontId="13" fillId="3" borderId="42" xfId="0" applyFont="1" applyFill="1" applyBorder="1" applyAlignment="1">
      <alignment horizontal="left" vertical="center"/>
    </xf>
    <xf numFmtId="0" fontId="0" fillId="3" borderId="16" xfId="0" applyFont="1" applyFill="1" applyBorder="1"/>
    <xf numFmtId="165" fontId="0" fillId="3" borderId="15" xfId="0" applyNumberFormat="1" applyFont="1" applyFill="1" applyBorder="1" applyAlignment="1">
      <alignment horizontal="right"/>
    </xf>
    <xf numFmtId="11" fontId="0" fillId="3" borderId="15" xfId="0" applyNumberFormat="1" applyFont="1" applyFill="1" applyBorder="1" applyAlignment="1">
      <alignment horizontal="right"/>
    </xf>
    <xf numFmtId="165" fontId="0" fillId="3" borderId="17" xfId="0" applyNumberFormat="1" applyFont="1" applyFill="1" applyBorder="1"/>
    <xf numFmtId="11" fontId="0" fillId="3" borderId="15" xfId="0" applyNumberFormat="1" applyFont="1" applyFill="1" applyBorder="1"/>
    <xf numFmtId="0" fontId="0" fillId="3" borderId="18" xfId="0" applyFont="1" applyFill="1" applyBorder="1"/>
    <xf numFmtId="165" fontId="0" fillId="3" borderId="19" xfId="0" applyNumberFormat="1" applyFont="1" applyFill="1" applyBorder="1" applyAlignment="1">
      <alignment horizontal="right"/>
    </xf>
    <xf numFmtId="11" fontId="0" fillId="3" borderId="19" xfId="0" applyNumberFormat="1" applyFont="1" applyFill="1" applyBorder="1"/>
    <xf numFmtId="165" fontId="0" fillId="3" borderId="20" xfId="0" applyNumberFormat="1" applyFont="1" applyFill="1" applyBorder="1"/>
    <xf numFmtId="0" fontId="0" fillId="3" borderId="0" xfId="0" applyFont="1" applyFill="1" applyBorder="1"/>
    <xf numFmtId="0" fontId="0" fillId="3" borderId="0" xfId="0" applyFont="1" applyFill="1"/>
    <xf numFmtId="0" fontId="0" fillId="3" borderId="0" xfId="0" applyFont="1" applyFill="1" applyAlignment="1">
      <alignment horizontal="right"/>
    </xf>
    <xf numFmtId="165" fontId="0" fillId="3" borderId="0" xfId="0" applyNumberFormat="1" applyFont="1" applyFill="1"/>
    <xf numFmtId="11" fontId="0" fillId="3" borderId="0" xfId="0" applyNumberFormat="1" applyFont="1" applyFill="1"/>
    <xf numFmtId="0" fontId="0" fillId="3" borderId="15" xfId="0" applyNumberFormat="1" applyFont="1" applyFill="1" applyBorder="1" applyAlignment="1">
      <alignment horizontal="right"/>
    </xf>
    <xf numFmtId="0" fontId="0" fillId="3" borderId="17" xfId="0" applyFont="1" applyFill="1" applyBorder="1"/>
    <xf numFmtId="11" fontId="0" fillId="3" borderId="19" xfId="0" applyNumberFormat="1" applyFont="1" applyFill="1" applyBorder="1" applyAlignment="1">
      <alignment horizontal="right"/>
    </xf>
    <xf numFmtId="0" fontId="0" fillId="3" borderId="19" xfId="0" applyNumberFormat="1" applyFont="1" applyFill="1" applyBorder="1" applyAlignment="1">
      <alignment horizontal="right"/>
    </xf>
    <xf numFmtId="0" fontId="0" fillId="3" borderId="20" xfId="0" applyFont="1" applyFill="1" applyBorder="1"/>
    <xf numFmtId="0" fontId="1" fillId="3"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11</xdr:col>
      <xdr:colOff>451029</xdr:colOff>
      <xdr:row>70</xdr:row>
      <xdr:rowOff>40131</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4463143" y="7034893"/>
          <a:ext cx="8000000" cy="5523809"/>
        </a:xfrm>
        <a:prstGeom prst="rect">
          <a:avLst/>
        </a:prstGeom>
      </xdr:spPr>
    </xdr:pic>
    <xdr:clientData/>
  </xdr:twoCellAnchor>
  <xdr:twoCellAnchor editAs="oneCell">
    <xdr:from>
      <xdr:col>3</xdr:col>
      <xdr:colOff>186690</xdr:colOff>
      <xdr:row>68</xdr:row>
      <xdr:rowOff>112667</xdr:rowOff>
    </xdr:from>
    <xdr:to>
      <xdr:col>10</xdr:col>
      <xdr:colOff>866405</xdr:colOff>
      <xdr:row>97</xdr:row>
      <xdr:rowOff>72296</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4649833" y="12277453"/>
          <a:ext cx="7320001" cy="5089522"/>
        </a:xfrm>
        <a:prstGeom prst="rect">
          <a:avLst/>
        </a:prstGeom>
      </xdr:spPr>
    </xdr:pic>
    <xdr:clientData/>
  </xdr:twoCellAnchor>
  <xdr:twoCellAnchor editAs="oneCell">
    <xdr:from>
      <xdr:col>10</xdr:col>
      <xdr:colOff>639535</xdr:colOff>
      <xdr:row>38</xdr:row>
      <xdr:rowOff>108859</xdr:rowOff>
    </xdr:from>
    <xdr:to>
      <xdr:col>17</xdr:col>
      <xdr:colOff>860940</xdr:colOff>
      <xdr:row>63</xdr:row>
      <xdr:rowOff>37015</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2450535" y="6966859"/>
          <a:ext cx="7487619" cy="4350477"/>
        </a:xfrm>
        <a:prstGeom prst="rect">
          <a:avLst/>
        </a:prstGeom>
      </xdr:spPr>
    </xdr:pic>
    <xdr:clientData/>
  </xdr:twoCellAnchor>
  <xdr:twoCellAnchor editAs="oneCell">
    <xdr:from>
      <xdr:col>18</xdr:col>
      <xdr:colOff>462644</xdr:colOff>
      <xdr:row>38</xdr:row>
      <xdr:rowOff>91440</xdr:rowOff>
    </xdr:from>
    <xdr:to>
      <xdr:col>20</xdr:col>
      <xdr:colOff>805543</xdr:colOff>
      <xdr:row>72</xdr:row>
      <xdr:rowOff>158114</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5" y="6949440"/>
          <a:ext cx="3799114" cy="608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N32" sqref="N32"/>
    </sheetView>
  </sheetViews>
  <sheetFormatPr defaultColWidth="11.44140625" defaultRowHeight="14.4" x14ac:dyDescent="0.3"/>
  <cols>
    <col min="2" max="2" width="22.88671875" style="1" customWidth="1"/>
    <col min="3" max="3" width="30.5546875" style="1" customWidth="1"/>
    <col min="4" max="4" width="21.88671875" customWidth="1"/>
    <col min="5" max="5" width="12.109375" style="2" bestFit="1" customWidth="1"/>
    <col min="6" max="6" width="17.33203125" style="3" bestFit="1" customWidth="1"/>
    <col min="7" max="7" width="14.33203125" bestFit="1" customWidth="1"/>
    <col min="8" max="8" width="15.5546875" customWidth="1"/>
    <col min="9" max="9" width="4.44140625" customWidth="1"/>
    <col min="10" max="10" width="12" bestFit="1" customWidth="1"/>
    <col min="11" max="11" width="13.33203125" bestFit="1" customWidth="1"/>
    <col min="12" max="12" width="9.33203125" customWidth="1"/>
    <col min="14" max="14" width="28.6640625" bestFit="1" customWidth="1"/>
    <col min="15" max="15" width="14.88671875" bestFit="1" customWidth="1"/>
    <col min="16" max="16" width="14.44140625" bestFit="1" customWidth="1"/>
    <col min="17" max="17" width="13.88671875" bestFit="1" customWidth="1"/>
    <col min="18" max="18" width="14" bestFit="1" customWidth="1"/>
    <col min="19" max="19" width="18.33203125" bestFit="1" customWidth="1"/>
    <col min="20" max="20" width="32.109375" bestFit="1" customWidth="1"/>
    <col min="21" max="21" width="21.109375" bestFit="1" customWidth="1"/>
  </cols>
  <sheetData>
    <row r="1" spans="2:33" ht="15" thickBot="1" x14ac:dyDescent="0.35"/>
    <row r="2" spans="2:33" x14ac:dyDescent="0.3">
      <c r="B2" s="4" t="s">
        <v>36</v>
      </c>
      <c r="C2" s="5">
        <f>9*$G$3*1000</f>
        <v>14484.06</v>
      </c>
      <c r="D2" s="6"/>
      <c r="E2" s="7"/>
      <c r="F2" s="5" t="s">
        <v>41</v>
      </c>
      <c r="G2" s="6">
        <v>0.30480000000000002</v>
      </c>
      <c r="H2" s="204" t="s">
        <v>19</v>
      </c>
      <c r="I2" s="213" t="s">
        <v>488</v>
      </c>
      <c r="J2" s="214"/>
      <c r="K2" s="214"/>
      <c r="L2" s="215"/>
      <c r="N2" s="25"/>
      <c r="O2" s="64" t="s">
        <v>35</v>
      </c>
      <c r="P2" s="26" t="s">
        <v>22</v>
      </c>
      <c r="Q2" s="26" t="s">
        <v>23</v>
      </c>
      <c r="R2" s="65" t="s">
        <v>75</v>
      </c>
      <c r="S2" s="26" t="s">
        <v>31</v>
      </c>
      <c r="T2" s="26" t="s">
        <v>34</v>
      </c>
      <c r="U2" s="26" t="s">
        <v>32</v>
      </c>
      <c r="V2" s="66" t="s">
        <v>72</v>
      </c>
      <c r="W2" s="67" t="s">
        <v>386</v>
      </c>
      <c r="Y2" s="100" t="s">
        <v>113</v>
      </c>
      <c r="Z2" s="156" t="s">
        <v>389</v>
      </c>
      <c r="AA2" s="157"/>
      <c r="AB2" s="157"/>
      <c r="AC2" s="157"/>
      <c r="AD2" s="157"/>
      <c r="AE2" s="157"/>
      <c r="AF2" s="157"/>
      <c r="AG2" s="158"/>
    </row>
    <row r="3" spans="2:33" ht="15" thickBot="1" x14ac:dyDescent="0.35">
      <c r="B3" s="8" t="s">
        <v>52</v>
      </c>
      <c r="C3" s="9">
        <f>3.5*$G$3*1000</f>
        <v>5632.6900000000005</v>
      </c>
      <c r="D3" s="10"/>
      <c r="E3" s="11"/>
      <c r="F3" s="9" t="s">
        <v>42</v>
      </c>
      <c r="G3" s="10">
        <v>1.60934</v>
      </c>
      <c r="H3" s="205" t="s">
        <v>20</v>
      </c>
      <c r="I3" s="216"/>
      <c r="J3" s="217"/>
      <c r="K3" s="217"/>
      <c r="L3" s="218"/>
      <c r="N3" s="27" t="s">
        <v>33</v>
      </c>
      <c r="O3" s="22"/>
      <c r="P3" s="23"/>
      <c r="Q3" s="23"/>
      <c r="R3" s="24"/>
      <c r="S3" s="23">
        <v>250</v>
      </c>
      <c r="T3" s="23">
        <f>330</f>
        <v>330</v>
      </c>
      <c r="U3" s="23"/>
      <c r="V3" s="58"/>
      <c r="W3" s="60"/>
      <c r="Y3" s="101"/>
      <c r="Z3" s="102" t="s">
        <v>33</v>
      </c>
      <c r="AA3" s="103" t="s">
        <v>24</v>
      </c>
      <c r="AB3" s="103" t="s">
        <v>25</v>
      </c>
      <c r="AC3" s="103" t="s">
        <v>26</v>
      </c>
      <c r="AD3" s="103" t="s">
        <v>27</v>
      </c>
      <c r="AE3" s="103" t="s">
        <v>28</v>
      </c>
      <c r="AF3" s="103" t="s">
        <v>29</v>
      </c>
      <c r="AG3" s="104" t="s">
        <v>30</v>
      </c>
    </row>
    <row r="4" spans="2:33" ht="15" thickBot="1" x14ac:dyDescent="0.35">
      <c r="B4" s="8" t="s">
        <v>53</v>
      </c>
      <c r="C4" s="9">
        <f>C2*C3</f>
        <v>81584219.921400011</v>
      </c>
      <c r="D4" s="10"/>
      <c r="E4" s="11"/>
      <c r="F4" s="13"/>
      <c r="G4" s="10"/>
      <c r="H4" s="12"/>
      <c r="I4" s="219"/>
      <c r="J4" s="220"/>
      <c r="K4" s="220"/>
      <c r="L4" s="221"/>
      <c r="N4" s="27" t="s">
        <v>24</v>
      </c>
      <c r="O4" s="22"/>
      <c r="P4" s="23"/>
      <c r="Q4" s="23"/>
      <c r="R4" s="24"/>
      <c r="S4" s="23">
        <f>460-S3</f>
        <v>210</v>
      </c>
      <c r="T4" s="23">
        <f>520-T3</f>
        <v>190</v>
      </c>
      <c r="U4" s="23"/>
      <c r="V4" s="58"/>
      <c r="W4" s="60"/>
      <c r="Y4" s="108" t="s">
        <v>31</v>
      </c>
      <c r="Z4" s="109">
        <v>250</v>
      </c>
      <c r="AA4" s="110">
        <f>460-Z4</f>
        <v>210</v>
      </c>
      <c r="AB4" s="110">
        <f>625-(AA4+Z4)</f>
        <v>165</v>
      </c>
      <c r="AC4" s="110">
        <f>800-(AB4+AA4+Z4)</f>
        <v>175</v>
      </c>
      <c r="AD4" s="110">
        <f>885-(AC4+AB4+AA4+Z4)</f>
        <v>85</v>
      </c>
      <c r="AE4" s="110">
        <v>492</v>
      </c>
      <c r="AF4" s="96" t="s">
        <v>67</v>
      </c>
      <c r="AG4" s="97"/>
    </row>
    <row r="5" spans="2:33" s="1" customFormat="1" ht="15" thickBot="1" x14ac:dyDescent="0.35">
      <c r="B5" s="229" t="s">
        <v>5</v>
      </c>
      <c r="C5" s="230" t="s">
        <v>43</v>
      </c>
      <c r="D5" s="231" t="s">
        <v>6</v>
      </c>
      <c r="E5" s="232" t="s">
        <v>7</v>
      </c>
      <c r="F5" s="233" t="s">
        <v>43</v>
      </c>
      <c r="G5" s="234" t="s">
        <v>18</v>
      </c>
      <c r="H5" s="234" t="s">
        <v>55</v>
      </c>
      <c r="I5" s="232" t="s">
        <v>8</v>
      </c>
      <c r="J5" s="232" t="s">
        <v>54</v>
      </c>
      <c r="K5" s="235" t="s">
        <v>16</v>
      </c>
      <c r="L5" s="236"/>
      <c r="N5" s="27" t="s">
        <v>25</v>
      </c>
      <c r="O5" s="22"/>
      <c r="P5" s="23"/>
      <c r="Q5" s="23"/>
      <c r="R5" s="24"/>
      <c r="S5" s="23">
        <f>625-(S4+S3)</f>
        <v>165</v>
      </c>
      <c r="T5" s="23">
        <f>790-SUM(T3:T4)</f>
        <v>270</v>
      </c>
      <c r="U5" s="23"/>
      <c r="V5" s="22"/>
      <c r="W5" s="61"/>
      <c r="Y5" s="71" t="s">
        <v>23</v>
      </c>
      <c r="Z5" s="90"/>
      <c r="AA5" s="69"/>
      <c r="AB5" s="69"/>
      <c r="AC5" s="69"/>
      <c r="AD5" s="69">
        <v>70</v>
      </c>
      <c r="AE5" s="69">
        <v>283</v>
      </c>
      <c r="AF5" s="69" t="s">
        <v>68</v>
      </c>
      <c r="AG5" s="72"/>
    </row>
    <row r="6" spans="2:33" x14ac:dyDescent="0.3">
      <c r="B6" s="197" t="s">
        <v>0</v>
      </c>
      <c r="C6" s="170" t="s">
        <v>486</v>
      </c>
      <c r="D6" s="171" t="s">
        <v>45</v>
      </c>
      <c r="E6" s="172">
        <v>0.35</v>
      </c>
      <c r="F6" s="173">
        <f>E6*$C$12</f>
        <v>7138619243.1225004</v>
      </c>
      <c r="G6" s="174">
        <v>0.89600000000000002</v>
      </c>
      <c r="H6" s="175">
        <v>2400</v>
      </c>
      <c r="I6" s="176" t="s">
        <v>10</v>
      </c>
      <c r="J6" s="178">
        <f>0.0000000034</f>
        <v>3.3999999999999998E-9</v>
      </c>
      <c r="K6" s="178">
        <v>9.19</v>
      </c>
      <c r="L6" s="174" t="s">
        <v>14</v>
      </c>
      <c r="N6" s="27" t="s">
        <v>26</v>
      </c>
      <c r="O6" s="22"/>
      <c r="P6" s="23"/>
      <c r="Q6" s="23"/>
      <c r="R6" s="24"/>
      <c r="S6" s="23">
        <f>800-(S5+S4+S3)</f>
        <v>175</v>
      </c>
      <c r="T6" s="23" t="s">
        <v>388</v>
      </c>
      <c r="U6" s="23"/>
      <c r="V6" s="58"/>
      <c r="W6" s="60">
        <v>215</v>
      </c>
      <c r="Y6" s="73" t="s">
        <v>75</v>
      </c>
      <c r="Z6" s="91"/>
      <c r="AA6" s="74"/>
      <c r="AB6" s="74"/>
      <c r="AC6" s="74"/>
      <c r="AD6" s="74"/>
      <c r="AE6" s="74">
        <v>479</v>
      </c>
      <c r="AF6" s="74" t="s">
        <v>69</v>
      </c>
      <c r="AG6" s="75"/>
    </row>
    <row r="7" spans="2:33" x14ac:dyDescent="0.3">
      <c r="B7" s="197"/>
      <c r="C7" s="170">
        <f>1500*$G$2</f>
        <v>457.20000000000005</v>
      </c>
      <c r="D7" s="171" t="s">
        <v>46</v>
      </c>
      <c r="E7" s="172">
        <v>0.6</v>
      </c>
      <c r="F7" s="173">
        <f>E7*$C$12</f>
        <v>12237632988.210001</v>
      </c>
      <c r="G7" s="174">
        <v>1.3919999999999999</v>
      </c>
      <c r="H7" s="175">
        <v>2400</v>
      </c>
      <c r="I7" s="176" t="s">
        <v>11</v>
      </c>
      <c r="J7" s="178">
        <f>0.000026368</f>
        <v>2.6367999999999999E-5</v>
      </c>
      <c r="K7" s="178">
        <v>8.9999999999999993E-3</v>
      </c>
      <c r="L7" s="174" t="s">
        <v>15</v>
      </c>
      <c r="N7" s="27" t="s">
        <v>27</v>
      </c>
      <c r="O7" s="22">
        <v>55</v>
      </c>
      <c r="P7" s="23">
        <v>50</v>
      </c>
      <c r="Q7" s="23">
        <v>70</v>
      </c>
      <c r="R7" s="24"/>
      <c r="S7" s="23">
        <f>885-(S6+S5+S4+S3)</f>
        <v>85</v>
      </c>
      <c r="T7" s="23"/>
      <c r="U7" s="23"/>
      <c r="V7" s="58"/>
      <c r="W7" s="60" t="s">
        <v>387</v>
      </c>
      <c r="Y7" s="68" t="s">
        <v>386</v>
      </c>
      <c r="Z7" s="90"/>
      <c r="AA7" s="69"/>
      <c r="AB7" s="76"/>
      <c r="AC7" s="69">
        <v>215</v>
      </c>
      <c r="AD7" s="69" t="s">
        <v>387</v>
      </c>
      <c r="AE7" s="69"/>
      <c r="AF7" s="69"/>
      <c r="AG7" s="72"/>
    </row>
    <row r="8" spans="2:33" x14ac:dyDescent="0.3">
      <c r="B8" s="197"/>
      <c r="C8" s="177"/>
      <c r="D8" s="171" t="s">
        <v>51</v>
      </c>
      <c r="E8" s="172">
        <v>0</v>
      </c>
      <c r="F8" s="173">
        <v>0</v>
      </c>
      <c r="G8" s="174">
        <v>2.0659999999999998</v>
      </c>
      <c r="H8" s="175">
        <v>2789</v>
      </c>
      <c r="I8" s="176" t="s">
        <v>12</v>
      </c>
      <c r="J8" s="178">
        <v>9.8313999999999994E-5</v>
      </c>
      <c r="K8" s="178">
        <v>0.22600000000000001</v>
      </c>
      <c r="L8" s="174" t="s">
        <v>15</v>
      </c>
      <c r="N8" s="27" t="s">
        <v>28</v>
      </c>
      <c r="O8" s="22">
        <v>481</v>
      </c>
      <c r="P8" s="23">
        <v>447</v>
      </c>
      <c r="Q8" s="23">
        <v>283</v>
      </c>
      <c r="R8" s="24">
        <v>479</v>
      </c>
      <c r="S8" s="23">
        <v>492</v>
      </c>
      <c r="T8" s="23"/>
      <c r="U8" s="23">
        <f>130-20</f>
        <v>110</v>
      </c>
      <c r="V8" s="59"/>
      <c r="W8" s="60"/>
      <c r="Y8" s="77" t="s">
        <v>35</v>
      </c>
      <c r="Z8" s="89"/>
      <c r="AA8" s="76"/>
      <c r="AB8" s="76"/>
      <c r="AC8" s="76"/>
      <c r="AD8" s="76">
        <v>55</v>
      </c>
      <c r="AE8" s="76">
        <v>481</v>
      </c>
      <c r="AF8" s="112" t="s">
        <v>70</v>
      </c>
      <c r="AG8" s="111">
        <f>1030-960</f>
        <v>70</v>
      </c>
    </row>
    <row r="9" spans="2:33" x14ac:dyDescent="0.3">
      <c r="B9" s="197"/>
      <c r="C9" s="177" t="s">
        <v>487</v>
      </c>
      <c r="D9" s="171" t="s">
        <v>47</v>
      </c>
      <c r="E9" s="172">
        <v>0.05</v>
      </c>
      <c r="F9" s="173">
        <f>E9*$C$12</f>
        <v>1019802749.0175002</v>
      </c>
      <c r="G9" s="174">
        <v>0.5</v>
      </c>
      <c r="H9" s="175">
        <v>1200</v>
      </c>
      <c r="I9" s="176" t="s">
        <v>60</v>
      </c>
      <c r="J9" s="178">
        <v>0.35830000000000001</v>
      </c>
      <c r="K9" s="178">
        <v>1.8</v>
      </c>
      <c r="L9" s="174" t="s">
        <v>15</v>
      </c>
      <c r="N9" s="27" t="s">
        <v>29</v>
      </c>
      <c r="O9" s="22" t="s">
        <v>70</v>
      </c>
      <c r="P9" s="23" t="s">
        <v>71</v>
      </c>
      <c r="Q9" s="23" t="s">
        <v>68</v>
      </c>
      <c r="R9" s="24" t="s">
        <v>69</v>
      </c>
      <c r="S9" s="23" t="s">
        <v>67</v>
      </c>
      <c r="T9" s="23"/>
      <c r="U9" s="23">
        <v>159</v>
      </c>
      <c r="V9" s="59" t="s">
        <v>73</v>
      </c>
      <c r="W9" s="60"/>
      <c r="Y9" s="71" t="s">
        <v>34</v>
      </c>
      <c r="Z9" s="90">
        <f>330</f>
        <v>330</v>
      </c>
      <c r="AA9" s="69">
        <f>520-Z9</f>
        <v>190</v>
      </c>
      <c r="AB9" s="69">
        <f>790-SUM(Z9:AA9)</f>
        <v>270</v>
      </c>
      <c r="AC9" s="69" t="s">
        <v>388</v>
      </c>
      <c r="AD9" s="69"/>
      <c r="AE9" s="69"/>
      <c r="AF9" s="69"/>
      <c r="AG9" s="72"/>
    </row>
    <row r="10" spans="2:33" ht="15" thickBot="1" x14ac:dyDescent="0.35">
      <c r="B10" s="198" t="s">
        <v>21</v>
      </c>
      <c r="C10" s="177">
        <f>S3</f>
        <v>250</v>
      </c>
      <c r="D10" s="171" t="s">
        <v>48</v>
      </c>
      <c r="E10" s="172">
        <v>0.01</v>
      </c>
      <c r="F10" s="173">
        <f>E10*$C$12</f>
        <v>203960549.80350003</v>
      </c>
      <c r="G10" s="174">
        <v>0.7</v>
      </c>
      <c r="H10" s="175">
        <v>2650</v>
      </c>
      <c r="I10" s="176" t="s">
        <v>59</v>
      </c>
      <c r="J10" s="178">
        <v>3.6499999999999998E-2</v>
      </c>
      <c r="K10" s="178">
        <v>1220</v>
      </c>
      <c r="L10" s="174" t="s">
        <v>15</v>
      </c>
      <c r="N10" s="28" t="s">
        <v>30</v>
      </c>
      <c r="O10" s="29">
        <f>1030-960</f>
        <v>70</v>
      </c>
      <c r="P10" s="30"/>
      <c r="Q10" s="30"/>
      <c r="R10" s="31"/>
      <c r="S10" s="30"/>
      <c r="T10" s="30"/>
      <c r="U10" s="30"/>
      <c r="V10" s="62"/>
      <c r="W10" s="63"/>
      <c r="Y10" s="71" t="s">
        <v>32</v>
      </c>
      <c r="Z10" s="90"/>
      <c r="AA10" s="69"/>
      <c r="AB10" s="69"/>
      <c r="AC10" s="69"/>
      <c r="AD10" s="69"/>
      <c r="AE10" s="69">
        <f>130-20</f>
        <v>110</v>
      </c>
      <c r="AF10" s="69">
        <v>159</v>
      </c>
      <c r="AG10" s="72"/>
    </row>
    <row r="11" spans="2:33" ht="15" thickBot="1" x14ac:dyDescent="0.35">
      <c r="B11" s="198"/>
      <c r="C11" s="177"/>
      <c r="D11" s="171"/>
      <c r="E11" s="179"/>
      <c r="F11" s="173"/>
      <c r="G11" s="174"/>
      <c r="H11" s="175"/>
      <c r="I11" s="176" t="s">
        <v>62</v>
      </c>
      <c r="J11" s="178"/>
      <c r="K11" s="178">
        <v>23.6</v>
      </c>
      <c r="L11" s="174" t="s">
        <v>14</v>
      </c>
      <c r="N11" s="155" t="s">
        <v>74</v>
      </c>
      <c r="O11" s="155"/>
      <c r="P11" s="155"/>
      <c r="Q11" s="155"/>
      <c r="R11" s="155"/>
      <c r="S11" s="155"/>
      <c r="T11" s="155"/>
      <c r="U11" s="155"/>
      <c r="Y11" s="71" t="s">
        <v>22</v>
      </c>
      <c r="Z11" s="90"/>
      <c r="AA11" s="69"/>
      <c r="AB11" s="69"/>
      <c r="AC11" s="69"/>
      <c r="AD11" s="69">
        <v>50</v>
      </c>
      <c r="AE11" s="69">
        <v>447</v>
      </c>
      <c r="AF11" s="69" t="s">
        <v>71</v>
      </c>
      <c r="AG11" s="72"/>
    </row>
    <row r="12" spans="2:33" ht="15" thickBot="1" x14ac:dyDescent="0.35">
      <c r="B12" s="199"/>
      <c r="C12" s="203">
        <f>$C$4*C10</f>
        <v>20396054980.350002</v>
      </c>
      <c r="D12" s="222" t="s">
        <v>457</v>
      </c>
      <c r="E12" s="223">
        <f>E6*G6+E7*G7+E8*G8+E9*G9+E10*G10</f>
        <v>1.1807999999999998</v>
      </c>
      <c r="F12" s="224" t="s">
        <v>458</v>
      </c>
      <c r="G12" s="225">
        <f>(F6*G6+G7*F7+F8*G8+G9*F9+G10*F10)/1000000</f>
        <v>24083.661720797278</v>
      </c>
      <c r="H12" s="190"/>
      <c r="I12" s="192" t="s">
        <v>17</v>
      </c>
      <c r="J12" s="192"/>
      <c r="K12" s="201">
        <f>0.0001*H6*(9.52*K8+2.56*K7+3.48*K6)</f>
        <v>8.1973824000000004</v>
      </c>
      <c r="L12" s="193" t="s">
        <v>57</v>
      </c>
      <c r="Y12" s="84" t="s">
        <v>72</v>
      </c>
      <c r="Z12" s="92"/>
      <c r="AA12" s="86"/>
      <c r="AB12" s="78"/>
      <c r="AC12" s="86"/>
      <c r="AD12" s="86"/>
      <c r="AE12" s="86"/>
      <c r="AF12" s="86" t="s">
        <v>73</v>
      </c>
      <c r="AG12" s="93"/>
    </row>
    <row r="13" spans="2:33" ht="15" thickBot="1" x14ac:dyDescent="0.35">
      <c r="B13" s="197" t="s">
        <v>1</v>
      </c>
      <c r="C13" s="177"/>
      <c r="D13" s="171" t="s">
        <v>45</v>
      </c>
      <c r="E13" s="172">
        <v>0.9</v>
      </c>
      <c r="F13" s="173">
        <f>E13*$C$18</f>
        <v>15419417565.144602</v>
      </c>
      <c r="G13" s="174">
        <v>0.89600000000000002</v>
      </c>
      <c r="H13" s="175">
        <v>2400</v>
      </c>
      <c r="I13" s="176"/>
      <c r="J13" s="176"/>
      <c r="K13" s="176"/>
      <c r="L13" s="174"/>
      <c r="O13" t="s">
        <v>64</v>
      </c>
    </row>
    <row r="14" spans="2:33" x14ac:dyDescent="0.3">
      <c r="B14" s="197"/>
      <c r="C14" s="177"/>
      <c r="D14" s="171" t="s">
        <v>46</v>
      </c>
      <c r="E14" s="172">
        <v>0.1</v>
      </c>
      <c r="F14" s="173">
        <f>E14*$C$18</f>
        <v>1713268618.3494003</v>
      </c>
      <c r="G14" s="174">
        <v>1.3919999999999999</v>
      </c>
      <c r="H14" s="175">
        <v>2400</v>
      </c>
      <c r="I14" s="176"/>
      <c r="J14" s="176"/>
      <c r="K14" s="176"/>
      <c r="L14" s="174"/>
      <c r="N14" s="33" t="s">
        <v>76</v>
      </c>
      <c r="O14" s="34" t="s">
        <v>77</v>
      </c>
      <c r="P14" s="34" t="s">
        <v>78</v>
      </c>
      <c r="Q14" s="34" t="s">
        <v>79</v>
      </c>
      <c r="R14" s="34" t="s">
        <v>80</v>
      </c>
      <c r="S14" s="34" t="s">
        <v>81</v>
      </c>
      <c r="T14" s="34" t="s">
        <v>82</v>
      </c>
      <c r="U14" s="34" t="s">
        <v>83</v>
      </c>
      <c r="V14" s="34" t="s">
        <v>84</v>
      </c>
      <c r="W14" s="34" t="s">
        <v>85</v>
      </c>
      <c r="X14" s="34" t="s">
        <v>86</v>
      </c>
      <c r="Y14" s="34" t="s">
        <v>87</v>
      </c>
      <c r="Z14" s="34" t="s">
        <v>88</v>
      </c>
      <c r="AA14" s="35" t="s">
        <v>89</v>
      </c>
    </row>
    <row r="15" spans="2:33" x14ac:dyDescent="0.3">
      <c r="B15" s="197"/>
      <c r="C15" s="177"/>
      <c r="D15" s="171" t="s">
        <v>51</v>
      </c>
      <c r="E15" s="172">
        <v>0</v>
      </c>
      <c r="F15" s="182">
        <f>E15*$C$18</f>
        <v>0</v>
      </c>
      <c r="G15" s="174">
        <v>2.0659999999999998</v>
      </c>
      <c r="H15" s="175">
        <v>2789</v>
      </c>
      <c r="I15" s="176"/>
      <c r="J15" s="176"/>
      <c r="K15" s="176"/>
      <c r="L15" s="174"/>
      <c r="N15" s="36" t="s">
        <v>90</v>
      </c>
      <c r="O15" s="32">
        <v>110</v>
      </c>
      <c r="P15" s="32" t="s">
        <v>91</v>
      </c>
      <c r="Q15" s="32" t="s">
        <v>92</v>
      </c>
      <c r="R15" s="32">
        <v>36.5</v>
      </c>
      <c r="S15" s="32"/>
      <c r="T15" s="32" t="s">
        <v>93</v>
      </c>
      <c r="U15" s="32">
        <v>35.799999999999997</v>
      </c>
      <c r="V15" s="32">
        <v>11.6</v>
      </c>
      <c r="W15" s="32"/>
      <c r="X15" s="32"/>
      <c r="Y15" s="32">
        <v>4.5999999999999996</v>
      </c>
      <c r="Z15" s="32">
        <v>9.4</v>
      </c>
      <c r="AA15" s="37">
        <v>1.8</v>
      </c>
    </row>
    <row r="16" spans="2:33" x14ac:dyDescent="0.3">
      <c r="B16" s="197"/>
      <c r="C16" s="177" t="s">
        <v>487</v>
      </c>
      <c r="D16" s="171" t="s">
        <v>47</v>
      </c>
      <c r="E16" s="172">
        <v>0</v>
      </c>
      <c r="F16" s="182">
        <v>0</v>
      </c>
      <c r="G16" s="174">
        <v>0.5</v>
      </c>
      <c r="H16" s="175">
        <v>1200</v>
      </c>
      <c r="I16" s="176"/>
      <c r="J16" s="176"/>
      <c r="K16" s="176"/>
      <c r="L16" s="174"/>
      <c r="N16" s="36" t="s">
        <v>94</v>
      </c>
      <c r="O16" s="32">
        <v>2836.5</v>
      </c>
      <c r="P16" s="32" t="s">
        <v>95</v>
      </c>
      <c r="Q16" s="32" t="s">
        <v>96</v>
      </c>
      <c r="R16" s="32">
        <v>24.8</v>
      </c>
      <c r="S16" s="32"/>
      <c r="T16" s="32"/>
      <c r="U16" s="32">
        <v>46.6</v>
      </c>
      <c r="V16" s="32">
        <v>10.199999999999999</v>
      </c>
      <c r="W16" s="32">
        <v>2</v>
      </c>
      <c r="X16" s="32"/>
      <c r="Y16" s="32"/>
      <c r="Z16" s="32">
        <v>16.399999999999999</v>
      </c>
      <c r="AA16" s="37"/>
    </row>
    <row r="17" spans="2:27" ht="15" thickBot="1" x14ac:dyDescent="0.35">
      <c r="B17" s="198" t="s">
        <v>21</v>
      </c>
      <c r="C17" s="177">
        <f>S4</f>
        <v>210</v>
      </c>
      <c r="D17" s="171" t="s">
        <v>48</v>
      </c>
      <c r="E17" s="172">
        <v>0</v>
      </c>
      <c r="F17" s="182">
        <v>0</v>
      </c>
      <c r="G17" s="174">
        <v>0.7</v>
      </c>
      <c r="H17" s="175">
        <v>2650</v>
      </c>
      <c r="I17" s="176"/>
      <c r="J17" s="176"/>
      <c r="K17" s="176"/>
      <c r="L17" s="174"/>
      <c r="N17" s="36"/>
      <c r="O17" s="32">
        <v>3036.75</v>
      </c>
      <c r="P17" s="32" t="s">
        <v>97</v>
      </c>
      <c r="Q17" s="32"/>
      <c r="R17" s="32">
        <v>23.4</v>
      </c>
      <c r="S17" s="32"/>
      <c r="T17" s="32"/>
      <c r="U17" s="32">
        <v>39.5</v>
      </c>
      <c r="V17" s="32">
        <v>27.7</v>
      </c>
      <c r="W17" s="32">
        <v>1</v>
      </c>
      <c r="X17" s="32"/>
      <c r="Y17" s="32"/>
      <c r="Z17" s="32">
        <v>8.6999999999999993</v>
      </c>
      <c r="AA17" s="37"/>
    </row>
    <row r="18" spans="2:27" ht="15" thickBot="1" x14ac:dyDescent="0.35">
      <c r="B18" s="199"/>
      <c r="C18" s="203">
        <f>$C$4*C17</f>
        <v>17132686183.494001</v>
      </c>
      <c r="D18" s="226" t="s">
        <v>457</v>
      </c>
      <c r="E18" s="223">
        <f>E13*G13+E14*G14+E15*G15+E16*G16</f>
        <v>0.9456</v>
      </c>
      <c r="F18" s="224" t="s">
        <v>458</v>
      </c>
      <c r="G18" s="225">
        <f>(F13*G13+G14*F14+F15*G15+G16*F16+G17*F17)/1000000</f>
        <v>16200.66805511193</v>
      </c>
      <c r="H18" s="190"/>
      <c r="I18" s="192" t="s">
        <v>17</v>
      </c>
      <c r="J18" s="192"/>
      <c r="K18" s="192"/>
      <c r="L18" s="193"/>
      <c r="N18" s="36"/>
      <c r="O18" s="32">
        <v>3066</v>
      </c>
      <c r="P18" s="32" t="s">
        <v>98</v>
      </c>
      <c r="Q18" s="32"/>
      <c r="R18" s="32">
        <v>10.9</v>
      </c>
      <c r="S18" s="32"/>
      <c r="T18" s="32"/>
      <c r="U18" s="32">
        <v>42.5</v>
      </c>
      <c r="V18" s="32">
        <v>28.5</v>
      </c>
      <c r="W18" s="32">
        <v>3.6</v>
      </c>
      <c r="X18" s="32"/>
      <c r="Y18" s="32"/>
      <c r="Z18" s="32">
        <v>14.5</v>
      </c>
      <c r="AA18" s="37"/>
    </row>
    <row r="19" spans="2:27" x14ac:dyDescent="0.3">
      <c r="B19" s="197" t="s">
        <v>4</v>
      </c>
      <c r="C19" s="170" t="s">
        <v>37</v>
      </c>
      <c r="D19" s="171" t="s">
        <v>45</v>
      </c>
      <c r="E19" s="172">
        <v>0.35</v>
      </c>
      <c r="F19" s="173">
        <f>E19*$C$25</f>
        <v>12135652713.30825</v>
      </c>
      <c r="G19" s="174">
        <v>0.89600000000000002</v>
      </c>
      <c r="H19" s="175">
        <v>2400</v>
      </c>
      <c r="I19" s="176" t="s">
        <v>10</v>
      </c>
      <c r="J19" s="178">
        <v>3.3999999999999998E-9</v>
      </c>
      <c r="K19" s="178">
        <v>3.08</v>
      </c>
      <c r="L19" s="174" t="s">
        <v>14</v>
      </c>
      <c r="N19" s="36" t="s">
        <v>99</v>
      </c>
      <c r="O19" s="32">
        <v>3708</v>
      </c>
      <c r="P19" s="32" t="s">
        <v>100</v>
      </c>
      <c r="Q19" s="32" t="s">
        <v>92</v>
      </c>
      <c r="R19" s="32">
        <v>38.5</v>
      </c>
      <c r="S19" s="32"/>
      <c r="T19" s="32"/>
      <c r="U19" s="32">
        <v>44.2</v>
      </c>
      <c r="V19" s="32">
        <v>17.3</v>
      </c>
      <c r="W19" s="32"/>
      <c r="X19" s="32"/>
      <c r="Y19" s="32"/>
      <c r="Z19" s="32"/>
      <c r="AA19" s="37"/>
    </row>
    <row r="20" spans="2:27" x14ac:dyDescent="0.3">
      <c r="B20" s="197"/>
      <c r="C20" s="177">
        <f>S5</f>
        <v>165</v>
      </c>
      <c r="D20" s="171" t="s">
        <v>46</v>
      </c>
      <c r="E20" s="172">
        <v>0.4</v>
      </c>
      <c r="F20" s="173">
        <f>E20*$C$25</f>
        <v>13869317386.638</v>
      </c>
      <c r="G20" s="174">
        <v>1.3919999999999999</v>
      </c>
      <c r="H20" s="175">
        <v>2400</v>
      </c>
      <c r="I20" s="176" t="s">
        <v>11</v>
      </c>
      <c r="J20" s="178">
        <v>2.6367999999999999E-5</v>
      </c>
      <c r="K20" s="178">
        <v>2.2799999999999999E-3</v>
      </c>
      <c r="L20" s="174" t="s">
        <v>15</v>
      </c>
      <c r="N20" s="36"/>
      <c r="O20" s="32">
        <v>3760</v>
      </c>
      <c r="P20" s="32" t="s">
        <v>101</v>
      </c>
      <c r="Q20" s="32"/>
      <c r="R20" s="32">
        <v>52.8</v>
      </c>
      <c r="S20" s="32"/>
      <c r="T20" s="32"/>
      <c r="U20" s="32">
        <v>32.4</v>
      </c>
      <c r="V20" s="32">
        <v>14.8</v>
      </c>
      <c r="W20" s="32"/>
      <c r="X20" s="32"/>
      <c r="Y20" s="32"/>
      <c r="Z20" s="32"/>
      <c r="AA20" s="37"/>
    </row>
    <row r="21" spans="2:27" x14ac:dyDescent="0.3">
      <c r="B21" s="200" t="s">
        <v>2</v>
      </c>
      <c r="C21" s="170" t="s">
        <v>38</v>
      </c>
      <c r="D21" s="171" t="s">
        <v>51</v>
      </c>
      <c r="E21" s="172">
        <v>0.2</v>
      </c>
      <c r="F21" s="173">
        <f>E21*$C$25</f>
        <v>6934658693.3190002</v>
      </c>
      <c r="G21" s="174">
        <v>2.0659999999999998</v>
      </c>
      <c r="H21" s="175">
        <v>2789</v>
      </c>
      <c r="I21" s="176" t="s">
        <v>12</v>
      </c>
      <c r="J21" s="178">
        <v>9.8313999999999994E-5</v>
      </c>
      <c r="K21" s="178">
        <v>0.04</v>
      </c>
      <c r="L21" s="174" t="s">
        <v>15</v>
      </c>
      <c r="N21" s="36" t="s">
        <v>102</v>
      </c>
      <c r="O21" s="32">
        <v>1429</v>
      </c>
      <c r="P21" s="32" t="s">
        <v>103</v>
      </c>
      <c r="Q21" s="32" t="s">
        <v>104</v>
      </c>
      <c r="R21" s="32">
        <v>3702</v>
      </c>
      <c r="S21" s="32"/>
      <c r="T21" s="32" t="s">
        <v>93</v>
      </c>
      <c r="U21" s="32">
        <v>40.6</v>
      </c>
      <c r="V21" s="32">
        <v>17.3</v>
      </c>
      <c r="W21" s="32">
        <v>2.9</v>
      </c>
      <c r="X21" s="32"/>
      <c r="Y21" s="32"/>
      <c r="Z21" s="32">
        <v>1.8</v>
      </c>
      <c r="AA21" s="37"/>
    </row>
    <row r="22" spans="2:27" x14ac:dyDescent="0.3">
      <c r="B22" s="197" t="s">
        <v>3</v>
      </c>
      <c r="C22" s="177">
        <f>S6</f>
        <v>175</v>
      </c>
      <c r="D22" s="171" t="s">
        <v>47</v>
      </c>
      <c r="E22" s="172">
        <v>0.05</v>
      </c>
      <c r="F22" s="173">
        <f>E22*$C$25</f>
        <v>1733664673.3297501</v>
      </c>
      <c r="G22" s="174">
        <v>0.5</v>
      </c>
      <c r="H22" s="175">
        <v>1200</v>
      </c>
      <c r="I22" s="176" t="s">
        <v>60</v>
      </c>
      <c r="J22" s="178">
        <v>0.35830000000000001</v>
      </c>
      <c r="K22" s="178">
        <v>4</v>
      </c>
      <c r="L22" s="174" t="s">
        <v>15</v>
      </c>
      <c r="N22" s="36"/>
      <c r="O22" s="32">
        <v>1908</v>
      </c>
      <c r="P22" s="32" t="s">
        <v>105</v>
      </c>
      <c r="Q22" s="32"/>
      <c r="R22" s="32">
        <v>52.1</v>
      </c>
      <c r="S22" s="32"/>
      <c r="T22" s="32" t="s">
        <v>93</v>
      </c>
      <c r="U22" s="32">
        <v>34</v>
      </c>
      <c r="V22" s="32">
        <v>6.9</v>
      </c>
      <c r="W22" s="32"/>
      <c r="X22" s="32">
        <v>2.2000000000000002</v>
      </c>
      <c r="Y22" s="32"/>
      <c r="Z22" s="32">
        <v>2.6</v>
      </c>
      <c r="AA22" s="37"/>
    </row>
    <row r="23" spans="2:27" x14ac:dyDescent="0.3">
      <c r="B23" s="197"/>
      <c r="C23" s="177">
        <f>S7</f>
        <v>85</v>
      </c>
      <c r="D23" s="171" t="s">
        <v>48</v>
      </c>
      <c r="E23" s="172">
        <v>0</v>
      </c>
      <c r="F23" s="182">
        <v>0</v>
      </c>
      <c r="G23" s="174">
        <v>0.7</v>
      </c>
      <c r="H23" s="175">
        <v>2650</v>
      </c>
      <c r="I23" s="176" t="s">
        <v>59</v>
      </c>
      <c r="J23" s="178">
        <v>3.6499999999999998E-2</v>
      </c>
      <c r="K23" s="178">
        <v>322</v>
      </c>
      <c r="L23" s="174" t="s">
        <v>15</v>
      </c>
      <c r="N23" s="36" t="s">
        <v>106</v>
      </c>
      <c r="O23" s="32">
        <v>800</v>
      </c>
      <c r="P23" s="32" t="s">
        <v>107</v>
      </c>
      <c r="Q23" s="32" t="s">
        <v>108</v>
      </c>
      <c r="R23" s="32">
        <v>27.4</v>
      </c>
      <c r="S23" s="32">
        <v>2.2000000000000002</v>
      </c>
      <c r="T23" s="32"/>
      <c r="U23" s="32">
        <v>54.1</v>
      </c>
      <c r="V23" s="32">
        <v>8</v>
      </c>
      <c r="W23" s="32">
        <v>8.1</v>
      </c>
      <c r="X23" s="32" t="s">
        <v>93</v>
      </c>
      <c r="Y23" s="32"/>
      <c r="Z23" s="32"/>
      <c r="AA23" s="37"/>
    </row>
    <row r="24" spans="2:27" ht="15" thickBot="1" x14ac:dyDescent="0.35">
      <c r="B24" s="197"/>
      <c r="C24" s="206"/>
      <c r="D24" s="171"/>
      <c r="E24" s="179"/>
      <c r="F24" s="182"/>
      <c r="G24" s="174"/>
      <c r="H24" s="174"/>
      <c r="I24" s="176" t="s">
        <v>63</v>
      </c>
      <c r="J24" s="178"/>
      <c r="K24" s="178">
        <v>48.5</v>
      </c>
      <c r="L24" s="174" t="s">
        <v>14</v>
      </c>
      <c r="N24" s="36"/>
      <c r="O24" s="32">
        <v>1550</v>
      </c>
      <c r="P24" s="32" t="s">
        <v>109</v>
      </c>
      <c r="Q24" s="32"/>
      <c r="R24" s="32">
        <v>32.6</v>
      </c>
      <c r="S24" s="32"/>
      <c r="T24" s="32"/>
      <c r="U24" s="32">
        <v>55.6</v>
      </c>
      <c r="V24" s="32">
        <v>8.6999999999999993</v>
      </c>
      <c r="W24" s="32">
        <v>2.9</v>
      </c>
      <c r="X24" s="32"/>
      <c r="Y24" s="32"/>
      <c r="Z24" s="32"/>
      <c r="AA24" s="37"/>
    </row>
    <row r="25" spans="2:27" ht="15" thickBot="1" x14ac:dyDescent="0.35">
      <c r="B25" s="199"/>
      <c r="C25" s="203">
        <f>C4*(C20+C22+C23)</f>
        <v>34673293466.595001</v>
      </c>
      <c r="D25" s="226" t="s">
        <v>457</v>
      </c>
      <c r="E25" s="223">
        <f>E19*G19+E20*G20+E21*G21+E22*G22+E23*G23</f>
        <v>1.3085999999999998</v>
      </c>
      <c r="F25" s="224" t="s">
        <v>458</v>
      </c>
      <c r="G25" s="227">
        <f>(F19*G19+G20*F20+F21*G21+G22*F22+G23*F23)/1000000</f>
        <v>45373.471830386217</v>
      </c>
      <c r="H25" s="194"/>
      <c r="I25" s="192" t="s">
        <v>17</v>
      </c>
      <c r="J25" s="192"/>
      <c r="K25" s="201">
        <f>0.0001*H19*(9.52*K21+2.56*K20+3.48*K19)</f>
        <v>2.6652088320000002</v>
      </c>
      <c r="L25" s="193" t="s">
        <v>57</v>
      </c>
      <c r="N25" s="36"/>
      <c r="O25" s="32">
        <v>2480</v>
      </c>
      <c r="P25" s="32" t="s">
        <v>110</v>
      </c>
      <c r="Q25" s="32"/>
      <c r="R25" s="32">
        <v>22.7</v>
      </c>
      <c r="S25" s="32">
        <v>1.1000000000000001</v>
      </c>
      <c r="T25" s="32"/>
      <c r="U25" s="32">
        <v>63.7</v>
      </c>
      <c r="V25" s="32">
        <v>2</v>
      </c>
      <c r="W25" s="32"/>
      <c r="X25" s="32" t="s">
        <v>93</v>
      </c>
      <c r="Y25" s="32"/>
      <c r="Z25" s="32"/>
      <c r="AA25" s="37"/>
    </row>
    <row r="26" spans="2:27" x14ac:dyDescent="0.3">
      <c r="B26" s="197" t="s">
        <v>39</v>
      </c>
      <c r="C26" s="177"/>
      <c r="D26" s="171" t="s">
        <v>49</v>
      </c>
      <c r="E26" s="172" t="s">
        <v>13</v>
      </c>
      <c r="F26" s="172" t="s">
        <v>9</v>
      </c>
      <c r="G26" s="182">
        <v>2.827</v>
      </c>
      <c r="H26" s="183">
        <v>2650</v>
      </c>
      <c r="I26" s="176"/>
      <c r="J26" s="176"/>
      <c r="K26" s="176"/>
      <c r="L26" s="174"/>
      <c r="N26" s="36"/>
      <c r="O26" s="32">
        <v>3104.5</v>
      </c>
      <c r="P26" s="32" t="s">
        <v>111</v>
      </c>
      <c r="Q26" s="32"/>
      <c r="R26" s="32">
        <v>22</v>
      </c>
      <c r="S26" s="32">
        <v>1</v>
      </c>
      <c r="T26" s="32"/>
      <c r="U26" s="32">
        <v>66.599999999999994</v>
      </c>
      <c r="V26" s="32">
        <v>7</v>
      </c>
      <c r="W26" s="32">
        <v>2.8</v>
      </c>
      <c r="X26" s="32">
        <v>0.7</v>
      </c>
      <c r="Y26" s="32"/>
      <c r="Z26" s="32"/>
      <c r="AA26" s="37"/>
    </row>
    <row r="27" spans="2:27" ht="15" thickBot="1" x14ac:dyDescent="0.35">
      <c r="B27" s="197"/>
      <c r="C27" s="177"/>
      <c r="D27" s="171" t="s">
        <v>50</v>
      </c>
      <c r="E27" s="172" t="s">
        <v>13</v>
      </c>
      <c r="F27" s="172" t="s">
        <v>9</v>
      </c>
      <c r="G27" s="182">
        <v>0.35799999999999998</v>
      </c>
      <c r="H27" s="183">
        <v>2750</v>
      </c>
      <c r="I27" s="176" t="s">
        <v>58</v>
      </c>
      <c r="J27" s="176"/>
      <c r="K27" s="176"/>
      <c r="L27" s="174"/>
      <c r="N27" s="38"/>
      <c r="O27" s="39">
        <v>3839</v>
      </c>
      <c r="P27" s="39" t="s">
        <v>112</v>
      </c>
      <c r="Q27" s="39"/>
      <c r="R27" s="39">
        <v>27</v>
      </c>
      <c r="S27" s="39"/>
      <c r="T27" s="39"/>
      <c r="U27" s="39">
        <v>47.8</v>
      </c>
      <c r="V27" s="39">
        <v>204</v>
      </c>
      <c r="W27" s="39"/>
      <c r="X27" s="39">
        <v>4.0999999999999996</v>
      </c>
      <c r="Y27" s="39"/>
      <c r="Z27" s="39" t="s">
        <v>93</v>
      </c>
      <c r="AA27" s="40">
        <v>1.7</v>
      </c>
    </row>
    <row r="28" spans="2:27" x14ac:dyDescent="0.3">
      <c r="B28" s="197"/>
      <c r="C28" s="177"/>
      <c r="D28" s="171" t="s">
        <v>45</v>
      </c>
      <c r="E28" s="172">
        <v>0.3</v>
      </c>
      <c r="F28" s="172" t="s">
        <v>9</v>
      </c>
      <c r="G28" s="182">
        <v>0.89600000000000002</v>
      </c>
      <c r="H28" s="183">
        <v>2400</v>
      </c>
      <c r="I28" s="176" t="s">
        <v>12</v>
      </c>
      <c r="J28" s="178">
        <v>9.8313999999999994E-5</v>
      </c>
      <c r="K28" s="178">
        <v>0.78</v>
      </c>
      <c r="L28" s="174" t="s">
        <v>15</v>
      </c>
    </row>
    <row r="29" spans="2:27" x14ac:dyDescent="0.3">
      <c r="B29" s="197"/>
      <c r="C29" s="177">
        <f>3800*G2-(C10+C17+C20+C22+C23)+600</f>
        <v>873.24</v>
      </c>
      <c r="D29" s="171" t="s">
        <v>46</v>
      </c>
      <c r="E29" s="172">
        <v>0.5</v>
      </c>
      <c r="F29" s="172" t="s">
        <v>9</v>
      </c>
      <c r="G29" s="182">
        <v>1.3919999999999999</v>
      </c>
      <c r="H29" s="183">
        <v>2400</v>
      </c>
      <c r="I29" s="176" t="s">
        <v>10</v>
      </c>
      <c r="J29" s="178">
        <v>3.3999999999999998E-9</v>
      </c>
      <c r="K29" s="178">
        <v>19.899999999999999</v>
      </c>
      <c r="L29" s="174" t="s">
        <v>14</v>
      </c>
    </row>
    <row r="30" spans="2:27" x14ac:dyDescent="0.3">
      <c r="B30" s="197"/>
      <c r="C30" s="177"/>
      <c r="D30" s="171" t="s">
        <v>51</v>
      </c>
      <c r="E30" s="172">
        <v>0.2</v>
      </c>
      <c r="F30" s="172" t="s">
        <v>9</v>
      </c>
      <c r="G30" s="182">
        <v>2.0659999999999998</v>
      </c>
      <c r="H30" s="183">
        <v>2789</v>
      </c>
      <c r="I30" s="176" t="s">
        <v>59</v>
      </c>
      <c r="J30" s="178">
        <v>3.6499999999999998E-2</v>
      </c>
      <c r="K30" s="178">
        <v>3280</v>
      </c>
      <c r="L30" s="174" t="s">
        <v>15</v>
      </c>
    </row>
    <row r="31" spans="2:27" x14ac:dyDescent="0.3">
      <c r="B31" s="197"/>
      <c r="C31" s="177"/>
      <c r="D31" s="171" t="s">
        <v>47</v>
      </c>
      <c r="E31" s="172">
        <v>0</v>
      </c>
      <c r="F31" s="172">
        <v>0</v>
      </c>
      <c r="G31" s="182">
        <v>0.5</v>
      </c>
      <c r="H31" s="183">
        <v>1200</v>
      </c>
      <c r="I31" s="176" t="s">
        <v>60</v>
      </c>
      <c r="J31" s="178">
        <v>0.35830000000000001</v>
      </c>
      <c r="K31" s="178">
        <v>13</v>
      </c>
      <c r="L31" s="174" t="s">
        <v>15</v>
      </c>
    </row>
    <row r="32" spans="2:27" ht="15" thickBot="1" x14ac:dyDescent="0.35">
      <c r="B32" s="207"/>
      <c r="C32" s="208"/>
      <c r="D32" s="209" t="s">
        <v>48</v>
      </c>
      <c r="E32" s="210">
        <v>0</v>
      </c>
      <c r="F32" s="210">
        <v>0</v>
      </c>
      <c r="G32" s="211">
        <v>0.7</v>
      </c>
      <c r="H32" s="212">
        <v>2650</v>
      </c>
      <c r="I32" s="176" t="s">
        <v>62</v>
      </c>
      <c r="J32" s="178"/>
      <c r="K32" s="178">
        <v>456</v>
      </c>
      <c r="L32" s="174" t="s">
        <v>14</v>
      </c>
    </row>
    <row r="33" spans="2:12" ht="15" thickBot="1" x14ac:dyDescent="0.35">
      <c r="B33" s="195"/>
      <c r="C33" s="202">
        <f>C4*C29</f>
        <v>71242604204.163345</v>
      </c>
      <c r="D33" s="226" t="s">
        <v>457</v>
      </c>
      <c r="E33" s="228">
        <f>E28*G28+E29*G29+E30*G30+E31*G31</f>
        <v>1.3779999999999999</v>
      </c>
      <c r="F33" s="228" t="s">
        <v>458</v>
      </c>
      <c r="G33" s="228"/>
      <c r="H33" s="196"/>
      <c r="I33" s="191" t="s">
        <v>17</v>
      </c>
      <c r="J33" s="192"/>
      <c r="K33" s="201">
        <f>0.0001*H27*(9.52*K28+3.48*K9)</f>
        <v>3.7646400000000004</v>
      </c>
      <c r="L33" s="193" t="s">
        <v>57</v>
      </c>
    </row>
    <row r="34" spans="2:12" ht="15" thickBot="1" x14ac:dyDescent="0.35">
      <c r="B34" s="184" t="s">
        <v>44</v>
      </c>
      <c r="C34" s="185"/>
      <c r="D34" s="186" t="s">
        <v>56</v>
      </c>
      <c r="E34" s="187"/>
      <c r="F34" s="187"/>
      <c r="G34" s="188">
        <f>G12+G18+G25</f>
        <v>85657.801606295427</v>
      </c>
      <c r="H34" s="189" t="s">
        <v>40</v>
      </c>
      <c r="I34" s="180"/>
      <c r="J34" s="180"/>
      <c r="K34" s="180"/>
      <c r="L34" s="181"/>
    </row>
    <row r="35" spans="2:12" x14ac:dyDescent="0.3">
      <c r="B35" s="14" t="s">
        <v>61</v>
      </c>
      <c r="C35" s="15"/>
      <c r="D35" s="16"/>
      <c r="E35" s="17"/>
      <c r="F35" s="18"/>
      <c r="G35" s="16"/>
      <c r="H35" s="16"/>
      <c r="I35" s="16"/>
      <c r="J35" s="16"/>
      <c r="K35" s="16"/>
      <c r="L35" s="16"/>
    </row>
    <row r="37" spans="2:12" x14ac:dyDescent="0.3">
      <c r="J37" s="20"/>
    </row>
    <row r="38" spans="2:12" x14ac:dyDescent="0.3">
      <c r="J38" s="19"/>
    </row>
    <row r="76" spans="5:5" x14ac:dyDescent="0.3">
      <c r="E76"/>
    </row>
  </sheetData>
  <mergeCells count="10">
    <mergeCell ref="N11:U11"/>
    <mergeCell ref="Z2:AG2"/>
    <mergeCell ref="D34:F34"/>
    <mergeCell ref="B19:B20"/>
    <mergeCell ref="B22:B24"/>
    <mergeCell ref="B26:B32"/>
    <mergeCell ref="B6:B9"/>
    <mergeCell ref="B13:B16"/>
    <mergeCell ref="K5:L5"/>
    <mergeCell ref="I2:L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zoomScale="65" workbookViewId="0">
      <selection activeCell="L44" sqref="L44"/>
    </sheetView>
  </sheetViews>
  <sheetFormatPr defaultColWidth="20.33203125" defaultRowHeight="14.4" x14ac:dyDescent="0.3"/>
  <cols>
    <col min="1" max="1" width="8.5546875" customWidth="1"/>
    <col min="2" max="2" width="19.109375" bestFit="1" customWidth="1"/>
    <col min="5" max="5" width="7.109375" bestFit="1" customWidth="1"/>
    <col min="6" max="6" width="6.44140625" bestFit="1" customWidth="1"/>
    <col min="7" max="7" width="6" bestFit="1" customWidth="1"/>
    <col min="8" max="8" width="6.5546875" bestFit="1" customWidth="1"/>
    <col min="9" max="9" width="5.44140625" bestFit="1" customWidth="1"/>
    <col min="10" max="10" width="6.6640625" customWidth="1"/>
  </cols>
  <sheetData>
    <row r="1" spans="1:11" ht="15" thickBot="1" x14ac:dyDescent="0.35">
      <c r="A1" s="43"/>
      <c r="B1" s="44" t="s">
        <v>113</v>
      </c>
      <c r="C1" s="45" t="s">
        <v>114</v>
      </c>
      <c r="D1" s="45" t="s">
        <v>115</v>
      </c>
      <c r="E1" s="45" t="s">
        <v>116</v>
      </c>
      <c r="F1" s="45" t="s">
        <v>117</v>
      </c>
      <c r="G1" s="45" t="s">
        <v>118</v>
      </c>
      <c r="H1" s="45" t="s">
        <v>375</v>
      </c>
      <c r="I1" s="45" t="s">
        <v>119</v>
      </c>
      <c r="J1" s="41"/>
      <c r="K1" s="42" t="s">
        <v>120</v>
      </c>
    </row>
    <row r="2" spans="1:11" ht="15" thickBot="1" x14ac:dyDescent="0.35">
      <c r="A2" s="41"/>
      <c r="B2" s="46" t="s">
        <v>121</v>
      </c>
      <c r="C2" s="47" t="s">
        <v>122</v>
      </c>
      <c r="D2" s="47" t="s">
        <v>123</v>
      </c>
      <c r="E2" s="47" t="s">
        <v>124</v>
      </c>
      <c r="F2" s="47">
        <v>299</v>
      </c>
      <c r="G2" s="47" t="s">
        <v>125</v>
      </c>
      <c r="H2" s="47" t="s">
        <v>126</v>
      </c>
      <c r="I2" s="47" t="s">
        <v>127</v>
      </c>
      <c r="J2" s="41"/>
      <c r="K2" s="42" t="s">
        <v>128</v>
      </c>
    </row>
    <row r="3" spans="1:11" ht="15" thickBot="1" x14ac:dyDescent="0.35">
      <c r="A3" s="41"/>
      <c r="B3" s="48" t="s">
        <v>121</v>
      </c>
      <c r="C3" s="49" t="s">
        <v>122</v>
      </c>
      <c r="D3" s="49" t="s">
        <v>129</v>
      </c>
      <c r="E3" s="49" t="s">
        <v>124</v>
      </c>
      <c r="F3" s="49">
        <v>301</v>
      </c>
      <c r="G3" s="49" t="s">
        <v>130</v>
      </c>
      <c r="H3" s="49" t="s">
        <v>131</v>
      </c>
      <c r="I3" s="49" t="s">
        <v>127</v>
      </c>
      <c r="J3" s="41"/>
      <c r="K3" s="42" t="s">
        <v>132</v>
      </c>
    </row>
    <row r="4" spans="1:11" ht="15" thickBot="1" x14ac:dyDescent="0.35">
      <c r="A4" s="41"/>
      <c r="B4" s="46" t="s">
        <v>121</v>
      </c>
      <c r="C4" s="47" t="s">
        <v>122</v>
      </c>
      <c r="D4" s="47" t="s">
        <v>133</v>
      </c>
      <c r="E4" s="47" t="s">
        <v>124</v>
      </c>
      <c r="F4" s="47">
        <v>282</v>
      </c>
      <c r="G4" s="47" t="s">
        <v>134</v>
      </c>
      <c r="H4" s="47" t="s">
        <v>135</v>
      </c>
      <c r="I4" s="47" t="s">
        <v>127</v>
      </c>
      <c r="J4" s="41"/>
      <c r="K4" s="42" t="s">
        <v>136</v>
      </c>
    </row>
    <row r="5" spans="1:11" ht="15" thickBot="1" x14ac:dyDescent="0.35">
      <c r="A5" s="41"/>
      <c r="B5" s="48" t="s">
        <v>137</v>
      </c>
      <c r="C5" s="49" t="s">
        <v>122</v>
      </c>
      <c r="D5" s="49" t="s">
        <v>138</v>
      </c>
      <c r="E5" s="49" t="s">
        <v>139</v>
      </c>
      <c r="F5" s="49">
        <v>736</v>
      </c>
      <c r="G5" s="49" t="s">
        <v>140</v>
      </c>
      <c r="H5" s="49" t="s">
        <v>141</v>
      </c>
      <c r="I5" s="49" t="s">
        <v>142</v>
      </c>
      <c r="J5" s="41"/>
      <c r="K5" s="42" t="s">
        <v>143</v>
      </c>
    </row>
    <row r="6" spans="1:11" ht="15" thickBot="1" x14ac:dyDescent="0.35">
      <c r="A6" s="41"/>
      <c r="B6" s="46" t="s">
        <v>144</v>
      </c>
      <c r="C6" s="47" t="s">
        <v>145</v>
      </c>
      <c r="D6" s="47" t="s">
        <v>146</v>
      </c>
      <c r="E6" s="47" t="s">
        <v>124</v>
      </c>
      <c r="F6" s="47">
        <v>294</v>
      </c>
      <c r="G6" s="47" t="s">
        <v>147</v>
      </c>
      <c r="H6" s="47" t="s">
        <v>148</v>
      </c>
      <c r="I6" s="47" t="s">
        <v>142</v>
      </c>
      <c r="J6" s="41"/>
      <c r="K6" s="41" t="s">
        <v>352</v>
      </c>
    </row>
    <row r="7" spans="1:11" ht="15" thickBot="1" x14ac:dyDescent="0.35">
      <c r="A7" s="41"/>
      <c r="B7" s="48" t="s">
        <v>149</v>
      </c>
      <c r="C7" s="49" t="s">
        <v>145</v>
      </c>
      <c r="D7" s="49" t="s">
        <v>150</v>
      </c>
      <c r="E7" s="49" t="s">
        <v>124</v>
      </c>
      <c r="F7" s="49">
        <v>263</v>
      </c>
      <c r="G7" s="49" t="s">
        <v>147</v>
      </c>
      <c r="H7" s="49" t="s">
        <v>151</v>
      </c>
      <c r="I7" s="49" t="s">
        <v>142</v>
      </c>
      <c r="J7" s="41"/>
      <c r="K7" s="41"/>
    </row>
    <row r="8" spans="1:11" ht="15" thickBot="1" x14ac:dyDescent="0.35">
      <c r="A8" s="41"/>
      <c r="B8" s="46" t="s">
        <v>152</v>
      </c>
      <c r="C8" s="47" t="s">
        <v>145</v>
      </c>
      <c r="D8" s="47" t="s">
        <v>153</v>
      </c>
      <c r="E8" s="47" t="s">
        <v>124</v>
      </c>
      <c r="F8" s="47">
        <v>296</v>
      </c>
      <c r="G8" s="47" t="s">
        <v>147</v>
      </c>
      <c r="H8" s="47" t="s">
        <v>154</v>
      </c>
      <c r="I8" s="47" t="s">
        <v>142</v>
      </c>
      <c r="J8" s="41"/>
      <c r="K8" s="41"/>
    </row>
    <row r="9" spans="1:11" ht="15" thickBot="1" x14ac:dyDescent="0.35">
      <c r="A9" s="41"/>
      <c r="B9" s="48" t="s">
        <v>155</v>
      </c>
      <c r="C9" s="49" t="s">
        <v>156</v>
      </c>
      <c r="D9" s="49" t="s">
        <v>157</v>
      </c>
      <c r="E9" s="49" t="s">
        <v>124</v>
      </c>
      <c r="F9" s="49">
        <v>964</v>
      </c>
      <c r="G9" s="49" t="s">
        <v>158</v>
      </c>
      <c r="H9" s="49" t="s">
        <v>159</v>
      </c>
      <c r="I9" s="49" t="s">
        <v>127</v>
      </c>
      <c r="J9" s="41"/>
      <c r="K9" s="41"/>
    </row>
    <row r="10" spans="1:11" ht="15" thickBot="1" x14ac:dyDescent="0.35">
      <c r="A10" s="41"/>
      <c r="B10" s="46" t="s">
        <v>160</v>
      </c>
      <c r="C10" s="47" t="s">
        <v>156</v>
      </c>
      <c r="D10" s="47" t="s">
        <v>161</v>
      </c>
      <c r="E10" s="47" t="s">
        <v>124</v>
      </c>
      <c r="F10" s="47">
        <v>300</v>
      </c>
      <c r="G10" s="47" t="s">
        <v>162</v>
      </c>
      <c r="H10" s="47" t="s">
        <v>163</v>
      </c>
      <c r="I10" s="47" t="s">
        <v>127</v>
      </c>
      <c r="J10" s="41"/>
      <c r="K10" s="41"/>
    </row>
    <row r="11" spans="1:11" ht="15" thickBot="1" x14ac:dyDescent="0.35">
      <c r="A11" s="41"/>
      <c r="B11" s="48" t="s">
        <v>164</v>
      </c>
      <c r="C11" s="49" t="s">
        <v>156</v>
      </c>
      <c r="D11" s="49" t="s">
        <v>165</v>
      </c>
      <c r="E11" s="49" t="s">
        <v>166</v>
      </c>
      <c r="F11" s="49">
        <v>883</v>
      </c>
      <c r="G11" s="49" t="s">
        <v>167</v>
      </c>
      <c r="H11" s="49" t="s">
        <v>168</v>
      </c>
      <c r="I11" s="49" t="s">
        <v>142</v>
      </c>
      <c r="J11" s="41"/>
      <c r="K11" s="41"/>
    </row>
    <row r="12" spans="1:11" ht="15" thickBot="1" x14ac:dyDescent="0.35">
      <c r="A12" s="41"/>
      <c r="B12" s="46" t="s">
        <v>169</v>
      </c>
      <c r="C12" s="47" t="s">
        <v>156</v>
      </c>
      <c r="D12" s="47" t="s">
        <v>170</v>
      </c>
      <c r="E12" s="47" t="s">
        <v>124</v>
      </c>
      <c r="F12" s="47">
        <v>350</v>
      </c>
      <c r="G12" s="47" t="s">
        <v>171</v>
      </c>
      <c r="H12" s="47" t="s">
        <v>172</v>
      </c>
      <c r="I12" s="47" t="s">
        <v>127</v>
      </c>
      <c r="J12" s="41"/>
      <c r="K12" s="41"/>
    </row>
    <row r="13" spans="1:11" ht="15" thickBot="1" x14ac:dyDescent="0.35">
      <c r="A13" s="41"/>
      <c r="B13" s="48" t="s">
        <v>173</v>
      </c>
      <c r="C13" s="49" t="s">
        <v>156</v>
      </c>
      <c r="D13" s="49" t="s">
        <v>174</v>
      </c>
      <c r="E13" s="49" t="s">
        <v>175</v>
      </c>
      <c r="F13" s="49">
        <v>1134</v>
      </c>
      <c r="G13" s="49" t="s">
        <v>176</v>
      </c>
      <c r="H13" s="49" t="s">
        <v>177</v>
      </c>
      <c r="I13" s="49" t="s">
        <v>142</v>
      </c>
      <c r="J13" s="41"/>
      <c r="K13" s="41"/>
    </row>
    <row r="14" spans="1:11" ht="15" thickBot="1" x14ac:dyDescent="0.35">
      <c r="A14" s="41"/>
      <c r="B14" s="46" t="s">
        <v>178</v>
      </c>
      <c r="C14" s="47" t="s">
        <v>156</v>
      </c>
      <c r="D14" s="47" t="s">
        <v>179</v>
      </c>
      <c r="E14" s="47" t="s">
        <v>180</v>
      </c>
      <c r="F14" s="47">
        <v>160</v>
      </c>
      <c r="G14" s="47" t="s">
        <v>181</v>
      </c>
      <c r="H14" s="47" t="s">
        <v>176</v>
      </c>
      <c r="I14" s="47" t="s">
        <v>182</v>
      </c>
      <c r="J14" s="41"/>
      <c r="K14" s="41"/>
    </row>
    <row r="15" spans="1:11" ht="15" thickBot="1" x14ac:dyDescent="0.35">
      <c r="A15" s="41"/>
      <c r="B15" s="48" t="s">
        <v>183</v>
      </c>
      <c r="C15" s="49" t="s">
        <v>156</v>
      </c>
      <c r="D15" s="49" t="s">
        <v>184</v>
      </c>
      <c r="E15" s="49" t="s">
        <v>180</v>
      </c>
      <c r="F15" s="49">
        <v>105</v>
      </c>
      <c r="G15" s="49" t="s">
        <v>185</v>
      </c>
      <c r="H15" s="49" t="s">
        <v>186</v>
      </c>
      <c r="I15" s="49" t="s">
        <v>182</v>
      </c>
      <c r="J15" s="41"/>
      <c r="K15" s="41"/>
    </row>
    <row r="16" spans="1:11" ht="15" hidden="1" thickBot="1" x14ac:dyDescent="0.35">
      <c r="A16" s="41"/>
      <c r="B16" s="46" t="s">
        <v>187</v>
      </c>
      <c r="C16" s="47" t="s">
        <v>156</v>
      </c>
      <c r="D16" s="47" t="s">
        <v>188</v>
      </c>
      <c r="E16" s="47" t="s">
        <v>175</v>
      </c>
      <c r="F16" s="47">
        <v>239</v>
      </c>
      <c r="G16" s="47" t="s">
        <v>189</v>
      </c>
      <c r="H16" s="47" t="s">
        <v>190</v>
      </c>
      <c r="I16" s="47" t="s">
        <v>191</v>
      </c>
      <c r="J16" s="41"/>
      <c r="K16" s="41"/>
    </row>
    <row r="17" spans="2:9" ht="15" hidden="1" thickBot="1" x14ac:dyDescent="0.35">
      <c r="B17" s="48" t="s">
        <v>192</v>
      </c>
      <c r="C17" s="49" t="s">
        <v>156</v>
      </c>
      <c r="D17" s="49" t="s">
        <v>193</v>
      </c>
      <c r="E17" s="49" t="s">
        <v>175</v>
      </c>
      <c r="F17" s="49">
        <v>387</v>
      </c>
      <c r="G17" s="49" t="s">
        <v>194</v>
      </c>
      <c r="H17" s="49" t="s">
        <v>195</v>
      </c>
      <c r="I17" s="49" t="s">
        <v>191</v>
      </c>
    </row>
    <row r="18" spans="2:9" ht="15" hidden="1" thickBot="1" x14ac:dyDescent="0.35">
      <c r="B18" s="46" t="s">
        <v>196</v>
      </c>
      <c r="C18" s="47" t="s">
        <v>156</v>
      </c>
      <c r="D18" s="47" t="s">
        <v>197</v>
      </c>
      <c r="E18" s="47" t="s">
        <v>175</v>
      </c>
      <c r="F18" s="47">
        <v>334</v>
      </c>
      <c r="G18" s="47" t="s">
        <v>198</v>
      </c>
      <c r="H18" s="47" t="s">
        <v>199</v>
      </c>
      <c r="I18" s="47" t="s">
        <v>191</v>
      </c>
    </row>
    <row r="19" spans="2:9" ht="15" hidden="1" thickBot="1" x14ac:dyDescent="0.35">
      <c r="B19" s="48" t="s">
        <v>200</v>
      </c>
      <c r="C19" s="49" t="s">
        <v>156</v>
      </c>
      <c r="D19" s="49" t="s">
        <v>201</v>
      </c>
      <c r="E19" s="49" t="s">
        <v>175</v>
      </c>
      <c r="F19" s="49">
        <v>436</v>
      </c>
      <c r="G19" s="49" t="s">
        <v>202</v>
      </c>
      <c r="H19" s="49" t="s">
        <v>203</v>
      </c>
      <c r="I19" s="49" t="s">
        <v>191</v>
      </c>
    </row>
    <row r="20" spans="2:9" ht="15" hidden="1" thickBot="1" x14ac:dyDescent="0.35">
      <c r="B20" s="46" t="s">
        <v>204</v>
      </c>
      <c r="C20" s="47" t="s">
        <v>156</v>
      </c>
      <c r="D20" s="47" t="s">
        <v>205</v>
      </c>
      <c r="E20" s="47" t="s">
        <v>175</v>
      </c>
      <c r="F20" s="47">
        <v>411</v>
      </c>
      <c r="G20" s="47" t="s">
        <v>198</v>
      </c>
      <c r="H20" s="47" t="s">
        <v>206</v>
      </c>
      <c r="I20" s="47" t="s">
        <v>191</v>
      </c>
    </row>
    <row r="21" spans="2:9" ht="15" hidden="1" thickBot="1" x14ac:dyDescent="0.35">
      <c r="B21" s="48" t="s">
        <v>207</v>
      </c>
      <c r="C21" s="49" t="s">
        <v>156</v>
      </c>
      <c r="D21" s="49" t="s">
        <v>208</v>
      </c>
      <c r="E21" s="49" t="s">
        <v>175</v>
      </c>
      <c r="F21" s="49">
        <v>655</v>
      </c>
      <c r="G21" s="49" t="s">
        <v>198</v>
      </c>
      <c r="H21" s="49" t="s">
        <v>209</v>
      </c>
      <c r="I21" s="49" t="s">
        <v>191</v>
      </c>
    </row>
    <row r="22" spans="2:9" ht="15" hidden="1" thickBot="1" x14ac:dyDescent="0.35">
      <c r="B22" s="46" t="s">
        <v>210</v>
      </c>
      <c r="C22" s="47" t="s">
        <v>156</v>
      </c>
      <c r="D22" s="47" t="s">
        <v>211</v>
      </c>
      <c r="E22" s="47" t="s">
        <v>175</v>
      </c>
      <c r="F22" s="47">
        <v>549</v>
      </c>
      <c r="G22" s="47" t="s">
        <v>198</v>
      </c>
      <c r="H22" s="47" t="s">
        <v>212</v>
      </c>
      <c r="I22" s="47" t="s">
        <v>191</v>
      </c>
    </row>
    <row r="23" spans="2:9" ht="15" thickBot="1" x14ac:dyDescent="0.35">
      <c r="B23" s="48" t="s">
        <v>213</v>
      </c>
      <c r="C23" s="49" t="s">
        <v>156</v>
      </c>
      <c r="D23" s="49" t="s">
        <v>214</v>
      </c>
      <c r="E23" s="49" t="s">
        <v>175</v>
      </c>
      <c r="F23" s="49">
        <v>410</v>
      </c>
      <c r="G23" s="49" t="s">
        <v>147</v>
      </c>
      <c r="H23" s="49" t="s">
        <v>162</v>
      </c>
      <c r="I23" s="49" t="s">
        <v>142</v>
      </c>
    </row>
    <row r="24" spans="2:9" ht="15" thickBot="1" x14ac:dyDescent="0.35">
      <c r="B24" s="46" t="s">
        <v>215</v>
      </c>
      <c r="C24" s="47" t="s">
        <v>156</v>
      </c>
      <c r="D24" s="47" t="s">
        <v>216</v>
      </c>
      <c r="E24" s="47" t="s">
        <v>175</v>
      </c>
      <c r="F24" s="47">
        <v>510</v>
      </c>
      <c r="G24" s="47" t="s">
        <v>202</v>
      </c>
      <c r="H24" s="47" t="s">
        <v>217</v>
      </c>
      <c r="I24" s="47" t="s">
        <v>142</v>
      </c>
    </row>
    <row r="25" spans="2:9" ht="15" thickBot="1" x14ac:dyDescent="0.35">
      <c r="B25" s="48" t="s">
        <v>218</v>
      </c>
      <c r="C25" s="49" t="s">
        <v>156</v>
      </c>
      <c r="D25" s="49" t="s">
        <v>219</v>
      </c>
      <c r="E25" s="49" t="s">
        <v>175</v>
      </c>
      <c r="F25" s="49">
        <v>325</v>
      </c>
      <c r="G25" s="49" t="s">
        <v>163</v>
      </c>
      <c r="H25" s="49" t="s">
        <v>220</v>
      </c>
      <c r="I25" s="49" t="s">
        <v>142</v>
      </c>
    </row>
    <row r="26" spans="2:9" ht="15" thickBot="1" x14ac:dyDescent="0.35">
      <c r="B26" s="46" t="s">
        <v>221</v>
      </c>
      <c r="C26" s="47" t="s">
        <v>156</v>
      </c>
      <c r="D26" s="47" t="s">
        <v>222</v>
      </c>
      <c r="E26" s="47" t="s">
        <v>175</v>
      </c>
      <c r="F26" s="47">
        <v>404</v>
      </c>
      <c r="G26" s="47" t="s">
        <v>223</v>
      </c>
      <c r="H26" s="47" t="s">
        <v>224</v>
      </c>
      <c r="I26" s="47" t="s">
        <v>142</v>
      </c>
    </row>
    <row r="27" spans="2:9" ht="15" thickBot="1" x14ac:dyDescent="0.35">
      <c r="B27" s="48" t="s">
        <v>225</v>
      </c>
      <c r="C27" s="49" t="s">
        <v>156</v>
      </c>
      <c r="D27" s="49" t="s">
        <v>226</v>
      </c>
      <c r="E27" s="49" t="s">
        <v>175</v>
      </c>
      <c r="F27" s="49">
        <v>488</v>
      </c>
      <c r="G27" s="49" t="s">
        <v>163</v>
      </c>
      <c r="H27" s="49" t="s">
        <v>227</v>
      </c>
      <c r="I27" s="49" t="s">
        <v>142</v>
      </c>
    </row>
    <row r="28" spans="2:9" ht="15" thickBot="1" x14ac:dyDescent="0.35">
      <c r="B28" s="46" t="s">
        <v>228</v>
      </c>
      <c r="C28" s="47" t="s">
        <v>156</v>
      </c>
      <c r="D28" s="47" t="s">
        <v>229</v>
      </c>
      <c r="E28" s="47" t="s">
        <v>175</v>
      </c>
      <c r="F28" s="47">
        <v>497</v>
      </c>
      <c r="G28" s="47" t="s">
        <v>202</v>
      </c>
      <c r="H28" s="47" t="s">
        <v>230</v>
      </c>
      <c r="I28" s="47" t="s">
        <v>142</v>
      </c>
    </row>
    <row r="29" spans="2:9" ht="15" thickBot="1" x14ac:dyDescent="0.35">
      <c r="B29" s="48" t="s">
        <v>231</v>
      </c>
      <c r="C29" s="49" t="s">
        <v>156</v>
      </c>
      <c r="D29" s="49" t="s">
        <v>232</v>
      </c>
      <c r="E29" s="49" t="s">
        <v>175</v>
      </c>
      <c r="F29" s="49">
        <v>408</v>
      </c>
      <c r="G29" s="49" t="s">
        <v>233</v>
      </c>
      <c r="H29" s="49" t="s">
        <v>234</v>
      </c>
      <c r="I29" s="49" t="s">
        <v>142</v>
      </c>
    </row>
    <row r="30" spans="2:9" ht="15" thickBot="1" x14ac:dyDescent="0.35">
      <c r="B30" s="46" t="s">
        <v>235</v>
      </c>
      <c r="C30" s="47" t="s">
        <v>156</v>
      </c>
      <c r="D30" s="47" t="s">
        <v>236</v>
      </c>
      <c r="E30" s="47" t="s">
        <v>175</v>
      </c>
      <c r="F30" s="47">
        <v>628</v>
      </c>
      <c r="G30" s="47" t="s">
        <v>167</v>
      </c>
      <c r="H30" s="47" t="s">
        <v>237</v>
      </c>
      <c r="I30" s="47" t="s">
        <v>142</v>
      </c>
    </row>
    <row r="31" spans="2:9" ht="15" thickBot="1" x14ac:dyDescent="0.35">
      <c r="B31" s="48" t="s">
        <v>238</v>
      </c>
      <c r="C31" s="49" t="s">
        <v>156</v>
      </c>
      <c r="D31" s="49" t="s">
        <v>239</v>
      </c>
      <c r="E31" s="49" t="s">
        <v>175</v>
      </c>
      <c r="F31" s="49">
        <v>691</v>
      </c>
      <c r="G31" s="49" t="s">
        <v>240</v>
      </c>
      <c r="H31" s="49" t="s">
        <v>241</v>
      </c>
      <c r="I31" s="49" t="s">
        <v>142</v>
      </c>
    </row>
    <row r="32" spans="2:9" ht="15" thickBot="1" x14ac:dyDescent="0.35">
      <c r="B32" s="46" t="s">
        <v>242</v>
      </c>
      <c r="C32" s="47" t="s">
        <v>156</v>
      </c>
      <c r="D32" s="47" t="s">
        <v>243</v>
      </c>
      <c r="E32" s="47" t="s">
        <v>175</v>
      </c>
      <c r="F32" s="47">
        <v>1024</v>
      </c>
      <c r="G32" s="47" t="s">
        <v>244</v>
      </c>
      <c r="H32" s="47" t="s">
        <v>245</v>
      </c>
      <c r="I32" s="47" t="s">
        <v>142</v>
      </c>
    </row>
    <row r="33" spans="2:12" ht="15" thickBot="1" x14ac:dyDescent="0.35">
      <c r="B33" s="48" t="s">
        <v>246</v>
      </c>
      <c r="C33" s="49" t="s">
        <v>156</v>
      </c>
      <c r="D33" s="49" t="s">
        <v>247</v>
      </c>
      <c r="E33" s="49" t="s">
        <v>175</v>
      </c>
      <c r="F33" s="49">
        <v>1261</v>
      </c>
      <c r="G33" s="49" t="s">
        <v>248</v>
      </c>
      <c r="H33" s="49" t="s">
        <v>249</v>
      </c>
      <c r="I33" s="49" t="s">
        <v>142</v>
      </c>
    </row>
    <row r="34" spans="2:12" ht="15" thickBot="1" x14ac:dyDescent="0.35">
      <c r="B34" s="46" t="s">
        <v>250</v>
      </c>
      <c r="C34" s="47" t="s">
        <v>156</v>
      </c>
      <c r="D34" s="47" t="s">
        <v>251</v>
      </c>
      <c r="E34" s="47" t="s">
        <v>124</v>
      </c>
      <c r="F34" s="47">
        <v>277</v>
      </c>
      <c r="G34" s="47" t="s">
        <v>252</v>
      </c>
      <c r="H34" s="47" t="s">
        <v>253</v>
      </c>
      <c r="I34" s="47" t="s">
        <v>142</v>
      </c>
    </row>
    <row r="35" spans="2:12" ht="15" thickBot="1" x14ac:dyDescent="0.35">
      <c r="B35" s="48" t="s">
        <v>254</v>
      </c>
      <c r="C35" s="49" t="s">
        <v>156</v>
      </c>
      <c r="D35" s="49" t="s">
        <v>255</v>
      </c>
      <c r="E35" s="49" t="s">
        <v>256</v>
      </c>
      <c r="F35" s="49">
        <v>977</v>
      </c>
      <c r="G35" s="49" t="s">
        <v>257</v>
      </c>
      <c r="H35" s="49" t="s">
        <v>258</v>
      </c>
      <c r="I35" s="49" t="s">
        <v>142</v>
      </c>
    </row>
    <row r="36" spans="2:12" ht="15" thickBot="1" x14ac:dyDescent="0.35">
      <c r="B36" s="46" t="s">
        <v>259</v>
      </c>
      <c r="C36" s="47" t="s">
        <v>156</v>
      </c>
      <c r="D36" s="47" t="s">
        <v>260</v>
      </c>
      <c r="E36" s="47" t="s">
        <v>261</v>
      </c>
      <c r="F36" s="47">
        <v>303</v>
      </c>
      <c r="G36" s="47" t="s">
        <v>262</v>
      </c>
      <c r="H36" s="47" t="s">
        <v>263</v>
      </c>
      <c r="I36" s="47" t="s">
        <v>182</v>
      </c>
    </row>
    <row r="37" spans="2:12" ht="15" thickBot="1" x14ac:dyDescent="0.35">
      <c r="B37" s="48" t="s">
        <v>264</v>
      </c>
      <c r="C37" s="49" t="s">
        <v>156</v>
      </c>
      <c r="D37" s="49" t="s">
        <v>265</v>
      </c>
      <c r="E37" s="49" t="s">
        <v>175</v>
      </c>
      <c r="F37" s="49">
        <v>850</v>
      </c>
      <c r="G37" s="49" t="s">
        <v>167</v>
      </c>
      <c r="H37" s="49" t="s">
        <v>168</v>
      </c>
      <c r="I37" s="49" t="s">
        <v>266</v>
      </c>
    </row>
    <row r="38" spans="2:12" ht="15" thickBot="1" x14ac:dyDescent="0.35">
      <c r="B38" s="46" t="s">
        <v>267</v>
      </c>
      <c r="C38" s="47" t="s">
        <v>268</v>
      </c>
      <c r="D38" s="47" t="s">
        <v>269</v>
      </c>
      <c r="E38" s="47" t="s">
        <v>124</v>
      </c>
      <c r="F38" s="47">
        <v>279</v>
      </c>
      <c r="G38" s="47" t="s">
        <v>270</v>
      </c>
      <c r="H38" s="47">
        <v>28.1</v>
      </c>
      <c r="I38" s="47" t="s">
        <v>182</v>
      </c>
    </row>
    <row r="39" spans="2:12" ht="15" thickBot="1" x14ac:dyDescent="0.35">
      <c r="B39" s="48" t="s">
        <v>271</v>
      </c>
      <c r="C39" s="49" t="s">
        <v>268</v>
      </c>
      <c r="D39" s="49" t="s">
        <v>272</v>
      </c>
      <c r="E39" s="49" t="s">
        <v>180</v>
      </c>
      <c r="F39" s="49">
        <v>1205</v>
      </c>
      <c r="G39" s="49"/>
      <c r="H39" s="49">
        <v>19.8</v>
      </c>
      <c r="I39" s="49" t="s">
        <v>182</v>
      </c>
    </row>
    <row r="40" spans="2:12" ht="15" thickBot="1" x14ac:dyDescent="0.35">
      <c r="B40" s="46" t="s">
        <v>273</v>
      </c>
      <c r="C40" s="47" t="s">
        <v>268</v>
      </c>
      <c r="D40" s="47" t="s">
        <v>274</v>
      </c>
      <c r="E40" s="47" t="s">
        <v>175</v>
      </c>
      <c r="F40" s="47">
        <v>1298</v>
      </c>
      <c r="G40" s="47" t="s">
        <v>167</v>
      </c>
      <c r="H40" s="47">
        <v>16.100000000000001</v>
      </c>
      <c r="I40" s="47" t="s">
        <v>142</v>
      </c>
      <c r="K40" s="56"/>
      <c r="L40" s="56"/>
    </row>
    <row r="41" spans="2:12" ht="15" thickBot="1" x14ac:dyDescent="0.35">
      <c r="B41" s="114" t="s">
        <v>275</v>
      </c>
      <c r="C41" s="115" t="s">
        <v>268</v>
      </c>
      <c r="D41" s="115" t="s">
        <v>276</v>
      </c>
      <c r="E41" s="115" t="s">
        <v>124</v>
      </c>
      <c r="F41" s="115">
        <v>877</v>
      </c>
      <c r="G41" s="115" t="s">
        <v>277</v>
      </c>
      <c r="H41" s="115">
        <v>20.9</v>
      </c>
      <c r="I41" s="115" t="s">
        <v>142</v>
      </c>
      <c r="K41" s="56"/>
      <c r="L41" s="56"/>
    </row>
    <row r="42" spans="2:12" ht="15" thickBot="1" x14ac:dyDescent="0.35">
      <c r="B42" s="114" t="s">
        <v>278</v>
      </c>
      <c r="C42" s="115" t="s">
        <v>268</v>
      </c>
      <c r="D42" s="115" t="s">
        <v>279</v>
      </c>
      <c r="E42" s="115" t="s">
        <v>280</v>
      </c>
      <c r="F42" s="115">
        <v>747</v>
      </c>
      <c r="G42" s="115" t="s">
        <v>281</v>
      </c>
      <c r="H42" s="115">
        <v>39.1</v>
      </c>
      <c r="I42" s="115" t="s">
        <v>127</v>
      </c>
      <c r="K42" s="56"/>
      <c r="L42" s="56"/>
    </row>
    <row r="43" spans="2:12" ht="15" thickBot="1" x14ac:dyDescent="0.35">
      <c r="B43" s="48" t="s">
        <v>282</v>
      </c>
      <c r="C43" s="49" t="s">
        <v>268</v>
      </c>
      <c r="D43" s="49" t="s">
        <v>283</v>
      </c>
      <c r="E43" s="49" t="s">
        <v>124</v>
      </c>
      <c r="F43" s="49">
        <v>372</v>
      </c>
      <c r="G43" s="49" t="s">
        <v>284</v>
      </c>
      <c r="H43" s="49">
        <v>39.200000000000003</v>
      </c>
      <c r="I43" s="49" t="s">
        <v>127</v>
      </c>
      <c r="K43" s="56"/>
      <c r="L43" s="56"/>
    </row>
    <row r="44" spans="2:12" ht="15" thickBot="1" x14ac:dyDescent="0.35">
      <c r="B44" s="46" t="s">
        <v>285</v>
      </c>
      <c r="C44" s="47" t="s">
        <v>268</v>
      </c>
      <c r="D44" s="47" t="s">
        <v>286</v>
      </c>
      <c r="E44" s="47" t="s">
        <v>287</v>
      </c>
      <c r="F44" s="47">
        <v>227</v>
      </c>
      <c r="G44" s="47" t="s">
        <v>288</v>
      </c>
      <c r="H44" s="47">
        <v>10.6</v>
      </c>
      <c r="I44" s="47" t="s">
        <v>182</v>
      </c>
      <c r="K44" s="56"/>
      <c r="L44" s="56"/>
    </row>
    <row r="45" spans="2:12" ht="15" thickBot="1" x14ac:dyDescent="0.35">
      <c r="B45" s="114" t="s">
        <v>289</v>
      </c>
      <c r="C45" s="115" t="s">
        <v>268</v>
      </c>
      <c r="D45" s="115" t="s">
        <v>290</v>
      </c>
      <c r="E45" s="115" t="s">
        <v>291</v>
      </c>
      <c r="F45" s="115">
        <v>585</v>
      </c>
      <c r="G45" s="115" t="s">
        <v>292</v>
      </c>
      <c r="H45" s="115">
        <v>15</v>
      </c>
      <c r="I45" s="115" t="s">
        <v>142</v>
      </c>
      <c r="K45" s="56"/>
      <c r="L45" s="56"/>
    </row>
    <row r="46" spans="2:12" ht="15" thickBot="1" x14ac:dyDescent="0.35">
      <c r="B46" s="114" t="s">
        <v>293</v>
      </c>
      <c r="C46" s="115" t="s">
        <v>268</v>
      </c>
      <c r="D46" s="115" t="s">
        <v>294</v>
      </c>
      <c r="E46" s="115" t="s">
        <v>291</v>
      </c>
      <c r="F46" s="115">
        <v>582</v>
      </c>
      <c r="G46" s="115" t="s">
        <v>284</v>
      </c>
      <c r="H46" s="115">
        <v>25.6</v>
      </c>
      <c r="I46" s="115" t="s">
        <v>142</v>
      </c>
      <c r="K46" s="56"/>
      <c r="L46" s="56"/>
    </row>
    <row r="47" spans="2:12" ht="15" thickBot="1" x14ac:dyDescent="0.35">
      <c r="B47" s="48" t="s">
        <v>295</v>
      </c>
      <c r="C47" s="49" t="s">
        <v>268</v>
      </c>
      <c r="D47" s="49" t="s">
        <v>296</v>
      </c>
      <c r="E47" s="49" t="s">
        <v>291</v>
      </c>
      <c r="F47" s="49">
        <v>1175</v>
      </c>
      <c r="G47" s="49" t="s">
        <v>297</v>
      </c>
      <c r="H47" s="49">
        <v>23.3</v>
      </c>
      <c r="I47" s="49" t="s">
        <v>142</v>
      </c>
      <c r="K47" s="56"/>
      <c r="L47" s="56"/>
    </row>
    <row r="48" spans="2:12" ht="15" thickBot="1" x14ac:dyDescent="0.35">
      <c r="B48" s="46" t="s">
        <v>298</v>
      </c>
      <c r="C48" s="47" t="s">
        <v>268</v>
      </c>
      <c r="D48" s="47" t="s">
        <v>299</v>
      </c>
      <c r="E48" s="47" t="s">
        <v>175</v>
      </c>
      <c r="F48" s="47">
        <v>1167</v>
      </c>
      <c r="G48" s="47" t="s">
        <v>300</v>
      </c>
      <c r="H48" s="47">
        <v>17.7</v>
      </c>
      <c r="I48" s="47" t="s">
        <v>142</v>
      </c>
      <c r="K48" s="106"/>
      <c r="L48" s="56"/>
    </row>
    <row r="49" spans="2:12" ht="15" thickBot="1" x14ac:dyDescent="0.35">
      <c r="B49" s="48" t="s">
        <v>301</v>
      </c>
      <c r="C49" s="49" t="s">
        <v>268</v>
      </c>
      <c r="D49" s="49" t="s">
        <v>302</v>
      </c>
      <c r="E49" s="49" t="s">
        <v>303</v>
      </c>
      <c r="F49" s="49">
        <v>1007</v>
      </c>
      <c r="G49" s="49" t="s">
        <v>245</v>
      </c>
      <c r="H49" s="49">
        <v>20.100000000000001</v>
      </c>
      <c r="I49" s="49" t="s">
        <v>182</v>
      </c>
      <c r="K49" s="56"/>
      <c r="L49" s="56"/>
    </row>
    <row r="50" spans="2:12" ht="15" thickBot="1" x14ac:dyDescent="0.35">
      <c r="B50" s="46" t="s">
        <v>304</v>
      </c>
      <c r="C50" s="47" t="s">
        <v>268</v>
      </c>
      <c r="D50" s="47" t="s">
        <v>305</v>
      </c>
      <c r="E50" s="47" t="s">
        <v>175</v>
      </c>
      <c r="F50" s="47">
        <v>960</v>
      </c>
      <c r="G50" s="47" t="s">
        <v>306</v>
      </c>
      <c r="H50" s="47">
        <v>24.6</v>
      </c>
      <c r="I50" s="47" t="s">
        <v>142</v>
      </c>
      <c r="K50" s="56"/>
      <c r="L50" s="56"/>
    </row>
    <row r="51" spans="2:12" ht="15" thickBot="1" x14ac:dyDescent="0.35">
      <c r="B51" s="48" t="s">
        <v>307</v>
      </c>
      <c r="C51" s="49" t="s">
        <v>268</v>
      </c>
      <c r="D51" s="49" t="s">
        <v>308</v>
      </c>
      <c r="E51" s="49" t="s">
        <v>175</v>
      </c>
      <c r="F51" s="49">
        <v>665</v>
      </c>
      <c r="G51" s="49" t="s">
        <v>309</v>
      </c>
      <c r="H51" s="49">
        <v>27.5</v>
      </c>
      <c r="I51" s="49" t="s">
        <v>142</v>
      </c>
      <c r="K51" s="56"/>
      <c r="L51" s="56"/>
    </row>
    <row r="52" spans="2:12" ht="15" thickBot="1" x14ac:dyDescent="0.35">
      <c r="B52" s="46" t="s">
        <v>310</v>
      </c>
      <c r="C52" s="47" t="s">
        <v>268</v>
      </c>
      <c r="D52" s="47" t="s">
        <v>311</v>
      </c>
      <c r="E52" s="47" t="s">
        <v>175</v>
      </c>
      <c r="F52" s="47">
        <v>1055</v>
      </c>
      <c r="G52" s="47" t="s">
        <v>312</v>
      </c>
      <c r="H52" s="47">
        <v>26.8</v>
      </c>
      <c r="I52" s="47" t="s">
        <v>142</v>
      </c>
      <c r="K52" s="106" t="s">
        <v>392</v>
      </c>
      <c r="L52" s="56"/>
    </row>
    <row r="53" spans="2:12" ht="15" thickBot="1" x14ac:dyDescent="0.35">
      <c r="B53" s="114" t="s">
        <v>313</v>
      </c>
      <c r="C53" s="115" t="s">
        <v>268</v>
      </c>
      <c r="D53" s="115" t="s">
        <v>314</v>
      </c>
      <c r="E53" s="115" t="s">
        <v>175</v>
      </c>
      <c r="F53" s="115">
        <v>1028</v>
      </c>
      <c r="G53" s="115" t="s">
        <v>315</v>
      </c>
      <c r="H53" s="115">
        <v>15.6</v>
      </c>
      <c r="I53" s="115" t="s">
        <v>142</v>
      </c>
      <c r="K53" s="105" t="s">
        <v>393</v>
      </c>
    </row>
    <row r="54" spans="2:12" ht="15" hidden="1" thickBot="1" x14ac:dyDescent="0.35">
      <c r="B54" s="46" t="s">
        <v>316</v>
      </c>
      <c r="C54" s="47" t="s">
        <v>268</v>
      </c>
      <c r="D54" s="47" t="s">
        <v>317</v>
      </c>
      <c r="E54" s="47" t="s">
        <v>175</v>
      </c>
      <c r="F54" s="47">
        <v>670</v>
      </c>
      <c r="G54" s="47" t="s">
        <v>227</v>
      </c>
      <c r="H54" s="47" t="s">
        <v>318</v>
      </c>
      <c r="I54" s="47" t="s">
        <v>191</v>
      </c>
    </row>
    <row r="55" spans="2:12" ht="29.4" hidden="1" thickBot="1" x14ac:dyDescent="0.35">
      <c r="B55" s="48" t="s">
        <v>319</v>
      </c>
      <c r="C55" s="49" t="s">
        <v>268</v>
      </c>
      <c r="D55" s="49" t="s">
        <v>320</v>
      </c>
      <c r="E55" s="49" t="s">
        <v>175</v>
      </c>
      <c r="F55" s="49">
        <v>768</v>
      </c>
      <c r="G55" s="49" t="s">
        <v>202</v>
      </c>
      <c r="H55" s="49" t="s">
        <v>321</v>
      </c>
      <c r="I55" s="49" t="s">
        <v>191</v>
      </c>
    </row>
    <row r="56" spans="2:12" ht="15" thickBot="1" x14ac:dyDescent="0.35">
      <c r="B56" s="46" t="s">
        <v>322</v>
      </c>
      <c r="C56" s="47" t="s">
        <v>268</v>
      </c>
      <c r="D56" s="47" t="s">
        <v>323</v>
      </c>
      <c r="E56" s="47" t="s">
        <v>175</v>
      </c>
      <c r="F56" s="47">
        <v>459</v>
      </c>
      <c r="G56" s="47" t="s">
        <v>202</v>
      </c>
      <c r="H56" s="47">
        <v>19.600000000000001</v>
      </c>
      <c r="I56" s="47" t="s">
        <v>142</v>
      </c>
      <c r="K56" t="s">
        <v>394</v>
      </c>
    </row>
    <row r="57" spans="2:12" ht="15" thickBot="1" x14ac:dyDescent="0.35">
      <c r="B57" s="48" t="s">
        <v>324</v>
      </c>
      <c r="C57" s="49" t="s">
        <v>268</v>
      </c>
      <c r="D57" s="49" t="s">
        <v>325</v>
      </c>
      <c r="E57" s="49" t="s">
        <v>175</v>
      </c>
      <c r="F57" s="49">
        <v>1485</v>
      </c>
      <c r="G57" s="49" t="s">
        <v>326</v>
      </c>
      <c r="H57" s="49">
        <v>22</v>
      </c>
      <c r="I57" s="49" t="s">
        <v>127</v>
      </c>
      <c r="K57">
        <f>AVERAGE(H41,H42,H45,H46,H53,H59,H61)</f>
        <v>24.185714285714283</v>
      </c>
    </row>
    <row r="58" spans="2:12" ht="15" thickBot="1" x14ac:dyDescent="0.35">
      <c r="B58" s="46" t="s">
        <v>327</v>
      </c>
      <c r="C58" s="47" t="s">
        <v>268</v>
      </c>
      <c r="D58" s="47" t="s">
        <v>328</v>
      </c>
      <c r="E58" s="47" t="s">
        <v>329</v>
      </c>
      <c r="F58" s="47">
        <v>640</v>
      </c>
      <c r="G58" s="47" t="s">
        <v>330</v>
      </c>
      <c r="H58" s="47">
        <v>28.1</v>
      </c>
      <c r="I58" s="47" t="s">
        <v>182</v>
      </c>
      <c r="K58">
        <f>AVERAGE(H41,H42,H53,H59,H61)</f>
        <v>25.74</v>
      </c>
    </row>
    <row r="59" spans="2:12" ht="15" thickBot="1" x14ac:dyDescent="0.35">
      <c r="B59" s="114" t="s">
        <v>331</v>
      </c>
      <c r="C59" s="115" t="s">
        <v>268</v>
      </c>
      <c r="D59" s="115" t="s">
        <v>332</v>
      </c>
      <c r="E59" s="115" t="s">
        <v>333</v>
      </c>
      <c r="F59" s="115">
        <v>942</v>
      </c>
      <c r="G59" s="115" t="s">
        <v>334</v>
      </c>
      <c r="H59" s="115">
        <v>34.9</v>
      </c>
      <c r="I59" s="115" t="s">
        <v>142</v>
      </c>
      <c r="K59">
        <f>AVERAGE(H38:H62)</f>
        <v>23.560869565217395</v>
      </c>
    </row>
    <row r="60" spans="2:12" ht="15" thickBot="1" x14ac:dyDescent="0.35">
      <c r="B60" s="46" t="s">
        <v>335</v>
      </c>
      <c r="C60" s="47" t="s">
        <v>268</v>
      </c>
      <c r="D60" s="47" t="s">
        <v>336</v>
      </c>
      <c r="E60" s="47" t="s">
        <v>175</v>
      </c>
      <c r="F60" s="47">
        <v>841</v>
      </c>
      <c r="G60" s="47" t="s">
        <v>337</v>
      </c>
      <c r="H60" s="47">
        <v>23.8</v>
      </c>
      <c r="I60" s="47" t="s">
        <v>266</v>
      </c>
    </row>
    <row r="61" spans="2:12" ht="15" thickBot="1" x14ac:dyDescent="0.35">
      <c r="B61" s="114" t="s">
        <v>339</v>
      </c>
      <c r="C61" s="115" t="s">
        <v>268</v>
      </c>
      <c r="D61" s="115" t="s">
        <v>340</v>
      </c>
      <c r="E61" s="115" t="s">
        <v>175</v>
      </c>
      <c r="F61" s="115">
        <v>866</v>
      </c>
      <c r="G61" s="115" t="s">
        <v>234</v>
      </c>
      <c r="H61" s="115">
        <v>18.2</v>
      </c>
      <c r="I61" s="115" t="s">
        <v>266</v>
      </c>
    </row>
    <row r="62" spans="2:12" ht="15" thickBot="1" x14ac:dyDescent="0.35">
      <c r="B62" s="46" t="s">
        <v>341</v>
      </c>
      <c r="C62" s="47" t="s">
        <v>268</v>
      </c>
      <c r="D62" s="47" t="s">
        <v>342</v>
      </c>
      <c r="E62" s="47" t="s">
        <v>175</v>
      </c>
      <c r="F62" s="47">
        <v>789</v>
      </c>
      <c r="G62" s="47" t="s">
        <v>337</v>
      </c>
      <c r="H62" s="47">
        <v>25.3</v>
      </c>
      <c r="I62" s="47" t="s">
        <v>266</v>
      </c>
    </row>
    <row r="63" spans="2:12" ht="15" thickBot="1" x14ac:dyDescent="0.35">
      <c r="B63" s="48" t="s">
        <v>343</v>
      </c>
      <c r="C63" s="49" t="s">
        <v>344</v>
      </c>
      <c r="D63" s="49" t="s">
        <v>345</v>
      </c>
      <c r="E63" s="49" t="s">
        <v>346</v>
      </c>
      <c r="F63" s="49">
        <v>231</v>
      </c>
      <c r="G63" s="49" t="s">
        <v>347</v>
      </c>
      <c r="H63" s="49" t="s">
        <v>338</v>
      </c>
      <c r="I63" s="49" t="s">
        <v>182</v>
      </c>
    </row>
    <row r="64" spans="2:12" ht="15" thickBot="1" x14ac:dyDescent="0.35">
      <c r="B64" s="46" t="s">
        <v>348</v>
      </c>
      <c r="C64" s="47" t="s">
        <v>344</v>
      </c>
      <c r="D64" s="47" t="s">
        <v>349</v>
      </c>
      <c r="E64" s="47" t="s">
        <v>124</v>
      </c>
      <c r="F64" s="47">
        <v>1365</v>
      </c>
      <c r="G64" s="47" t="s">
        <v>350</v>
      </c>
      <c r="H64" s="47" t="s">
        <v>334</v>
      </c>
      <c r="I64" s="47" t="s">
        <v>127</v>
      </c>
    </row>
    <row r="66" spans="1:10" x14ac:dyDescent="0.3">
      <c r="A66" s="159" t="s">
        <v>351</v>
      </c>
      <c r="B66" s="159"/>
      <c r="C66" s="159"/>
      <c r="D66" s="159"/>
      <c r="E66" s="159"/>
      <c r="F66" s="159"/>
      <c r="G66" s="159"/>
      <c r="H66" s="159"/>
      <c r="I66" s="159"/>
      <c r="J66" s="159"/>
    </row>
    <row r="67" spans="1:10" x14ac:dyDescent="0.3">
      <c r="A67" s="159"/>
      <c r="B67" s="159"/>
      <c r="C67" s="159"/>
      <c r="D67" s="159"/>
      <c r="E67" s="159"/>
      <c r="F67" s="159"/>
      <c r="G67" s="159"/>
      <c r="H67" s="159"/>
      <c r="I67" s="159"/>
      <c r="J67" s="159"/>
    </row>
    <row r="68" spans="1:10" x14ac:dyDescent="0.3">
      <c r="A68" s="159"/>
      <c r="B68" s="159"/>
      <c r="C68" s="159"/>
      <c r="D68" s="159"/>
      <c r="E68" s="159"/>
      <c r="F68" s="159"/>
      <c r="G68" s="159"/>
      <c r="H68" s="159"/>
      <c r="I68" s="159"/>
      <c r="J68" s="159"/>
    </row>
    <row r="69" spans="1:10" x14ac:dyDescent="0.3">
      <c r="A69" s="159"/>
      <c r="B69" s="159"/>
      <c r="C69" s="159"/>
      <c r="D69" s="159"/>
      <c r="E69" s="159"/>
      <c r="F69" s="159"/>
      <c r="G69" s="159"/>
      <c r="H69" s="159"/>
      <c r="I69" s="159"/>
      <c r="J69" s="159"/>
    </row>
    <row r="70" spans="1:10" x14ac:dyDescent="0.3">
      <c r="A70" s="159"/>
      <c r="B70" s="159"/>
      <c r="C70" s="159"/>
      <c r="D70" s="159"/>
      <c r="E70" s="159"/>
      <c r="F70" s="159"/>
      <c r="G70" s="159"/>
      <c r="H70" s="159"/>
      <c r="I70" s="159"/>
      <c r="J70" s="159"/>
    </row>
    <row r="71" spans="1:10" x14ac:dyDescent="0.3">
      <c r="A71" s="159"/>
      <c r="B71" s="159"/>
      <c r="C71" s="159"/>
      <c r="D71" s="159"/>
      <c r="E71" s="159"/>
      <c r="F71" s="159"/>
      <c r="G71" s="159"/>
      <c r="H71" s="159"/>
      <c r="I71" s="159"/>
      <c r="J71" s="159"/>
    </row>
    <row r="72" spans="1:10" x14ac:dyDescent="0.3">
      <c r="A72" s="159"/>
      <c r="B72" s="159"/>
      <c r="C72" s="159"/>
      <c r="D72" s="159"/>
      <c r="E72" s="159"/>
      <c r="F72" s="159"/>
      <c r="G72" s="159"/>
      <c r="H72" s="159"/>
      <c r="I72" s="159"/>
      <c r="J72" s="159"/>
    </row>
    <row r="73" spans="1:10" x14ac:dyDescent="0.3">
      <c r="A73" s="159"/>
      <c r="B73" s="159"/>
      <c r="C73" s="159"/>
      <c r="D73" s="159"/>
      <c r="E73" s="159"/>
      <c r="F73" s="159"/>
      <c r="G73" s="159"/>
      <c r="H73" s="159"/>
      <c r="I73" s="159"/>
      <c r="J73" s="159"/>
    </row>
    <row r="74" spans="1:10" x14ac:dyDescent="0.3">
      <c r="A74" s="159"/>
      <c r="B74" s="159"/>
      <c r="C74" s="159"/>
      <c r="D74" s="159"/>
      <c r="E74" s="159"/>
      <c r="F74" s="159"/>
      <c r="G74" s="159"/>
      <c r="H74" s="159"/>
      <c r="I74" s="159"/>
      <c r="J74" s="159"/>
    </row>
    <row r="75" spans="1:10" x14ac:dyDescent="0.3">
      <c r="A75" s="159"/>
      <c r="B75" s="159"/>
      <c r="C75" s="159"/>
      <c r="D75" s="159"/>
      <c r="E75" s="159"/>
      <c r="F75" s="159"/>
      <c r="G75" s="159"/>
      <c r="H75" s="159"/>
      <c r="I75" s="159"/>
      <c r="J75" s="159"/>
    </row>
    <row r="76" spans="1:10" x14ac:dyDescent="0.3">
      <c r="A76" s="159"/>
      <c r="B76" s="159"/>
      <c r="C76" s="159"/>
      <c r="D76" s="159"/>
      <c r="E76" s="159"/>
      <c r="F76" s="159"/>
      <c r="G76" s="159"/>
      <c r="H76" s="159"/>
      <c r="I76" s="159"/>
      <c r="J76" s="159"/>
    </row>
    <row r="77" spans="1:10" x14ac:dyDescent="0.3">
      <c r="A77" s="159"/>
      <c r="B77" s="159"/>
      <c r="C77" s="159"/>
      <c r="D77" s="159"/>
      <c r="E77" s="159"/>
      <c r="F77" s="159"/>
      <c r="G77" s="159"/>
      <c r="H77" s="159"/>
      <c r="I77" s="159"/>
      <c r="J77" s="159"/>
    </row>
    <row r="78" spans="1:10" x14ac:dyDescent="0.3">
      <c r="A78" s="159"/>
      <c r="B78" s="159"/>
      <c r="C78" s="159"/>
      <c r="D78" s="159"/>
      <c r="E78" s="159"/>
      <c r="F78" s="159"/>
      <c r="G78" s="159"/>
      <c r="H78" s="159"/>
      <c r="I78" s="159"/>
      <c r="J78" s="159"/>
    </row>
    <row r="79" spans="1:10" x14ac:dyDescent="0.3">
      <c r="A79" s="159"/>
      <c r="B79" s="159"/>
      <c r="C79" s="159"/>
      <c r="D79" s="159"/>
      <c r="E79" s="159"/>
      <c r="F79" s="159"/>
      <c r="G79" s="159"/>
      <c r="H79" s="159"/>
      <c r="I79" s="159"/>
      <c r="J79" s="159"/>
    </row>
    <row r="80" spans="1:10" x14ac:dyDescent="0.3">
      <c r="A80" s="159"/>
      <c r="B80" s="159"/>
      <c r="C80" s="159"/>
      <c r="D80" s="159"/>
      <c r="E80" s="159"/>
      <c r="F80" s="159"/>
      <c r="G80" s="159"/>
      <c r="H80" s="159"/>
      <c r="I80" s="159"/>
      <c r="J80" s="159"/>
    </row>
    <row r="81" spans="1:10" x14ac:dyDescent="0.3">
      <c r="A81" s="159"/>
      <c r="B81" s="159"/>
      <c r="C81" s="159"/>
      <c r="D81" s="159"/>
      <c r="E81" s="159"/>
      <c r="F81" s="159"/>
      <c r="G81" s="159"/>
      <c r="H81" s="159"/>
      <c r="I81" s="159"/>
      <c r="J81" s="159"/>
    </row>
    <row r="82" spans="1:10" x14ac:dyDescent="0.3">
      <c r="A82" s="159"/>
      <c r="B82" s="159"/>
      <c r="C82" s="159"/>
      <c r="D82" s="159"/>
      <c r="E82" s="159"/>
      <c r="F82" s="159"/>
      <c r="G82" s="159"/>
      <c r="H82" s="159"/>
      <c r="I82" s="159"/>
      <c r="J82" s="159"/>
    </row>
    <row r="83" spans="1:10" x14ac:dyDescent="0.3">
      <c r="A83" s="159"/>
      <c r="B83" s="159"/>
      <c r="C83" s="159"/>
      <c r="D83" s="159"/>
      <c r="E83" s="159"/>
      <c r="F83" s="159"/>
      <c r="G83" s="159"/>
      <c r="H83" s="159"/>
      <c r="I83" s="159"/>
      <c r="J83" s="159"/>
    </row>
    <row r="84" spans="1:10" x14ac:dyDescent="0.3">
      <c r="A84" s="159"/>
      <c r="B84" s="159"/>
      <c r="C84" s="159"/>
      <c r="D84" s="159"/>
      <c r="E84" s="159"/>
      <c r="F84" s="159"/>
      <c r="G84" s="159"/>
      <c r="H84" s="159"/>
      <c r="I84" s="159"/>
      <c r="J84" s="159"/>
    </row>
    <row r="85" spans="1:10" x14ac:dyDescent="0.3">
      <c r="A85" s="159"/>
      <c r="B85" s="159"/>
      <c r="C85" s="159"/>
      <c r="D85" s="159"/>
      <c r="E85" s="159"/>
      <c r="F85" s="159"/>
      <c r="G85" s="159"/>
      <c r="H85" s="159"/>
      <c r="I85" s="159"/>
      <c r="J85" s="159"/>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A14" sqref="A14"/>
    </sheetView>
  </sheetViews>
  <sheetFormatPr defaultColWidth="11.44140625" defaultRowHeight="14.4" x14ac:dyDescent="0.3"/>
  <cols>
    <col min="1" max="1" width="17.6640625" bestFit="1" customWidth="1"/>
  </cols>
  <sheetData>
    <row r="1" spans="1:21" x14ac:dyDescent="0.3">
      <c r="A1" t="s">
        <v>374</v>
      </c>
    </row>
    <row r="2" spans="1:21" x14ac:dyDescent="0.3">
      <c r="A2" s="51" t="s">
        <v>353</v>
      </c>
      <c r="B2" s="51" t="s">
        <v>462</v>
      </c>
      <c r="C2" s="51" t="s">
        <v>354</v>
      </c>
      <c r="D2" s="51" t="s">
        <v>355</v>
      </c>
      <c r="E2" s="51" t="s">
        <v>400</v>
      </c>
      <c r="F2" s="51" t="s">
        <v>401</v>
      </c>
      <c r="G2" s="51" t="s">
        <v>402</v>
      </c>
      <c r="H2" s="51" t="s">
        <v>403</v>
      </c>
      <c r="I2" s="51" t="s">
        <v>474</v>
      </c>
      <c r="J2" s="51" t="s">
        <v>356</v>
      </c>
      <c r="K2" s="51"/>
      <c r="M2" s="51"/>
      <c r="N2" s="51"/>
      <c r="O2" s="51"/>
      <c r="P2" s="51"/>
      <c r="Q2" s="51"/>
      <c r="R2" s="51"/>
      <c r="S2" s="51"/>
      <c r="T2" s="51"/>
      <c r="U2" s="51"/>
    </row>
    <row r="3" spans="1:21" x14ac:dyDescent="0.3">
      <c r="A3" s="51" t="s">
        <v>463</v>
      </c>
      <c r="B3" s="51" t="s">
        <v>464</v>
      </c>
      <c r="C3" s="51">
        <v>52.713700000000003</v>
      </c>
      <c r="D3" s="51">
        <v>-1.3287</v>
      </c>
      <c r="E3" s="51">
        <v>152</v>
      </c>
      <c r="F3" s="51">
        <v>5</v>
      </c>
      <c r="G3" s="51">
        <v>151</v>
      </c>
      <c r="H3" s="51">
        <v>25</v>
      </c>
      <c r="I3" s="51">
        <v>53</v>
      </c>
      <c r="J3" s="51">
        <v>1</v>
      </c>
      <c r="M3" s="50"/>
      <c r="N3" s="50"/>
      <c r="O3" s="50"/>
      <c r="P3" s="50"/>
      <c r="Q3" s="50"/>
      <c r="R3" s="50"/>
      <c r="S3" s="50"/>
      <c r="T3" s="50"/>
      <c r="U3" s="50"/>
    </row>
    <row r="4" spans="1:21" x14ac:dyDescent="0.3">
      <c r="A4" s="51" t="s">
        <v>463</v>
      </c>
      <c r="B4" s="51" t="s">
        <v>465</v>
      </c>
      <c r="C4" s="51">
        <v>51.688299999999998</v>
      </c>
      <c r="D4" s="51">
        <v>-3.6505000000000001</v>
      </c>
      <c r="E4" s="51">
        <v>365</v>
      </c>
      <c r="F4" s="51">
        <v>99</v>
      </c>
      <c r="G4" s="51">
        <v>352</v>
      </c>
      <c r="H4" s="51">
        <v>69</v>
      </c>
      <c r="I4" s="51">
        <v>35</v>
      </c>
      <c r="J4" s="51">
        <v>1</v>
      </c>
      <c r="M4" s="50"/>
      <c r="N4" s="50"/>
      <c r="O4" s="50"/>
      <c r="P4" s="50"/>
      <c r="Q4" s="50"/>
      <c r="R4" s="50"/>
      <c r="S4" s="50"/>
      <c r="T4" s="50"/>
      <c r="U4" s="50"/>
    </row>
    <row r="5" spans="1:21" x14ac:dyDescent="0.3">
      <c r="A5" s="51" t="s">
        <v>463</v>
      </c>
      <c r="B5" s="51" t="s">
        <v>466</v>
      </c>
      <c r="C5" s="51">
        <v>52.552799999999998</v>
      </c>
      <c r="D5" s="51">
        <v>-2.8546999999999998</v>
      </c>
      <c r="E5" s="51">
        <v>481</v>
      </c>
      <c r="F5" s="51">
        <v>30</v>
      </c>
      <c r="G5" s="51">
        <v>98</v>
      </c>
      <c r="H5" s="51">
        <v>32</v>
      </c>
      <c r="I5" s="51">
        <v>45</v>
      </c>
      <c r="J5" s="51">
        <v>1</v>
      </c>
      <c r="M5" s="50"/>
      <c r="N5" s="50"/>
      <c r="O5" s="50"/>
      <c r="P5" s="50"/>
      <c r="Q5" s="50"/>
      <c r="R5" s="50"/>
      <c r="S5" s="50"/>
      <c r="T5" s="50"/>
      <c r="U5" s="50"/>
    </row>
    <row r="6" spans="1:21" x14ac:dyDescent="0.3">
      <c r="A6" s="51" t="s">
        <v>463</v>
      </c>
      <c r="B6" s="51" t="s">
        <v>467</v>
      </c>
      <c r="C6" s="51">
        <v>53.541200000000003</v>
      </c>
      <c r="D6" s="51">
        <v>-3.4200000000000001E-2</v>
      </c>
      <c r="E6" s="51">
        <v>5</v>
      </c>
      <c r="F6" s="51">
        <v>8</v>
      </c>
      <c r="G6" s="51">
        <v>1850</v>
      </c>
      <c r="H6" s="51">
        <v>89</v>
      </c>
      <c r="I6" s="51">
        <v>73</v>
      </c>
      <c r="J6" s="51">
        <v>1</v>
      </c>
      <c r="N6" s="50"/>
      <c r="O6" s="50"/>
      <c r="P6" s="50"/>
      <c r="Q6" s="50"/>
      <c r="R6" s="50"/>
      <c r="S6" s="50"/>
      <c r="T6" s="50"/>
      <c r="U6" s="50"/>
    </row>
    <row r="7" spans="1:21" x14ac:dyDescent="0.3">
      <c r="A7" s="51" t="s">
        <v>463</v>
      </c>
      <c r="B7" s="51" t="s">
        <v>468</v>
      </c>
      <c r="C7" s="51">
        <v>53.863799999999998</v>
      </c>
      <c r="D7" s="51">
        <v>-2.3719999999999999</v>
      </c>
      <c r="E7" s="51">
        <v>114</v>
      </c>
      <c r="F7" s="51">
        <v>81</v>
      </c>
      <c r="G7" s="51">
        <v>294</v>
      </c>
      <c r="H7" s="51">
        <v>69</v>
      </c>
      <c r="I7" s="51">
        <v>40</v>
      </c>
      <c r="J7" s="51">
        <v>1</v>
      </c>
      <c r="N7" s="50"/>
      <c r="O7" s="50"/>
      <c r="P7" s="50"/>
      <c r="Q7" s="50"/>
      <c r="R7" s="50"/>
      <c r="S7" s="50"/>
      <c r="T7" s="50"/>
      <c r="U7" s="50"/>
    </row>
    <row r="8" spans="1:21" x14ac:dyDescent="0.3">
      <c r="A8" s="51" t="s">
        <v>463</v>
      </c>
      <c r="B8" s="51" t="s">
        <v>357</v>
      </c>
      <c r="C8" s="51">
        <v>54.619500000000002</v>
      </c>
      <c r="D8" s="51">
        <v>-2.4874999999999998</v>
      </c>
      <c r="E8" s="51">
        <v>179</v>
      </c>
      <c r="F8" s="51">
        <v>100</v>
      </c>
      <c r="G8" s="51">
        <v>224</v>
      </c>
      <c r="H8" s="51">
        <v>85</v>
      </c>
      <c r="I8" s="51">
        <v>1</v>
      </c>
      <c r="J8" s="50"/>
      <c r="K8" s="50"/>
      <c r="M8" s="50"/>
      <c r="N8" s="50"/>
      <c r="O8" s="50"/>
      <c r="P8" s="50"/>
      <c r="Q8" s="50"/>
      <c r="R8" s="50"/>
      <c r="S8" s="50"/>
      <c r="T8" s="50"/>
      <c r="U8" s="50"/>
    </row>
    <row r="9" spans="1:21" x14ac:dyDescent="0.3">
      <c r="A9" s="55" t="s">
        <v>463</v>
      </c>
      <c r="B9" s="55" t="s">
        <v>358</v>
      </c>
      <c r="C9" s="55">
        <v>55.971200000000003</v>
      </c>
      <c r="D9" s="55">
        <v>-3.1488</v>
      </c>
      <c r="E9" s="55">
        <v>215</v>
      </c>
      <c r="F9" s="55">
        <v>102</v>
      </c>
      <c r="G9" s="55">
        <v>215</v>
      </c>
      <c r="H9" s="55">
        <v>37</v>
      </c>
      <c r="I9" s="55">
        <v>53</v>
      </c>
      <c r="J9" s="55">
        <v>1</v>
      </c>
      <c r="K9" s="113"/>
      <c r="M9" s="50"/>
      <c r="N9" s="50"/>
      <c r="O9" s="50"/>
      <c r="P9" s="50"/>
      <c r="Q9" s="50"/>
      <c r="R9" s="50"/>
      <c r="S9" s="50"/>
      <c r="T9" s="50"/>
      <c r="U9" s="50"/>
    </row>
    <row r="10" spans="1:21" x14ac:dyDescent="0.3">
      <c r="A10" s="51" t="s">
        <v>463</v>
      </c>
      <c r="B10" s="51" t="s">
        <v>469</v>
      </c>
      <c r="C10" s="51">
        <v>51.714700000000001</v>
      </c>
      <c r="D10" s="51">
        <v>-4.1913</v>
      </c>
      <c r="E10" s="51">
        <v>149</v>
      </c>
      <c r="F10" s="51">
        <v>105</v>
      </c>
      <c r="G10" s="51">
        <v>228</v>
      </c>
      <c r="H10" s="51">
        <v>25</v>
      </c>
      <c r="I10" s="51">
        <v>50</v>
      </c>
      <c r="J10" s="51">
        <v>1</v>
      </c>
      <c r="M10" s="50"/>
      <c r="N10" s="50"/>
      <c r="O10" s="50"/>
      <c r="P10" s="50"/>
      <c r="Q10" s="50"/>
      <c r="R10" s="50"/>
      <c r="S10" s="50"/>
      <c r="T10" s="50"/>
      <c r="U10" s="50"/>
    </row>
    <row r="11" spans="1:21" x14ac:dyDescent="0.3">
      <c r="A11" s="51" t="s">
        <v>463</v>
      </c>
      <c r="B11" s="51" t="s">
        <v>267</v>
      </c>
      <c r="C11" s="51">
        <v>56.215000000000003</v>
      </c>
      <c r="D11" s="51">
        <v>-3.1995</v>
      </c>
      <c r="E11" s="51">
        <v>195</v>
      </c>
      <c r="F11" s="51">
        <v>135</v>
      </c>
      <c r="G11" s="51">
        <v>279</v>
      </c>
      <c r="H11" s="51">
        <v>32</v>
      </c>
      <c r="I11" s="51">
        <v>56</v>
      </c>
      <c r="J11" s="51">
        <v>1</v>
      </c>
      <c r="K11" s="50"/>
      <c r="M11" s="50"/>
      <c r="N11" s="50"/>
      <c r="O11" s="50"/>
      <c r="P11" s="50"/>
      <c r="Q11" s="50"/>
      <c r="R11" s="50"/>
      <c r="S11" s="50"/>
      <c r="T11" s="50"/>
      <c r="U11" s="50"/>
    </row>
    <row r="12" spans="1:21" x14ac:dyDescent="0.3">
      <c r="A12" s="51" t="s">
        <v>463</v>
      </c>
      <c r="B12" s="51" t="s">
        <v>359</v>
      </c>
      <c r="C12" s="51">
        <v>53.891300000000001</v>
      </c>
      <c r="D12" s="51">
        <v>-1.5105</v>
      </c>
      <c r="E12" s="51">
        <v>92</v>
      </c>
      <c r="F12" s="51">
        <v>110</v>
      </c>
      <c r="G12" s="51">
        <v>271</v>
      </c>
      <c r="H12" s="51">
        <v>44</v>
      </c>
      <c r="I12" s="51">
        <v>65</v>
      </c>
      <c r="J12" s="51">
        <v>1</v>
      </c>
      <c r="K12" s="50"/>
      <c r="M12" s="50"/>
      <c r="N12" s="50"/>
      <c r="O12" s="50"/>
      <c r="P12" s="50"/>
      <c r="Q12" s="50"/>
      <c r="R12" s="50"/>
      <c r="S12" s="50"/>
      <c r="T12" s="50"/>
      <c r="U12" s="50"/>
    </row>
    <row r="13" spans="1:21" x14ac:dyDescent="0.3">
      <c r="A13" s="51" t="s">
        <v>463</v>
      </c>
      <c r="B13" s="51" t="s">
        <v>470</v>
      </c>
      <c r="C13" s="51">
        <v>52.1295</v>
      </c>
      <c r="D13" s="51">
        <v>-3.6425000000000001</v>
      </c>
      <c r="E13" s="51">
        <v>294</v>
      </c>
      <c r="F13" s="51">
        <v>6</v>
      </c>
      <c r="G13" s="51">
        <v>205</v>
      </c>
      <c r="H13" s="51">
        <v>62</v>
      </c>
      <c r="I13" s="51">
        <v>58</v>
      </c>
      <c r="J13" s="51">
        <v>1</v>
      </c>
    </row>
    <row r="14" spans="1:21" x14ac:dyDescent="0.3">
      <c r="A14" s="51" t="s">
        <v>463</v>
      </c>
      <c r="B14" s="51" t="s">
        <v>360</v>
      </c>
      <c r="C14" s="51">
        <v>55.227499999999999</v>
      </c>
      <c r="D14" s="51">
        <v>-1.7727999999999999</v>
      </c>
      <c r="E14" s="51">
        <v>145</v>
      </c>
      <c r="F14" s="51">
        <v>100</v>
      </c>
      <c r="G14" s="51">
        <v>1828</v>
      </c>
      <c r="H14" s="51">
        <v>111</v>
      </c>
      <c r="I14" s="51">
        <v>92</v>
      </c>
      <c r="J14" s="51">
        <v>1</v>
      </c>
    </row>
    <row r="15" spans="1:21" x14ac:dyDescent="0.3">
      <c r="A15" s="51" t="s">
        <v>463</v>
      </c>
      <c r="B15" s="51" t="s">
        <v>471</v>
      </c>
      <c r="C15" s="51">
        <v>53.802799999999998</v>
      </c>
      <c r="D15" s="51">
        <v>-0.69469999999999998</v>
      </c>
      <c r="E15" s="51">
        <v>3</v>
      </c>
      <c r="F15" s="51">
        <v>208</v>
      </c>
      <c r="G15" s="51">
        <v>299</v>
      </c>
      <c r="H15" s="51">
        <v>30</v>
      </c>
      <c r="I15" s="51">
        <v>57</v>
      </c>
      <c r="J15" s="51">
        <v>1</v>
      </c>
    </row>
    <row r="16" spans="1:21" x14ac:dyDescent="0.3">
      <c r="A16" s="51" t="s">
        <v>463</v>
      </c>
      <c r="B16" s="51" t="s">
        <v>472</v>
      </c>
      <c r="C16" s="51">
        <v>52.7562</v>
      </c>
      <c r="D16" s="51">
        <v>-0.29380000000000001</v>
      </c>
      <c r="E16" s="51">
        <v>129</v>
      </c>
      <c r="F16" s="51">
        <v>10</v>
      </c>
      <c r="G16" s="51">
        <v>823</v>
      </c>
      <c r="H16" s="51">
        <v>91</v>
      </c>
      <c r="I16" s="51">
        <v>54</v>
      </c>
      <c r="J16" s="51">
        <v>1</v>
      </c>
    </row>
    <row r="17" spans="1:11" x14ac:dyDescent="0.3">
      <c r="A17" s="51" t="s">
        <v>463</v>
      </c>
      <c r="B17" s="51" t="s">
        <v>361</v>
      </c>
      <c r="C17" s="51">
        <v>54.652999999999999</v>
      </c>
      <c r="D17" s="51">
        <v>-2.5453000000000001</v>
      </c>
      <c r="E17" s="51">
        <v>160</v>
      </c>
      <c r="F17" s="51">
        <v>100</v>
      </c>
      <c r="G17" s="51">
        <v>246</v>
      </c>
      <c r="H17" s="51">
        <v>85</v>
      </c>
      <c r="I17" s="51">
        <v>1</v>
      </c>
      <c r="J17" s="50"/>
      <c r="K17" s="50"/>
    </row>
    <row r="18" spans="1:11" x14ac:dyDescent="0.3">
      <c r="A18" s="51" t="s">
        <v>463</v>
      </c>
      <c r="B18" s="51" t="s">
        <v>362</v>
      </c>
      <c r="C18" s="51">
        <v>51.553800000000003</v>
      </c>
      <c r="D18" s="51">
        <v>-3.3422000000000001</v>
      </c>
      <c r="E18" s="51">
        <v>100</v>
      </c>
      <c r="F18" s="51">
        <v>37</v>
      </c>
      <c r="G18" s="51">
        <v>107</v>
      </c>
      <c r="H18" s="51">
        <v>15</v>
      </c>
      <c r="I18" s="51">
        <v>48</v>
      </c>
      <c r="J18" s="51">
        <v>1</v>
      </c>
      <c r="K18" s="50"/>
    </row>
    <row r="19" spans="1:11" x14ac:dyDescent="0.3">
      <c r="A19" s="51" t="s">
        <v>463</v>
      </c>
      <c r="B19" s="51" t="s">
        <v>363</v>
      </c>
      <c r="C19" s="51">
        <v>52.833300000000001</v>
      </c>
      <c r="D19" s="51">
        <v>-4.6295000000000002</v>
      </c>
      <c r="E19" s="51">
        <v>294</v>
      </c>
      <c r="F19" s="51">
        <v>12</v>
      </c>
      <c r="G19" s="51">
        <v>57</v>
      </c>
      <c r="H19" s="51">
        <v>16</v>
      </c>
      <c r="I19" s="51">
        <v>39</v>
      </c>
      <c r="J19" s="51">
        <v>1</v>
      </c>
      <c r="K19" s="50"/>
    </row>
    <row r="20" spans="1:11" x14ac:dyDescent="0.3">
      <c r="A20" s="51" t="s">
        <v>463</v>
      </c>
      <c r="B20" s="51" t="s">
        <v>473</v>
      </c>
      <c r="C20" s="51">
        <v>54.9178</v>
      </c>
      <c r="D20" s="51">
        <v>-1.7403</v>
      </c>
      <c r="E20" s="51">
        <v>43</v>
      </c>
      <c r="F20" s="51">
        <v>132</v>
      </c>
      <c r="G20" s="51">
        <v>237</v>
      </c>
      <c r="H20" s="51">
        <v>30</v>
      </c>
      <c r="I20" s="51">
        <v>103</v>
      </c>
      <c r="J20" s="51">
        <v>1</v>
      </c>
    </row>
    <row r="21" spans="1:11" x14ac:dyDescent="0.3">
      <c r="A21" s="51" t="s">
        <v>463</v>
      </c>
      <c r="B21" s="51" t="s">
        <v>364</v>
      </c>
      <c r="C21" s="51">
        <v>55.541699999999999</v>
      </c>
      <c r="D21" s="51">
        <v>-2.8250000000000002</v>
      </c>
      <c r="E21" s="51">
        <v>240</v>
      </c>
      <c r="F21" s="51">
        <v>6</v>
      </c>
      <c r="G21" s="51">
        <v>186</v>
      </c>
      <c r="H21" s="51">
        <v>61</v>
      </c>
      <c r="I21" s="51">
        <v>56</v>
      </c>
      <c r="J21" s="51">
        <v>1</v>
      </c>
      <c r="K21" s="50"/>
    </row>
    <row r="22" spans="1:11" x14ac:dyDescent="0.3">
      <c r="A22" s="51" t="s">
        <v>463</v>
      </c>
      <c r="B22" s="51" t="s">
        <v>365</v>
      </c>
      <c r="C22" s="51">
        <v>54.020299999999999</v>
      </c>
      <c r="D22" s="51">
        <v>-1.1688000000000001</v>
      </c>
      <c r="E22" s="51">
        <v>15</v>
      </c>
      <c r="F22" s="51">
        <v>360</v>
      </c>
      <c r="G22" s="51">
        <v>490</v>
      </c>
      <c r="H22" s="51">
        <v>8</v>
      </c>
      <c r="I22" s="51">
        <v>57</v>
      </c>
      <c r="J22" s="51">
        <v>1</v>
      </c>
      <c r="K22" s="50"/>
    </row>
    <row r="23" spans="1:11" x14ac:dyDescent="0.3">
      <c r="A23" s="51" t="s">
        <v>463</v>
      </c>
      <c r="B23" s="51" t="s">
        <v>366</v>
      </c>
      <c r="C23" s="51">
        <v>54.085500000000003</v>
      </c>
      <c r="D23" s="51">
        <v>-2.5632999999999999</v>
      </c>
      <c r="E23" s="51">
        <v>303</v>
      </c>
      <c r="F23" s="51">
        <v>100</v>
      </c>
      <c r="G23" s="51">
        <v>303</v>
      </c>
      <c r="H23" s="51">
        <v>68</v>
      </c>
      <c r="I23" s="51">
        <v>40</v>
      </c>
      <c r="J23" s="51">
        <v>1</v>
      </c>
      <c r="K23" s="50"/>
    </row>
    <row r="24" spans="1:11" x14ac:dyDescent="0.3">
      <c r="A24" s="51" t="s">
        <v>463</v>
      </c>
      <c r="B24" s="51" t="s">
        <v>367</v>
      </c>
      <c r="C24" s="51">
        <v>52.094200000000001</v>
      </c>
      <c r="D24" s="51">
        <v>-2.3357999999999999</v>
      </c>
      <c r="E24" s="51">
        <v>234</v>
      </c>
      <c r="F24" s="51">
        <v>40</v>
      </c>
      <c r="G24" s="51">
        <v>80</v>
      </c>
      <c r="H24" s="51">
        <v>21</v>
      </c>
      <c r="I24" s="51">
        <v>39</v>
      </c>
      <c r="J24" s="51">
        <v>1</v>
      </c>
      <c r="K24" s="50"/>
    </row>
    <row r="26" spans="1:11" x14ac:dyDescent="0.3">
      <c r="A26" s="52" t="s">
        <v>368</v>
      </c>
    </row>
    <row r="28" spans="1:11" x14ac:dyDescent="0.3">
      <c r="F28" s="21"/>
    </row>
    <row r="29" spans="1:11" x14ac:dyDescent="0.3">
      <c r="A29" s="53" t="s">
        <v>268</v>
      </c>
      <c r="B29" s="53" t="s">
        <v>369</v>
      </c>
      <c r="C29" s="53">
        <v>46</v>
      </c>
      <c r="F29" s="21"/>
    </row>
    <row r="30" spans="1:11" x14ac:dyDescent="0.3">
      <c r="A30" s="53" t="s">
        <v>268</v>
      </c>
      <c r="B30" s="53" t="s">
        <v>271</v>
      </c>
      <c r="C30" s="53">
        <v>37</v>
      </c>
      <c r="F30" s="21"/>
    </row>
    <row r="31" spans="1:11" x14ac:dyDescent="0.3">
      <c r="A31" s="53" t="s">
        <v>268</v>
      </c>
      <c r="B31" s="53" t="s">
        <v>301</v>
      </c>
      <c r="C31" s="53">
        <v>40</v>
      </c>
      <c r="F31" s="21"/>
    </row>
    <row r="32" spans="1:11" x14ac:dyDescent="0.3">
      <c r="A32" s="53" t="s">
        <v>268</v>
      </c>
      <c r="B32" s="53" t="s">
        <v>267</v>
      </c>
      <c r="C32" s="53">
        <v>56</v>
      </c>
    </row>
    <row r="33" spans="1:11" x14ac:dyDescent="0.3">
      <c r="A33" s="53" t="s">
        <v>268</v>
      </c>
      <c r="B33" s="53" t="s">
        <v>370</v>
      </c>
      <c r="C33" s="53">
        <v>51</v>
      </c>
    </row>
    <row r="34" spans="1:11" x14ac:dyDescent="0.3">
      <c r="A34" s="53" t="s">
        <v>268</v>
      </c>
      <c r="B34" s="53" t="s">
        <v>327</v>
      </c>
      <c r="C34" s="53">
        <v>62</v>
      </c>
      <c r="F34" s="57"/>
      <c r="G34" s="57"/>
      <c r="H34" s="57"/>
      <c r="I34" s="57"/>
      <c r="J34" s="57"/>
      <c r="K34" s="57"/>
    </row>
    <row r="35" spans="1:11" x14ac:dyDescent="0.3">
      <c r="A35" s="53" t="s">
        <v>156</v>
      </c>
      <c r="B35" s="53" t="s">
        <v>160</v>
      </c>
      <c r="C35" s="53">
        <v>55</v>
      </c>
      <c r="F35" s="57"/>
      <c r="G35" s="57"/>
      <c r="H35" s="57"/>
      <c r="I35" s="57"/>
      <c r="J35" s="57"/>
      <c r="K35" s="57"/>
    </row>
    <row r="36" spans="1:11" x14ac:dyDescent="0.3">
      <c r="A36" s="53" t="s">
        <v>156</v>
      </c>
      <c r="B36" s="53" t="s">
        <v>178</v>
      </c>
      <c r="C36" s="53">
        <v>72</v>
      </c>
      <c r="F36" s="57"/>
      <c r="G36" s="57"/>
      <c r="H36" s="57"/>
      <c r="I36" s="57"/>
      <c r="J36" s="57"/>
      <c r="K36" s="57"/>
    </row>
    <row r="37" spans="1:11" x14ac:dyDescent="0.3">
      <c r="A37" s="53" t="s">
        <v>156</v>
      </c>
      <c r="B37" s="53" t="s">
        <v>183</v>
      </c>
      <c r="C37" s="53">
        <v>59</v>
      </c>
      <c r="F37" s="57"/>
      <c r="G37" s="57"/>
      <c r="H37" s="57"/>
      <c r="I37" s="57"/>
      <c r="J37" s="57"/>
      <c r="K37" s="57"/>
    </row>
    <row r="38" spans="1:11" x14ac:dyDescent="0.3">
      <c r="A38" s="53" t="s">
        <v>156</v>
      </c>
      <c r="B38" s="53" t="s">
        <v>371</v>
      </c>
      <c r="C38" s="53">
        <v>54</v>
      </c>
      <c r="F38" s="57"/>
      <c r="G38" s="57"/>
      <c r="H38" s="57"/>
      <c r="I38" s="57"/>
      <c r="J38" s="57"/>
      <c r="K38" s="57"/>
    </row>
    <row r="39" spans="1:11" x14ac:dyDescent="0.3">
      <c r="A39" s="53" t="s">
        <v>156</v>
      </c>
      <c r="B39" s="53" t="s">
        <v>372</v>
      </c>
      <c r="C39" s="53">
        <v>60</v>
      </c>
      <c r="F39" s="57"/>
      <c r="G39" s="57"/>
      <c r="H39" s="57"/>
      <c r="I39" s="57"/>
      <c r="J39" s="57"/>
      <c r="K39" s="57"/>
    </row>
    <row r="40" spans="1:11" x14ac:dyDescent="0.3">
      <c r="A40" s="53" t="s">
        <v>156</v>
      </c>
      <c r="B40" s="53" t="s">
        <v>373</v>
      </c>
      <c r="C40" s="53">
        <v>60</v>
      </c>
      <c r="F40" s="57"/>
      <c r="G40" s="57"/>
      <c r="H40" s="57"/>
      <c r="I40" s="57"/>
      <c r="J40" s="57"/>
      <c r="K40" s="57"/>
    </row>
    <row r="41" spans="1:11" x14ac:dyDescent="0.3">
      <c r="A41" s="53" t="s">
        <v>156</v>
      </c>
      <c r="B41" s="53" t="s">
        <v>259</v>
      </c>
      <c r="C41" s="53">
        <v>63</v>
      </c>
      <c r="F41" s="57"/>
      <c r="G41" s="57"/>
      <c r="H41" s="57"/>
      <c r="I41" s="57"/>
      <c r="J41" s="57"/>
      <c r="K41" s="57"/>
    </row>
    <row r="42" spans="1:11" x14ac:dyDescent="0.3">
      <c r="F42" s="57"/>
      <c r="G42" s="57"/>
      <c r="H42" s="57"/>
      <c r="I42" s="57"/>
      <c r="J42" s="57"/>
      <c r="K42" s="57"/>
    </row>
    <row r="46" spans="1:11" x14ac:dyDescent="0.3">
      <c r="A46" t="s">
        <v>396</v>
      </c>
    </row>
    <row r="47" spans="1:11" x14ac:dyDescent="0.3">
      <c r="A47" t="s">
        <v>395</v>
      </c>
    </row>
    <row r="48" spans="1:11" x14ac:dyDescent="0.3">
      <c r="F48" s="57"/>
      <c r="G48" s="57"/>
      <c r="H48" s="57"/>
      <c r="I48" s="57"/>
      <c r="J48" s="57"/>
    </row>
    <row r="49" spans="1:10" x14ac:dyDescent="0.3">
      <c r="A49" t="s">
        <v>376</v>
      </c>
      <c r="F49" s="57"/>
      <c r="G49" s="57"/>
      <c r="H49" s="57"/>
      <c r="I49" s="57"/>
      <c r="J49" s="57"/>
    </row>
    <row r="50" spans="1:10" x14ac:dyDescent="0.3">
      <c r="A50" t="s">
        <v>377</v>
      </c>
      <c r="F50" s="57"/>
      <c r="G50" s="57"/>
      <c r="H50" s="57"/>
      <c r="I50" s="57"/>
      <c r="J50" s="57"/>
    </row>
    <row r="51" spans="1:10" x14ac:dyDescent="0.3">
      <c r="A51" t="s">
        <v>378</v>
      </c>
      <c r="F51" s="57"/>
      <c r="G51" s="57"/>
      <c r="H51" s="57"/>
      <c r="I51" s="57"/>
      <c r="J51" s="57"/>
    </row>
    <row r="52" spans="1:10" x14ac:dyDescent="0.3">
      <c r="A52" t="s">
        <v>379</v>
      </c>
    </row>
    <row r="53" spans="1:10" x14ac:dyDescent="0.3">
      <c r="A53" t="s">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topLeftCell="A28" zoomScale="85" zoomScaleNormal="85" workbookViewId="0">
      <selection activeCell="M40" sqref="M40"/>
    </sheetView>
  </sheetViews>
  <sheetFormatPr defaultColWidth="11.5546875" defaultRowHeight="13.8" x14ac:dyDescent="0.3"/>
  <cols>
    <col min="1" max="1" width="1.88671875" style="70" customWidth="1"/>
    <col min="2" max="2" width="27.33203125" style="70" bestFit="1" customWidth="1"/>
    <col min="3" max="3" width="11.5546875" style="70" customWidth="1"/>
    <col min="4" max="4" width="12.21875" style="70" bestFit="1" customWidth="1"/>
    <col min="5" max="5" width="17.44140625" style="70" bestFit="1" customWidth="1"/>
    <col min="6" max="6" width="12.21875" style="70" bestFit="1" customWidth="1"/>
    <col min="7" max="7" width="12.109375" style="70" bestFit="1" customWidth="1"/>
    <col min="8" max="8" width="11.109375" style="70" bestFit="1" customWidth="1"/>
    <col min="9" max="9" width="8.44140625" style="70" bestFit="1" customWidth="1"/>
    <col min="10" max="10" width="8.109375" style="70" bestFit="1" customWidth="1"/>
    <col min="11" max="11" width="15.5546875" style="70" customWidth="1"/>
    <col min="12" max="12" width="13" style="70" customWidth="1"/>
    <col min="13" max="13" width="17.21875" style="70" customWidth="1"/>
    <col min="14" max="14" width="9.5546875" style="70" customWidth="1"/>
    <col min="15" max="15" width="9.44140625" style="70" customWidth="1"/>
    <col min="16" max="16" width="3.5546875" style="70" customWidth="1"/>
    <col min="17" max="17" width="20.44140625" style="70" customWidth="1"/>
    <col min="18" max="18" width="100.109375" style="70" customWidth="1"/>
    <col min="19" max="19" width="19.33203125" style="70" customWidth="1"/>
    <col min="20" max="16384" width="11.5546875" style="70"/>
  </cols>
  <sheetData>
    <row r="1" spans="1:24" ht="15" thickBot="1" x14ac:dyDescent="0.35">
      <c r="B1" s="125"/>
      <c r="C1" s="124"/>
      <c r="D1" s="124"/>
      <c r="E1" s="124"/>
      <c r="F1" s="163" t="s">
        <v>449</v>
      </c>
      <c r="G1" s="164"/>
      <c r="H1" s="164"/>
      <c r="I1" s="164"/>
      <c r="J1" s="164"/>
      <c r="K1" s="164"/>
      <c r="L1" s="165"/>
      <c r="Q1" s="139" t="s">
        <v>442</v>
      </c>
      <c r="R1" s="133" t="s">
        <v>441</v>
      </c>
      <c r="S1"/>
      <c r="T1"/>
      <c r="U1"/>
      <c r="V1"/>
      <c r="W1"/>
      <c r="X1"/>
    </row>
    <row r="2" spans="1:24" ht="15" thickBot="1" x14ac:dyDescent="0.35">
      <c r="B2" s="118" t="s">
        <v>113</v>
      </c>
      <c r="C2" s="119" t="s">
        <v>382</v>
      </c>
      <c r="D2" s="119" t="s">
        <v>383</v>
      </c>
      <c r="E2" s="126" t="s">
        <v>384</v>
      </c>
      <c r="F2" s="120" t="s">
        <v>381</v>
      </c>
      <c r="G2" s="121" t="s">
        <v>384</v>
      </c>
      <c r="H2" s="121" t="s">
        <v>385</v>
      </c>
      <c r="I2" s="121" t="s">
        <v>375</v>
      </c>
      <c r="J2" s="121" t="s">
        <v>374</v>
      </c>
      <c r="K2" s="121" t="s">
        <v>450</v>
      </c>
      <c r="L2" s="132" t="s">
        <v>406</v>
      </c>
      <c r="M2" s="148" t="s">
        <v>475</v>
      </c>
      <c r="Q2" s="140" t="s">
        <v>0</v>
      </c>
      <c r="R2" s="134" t="s">
        <v>440</v>
      </c>
      <c r="S2"/>
      <c r="T2"/>
      <c r="U2"/>
      <c r="V2"/>
      <c r="W2"/>
      <c r="X2"/>
    </row>
    <row r="3" spans="1:24" ht="14.4" x14ac:dyDescent="0.3">
      <c r="B3" s="94" t="s">
        <v>31</v>
      </c>
      <c r="C3" s="95">
        <v>331220</v>
      </c>
      <c r="D3" s="95">
        <v>661030</v>
      </c>
      <c r="E3" s="127" t="s">
        <v>451</v>
      </c>
      <c r="F3" s="130"/>
      <c r="G3" s="98"/>
      <c r="H3" s="98"/>
      <c r="I3" s="98"/>
      <c r="J3" s="98"/>
      <c r="K3" s="98"/>
      <c r="L3" s="99"/>
      <c r="Q3" s="160" t="s">
        <v>439</v>
      </c>
      <c r="R3" s="134" t="s">
        <v>438</v>
      </c>
      <c r="S3"/>
      <c r="T3"/>
      <c r="U3"/>
      <c r="V3"/>
      <c r="W3"/>
      <c r="X3"/>
    </row>
    <row r="4" spans="1:24" ht="14.4" x14ac:dyDescent="0.3">
      <c r="B4" s="71" t="s">
        <v>23</v>
      </c>
      <c r="C4" s="81">
        <v>337809</v>
      </c>
      <c r="D4" s="81">
        <v>667982</v>
      </c>
      <c r="E4" s="128">
        <v>170</v>
      </c>
      <c r="F4" s="82" t="s">
        <v>142</v>
      </c>
      <c r="G4" s="80">
        <v>585</v>
      </c>
      <c r="H4" s="80">
        <v>17.8</v>
      </c>
      <c r="I4" s="80">
        <v>15</v>
      </c>
      <c r="J4" s="80"/>
      <c r="K4" s="80" t="s">
        <v>290</v>
      </c>
      <c r="L4" s="83" t="s">
        <v>291</v>
      </c>
      <c r="M4" s="70">
        <f>H4-G4*I4*0.001</f>
        <v>9.0250000000000004</v>
      </c>
      <c r="Q4" s="160"/>
      <c r="R4" s="134" t="s">
        <v>437</v>
      </c>
      <c r="S4"/>
      <c r="T4"/>
      <c r="U4"/>
      <c r="V4"/>
      <c r="W4"/>
      <c r="X4"/>
    </row>
    <row r="5" spans="1:24" ht="14.4" x14ac:dyDescent="0.3">
      <c r="B5" s="73" t="s">
        <v>75</v>
      </c>
      <c r="C5" s="81">
        <v>338352</v>
      </c>
      <c r="D5" s="81">
        <v>668017</v>
      </c>
      <c r="E5" s="128">
        <v>169.65</v>
      </c>
      <c r="F5" s="82" t="s">
        <v>142</v>
      </c>
      <c r="G5" s="80">
        <v>582</v>
      </c>
      <c r="H5" s="80">
        <v>23.9</v>
      </c>
      <c r="I5" s="80">
        <v>25.6</v>
      </c>
      <c r="J5" s="80"/>
      <c r="K5" s="80" t="s">
        <v>294</v>
      </c>
      <c r="L5" s="83" t="s">
        <v>291</v>
      </c>
      <c r="M5" s="70">
        <f t="shared" ref="M5:M10" si="0">H5-G5*I5*0.001</f>
        <v>9.0007999999999981</v>
      </c>
      <c r="Q5" s="160"/>
      <c r="R5" s="134" t="s">
        <v>65</v>
      </c>
      <c r="S5"/>
      <c r="T5"/>
      <c r="U5"/>
      <c r="V5"/>
      <c r="W5"/>
      <c r="X5"/>
    </row>
    <row r="6" spans="1:24" ht="14.4" x14ac:dyDescent="0.3">
      <c r="B6" s="68" t="s">
        <v>386</v>
      </c>
      <c r="C6" s="81">
        <v>334530</v>
      </c>
      <c r="D6" s="81">
        <v>673320</v>
      </c>
      <c r="E6" s="128">
        <v>4</v>
      </c>
      <c r="F6" s="82"/>
      <c r="G6" s="80"/>
      <c r="H6" s="80"/>
      <c r="I6" s="80"/>
      <c r="J6" s="80"/>
      <c r="K6" s="80"/>
      <c r="L6" s="83"/>
      <c r="Q6" s="160"/>
      <c r="R6" s="134" t="s">
        <v>66</v>
      </c>
      <c r="S6"/>
      <c r="T6"/>
      <c r="U6"/>
      <c r="V6"/>
      <c r="W6"/>
      <c r="X6"/>
    </row>
    <row r="7" spans="1:24" ht="14.4" x14ac:dyDescent="0.3">
      <c r="B7" s="77" t="s">
        <v>35</v>
      </c>
      <c r="C7" s="81">
        <v>336250</v>
      </c>
      <c r="D7" s="81">
        <v>664730</v>
      </c>
      <c r="E7" s="128">
        <v>235</v>
      </c>
      <c r="F7" s="82" t="s">
        <v>127</v>
      </c>
      <c r="G7" s="80">
        <v>747</v>
      </c>
      <c r="H7" s="80">
        <v>37.799999999999997</v>
      </c>
      <c r="I7" s="80">
        <v>39.1</v>
      </c>
      <c r="J7" s="80"/>
      <c r="K7" s="80" t="s">
        <v>279</v>
      </c>
      <c r="L7" s="83" t="s">
        <v>280</v>
      </c>
      <c r="M7" s="70">
        <f t="shared" si="0"/>
        <v>8.5922999999999945</v>
      </c>
      <c r="Q7" s="160"/>
      <c r="R7" s="135" t="s">
        <v>436</v>
      </c>
      <c r="S7" s="123"/>
      <c r="T7"/>
      <c r="U7"/>
      <c r="V7"/>
      <c r="W7"/>
      <c r="X7"/>
    </row>
    <row r="8" spans="1:24" ht="14.4" x14ac:dyDescent="0.3">
      <c r="B8" s="71" t="s">
        <v>34</v>
      </c>
      <c r="C8" s="81">
        <v>333250</v>
      </c>
      <c r="D8" s="81">
        <v>670440</v>
      </c>
      <c r="E8" s="128">
        <v>34</v>
      </c>
      <c r="F8" s="82"/>
      <c r="G8" s="80"/>
      <c r="H8" s="80"/>
      <c r="I8" s="80"/>
      <c r="J8" s="80"/>
      <c r="K8" s="80"/>
      <c r="L8" s="83"/>
      <c r="Q8" s="161" t="s">
        <v>435</v>
      </c>
      <c r="R8" s="136" t="s">
        <v>434</v>
      </c>
      <c r="S8"/>
      <c r="T8"/>
      <c r="U8"/>
      <c r="V8"/>
      <c r="W8"/>
      <c r="X8"/>
    </row>
    <row r="9" spans="1:24" ht="14.4" x14ac:dyDescent="0.3">
      <c r="B9" s="71" t="s">
        <v>32</v>
      </c>
      <c r="C9" s="81">
        <v>345694</v>
      </c>
      <c r="D9" s="81">
        <v>669019</v>
      </c>
      <c r="E9" s="128">
        <v>72.45</v>
      </c>
      <c r="F9" s="82" t="s">
        <v>142</v>
      </c>
      <c r="G9" s="80">
        <v>877</v>
      </c>
      <c r="H9" s="80">
        <v>27.8</v>
      </c>
      <c r="I9" s="80">
        <v>20.9</v>
      </c>
      <c r="J9" s="80"/>
      <c r="K9" s="80" t="s">
        <v>276</v>
      </c>
      <c r="L9" s="83" t="s">
        <v>124</v>
      </c>
      <c r="M9" s="70">
        <f t="shared" si="0"/>
        <v>9.4707000000000008</v>
      </c>
      <c r="Q9" s="161"/>
      <c r="R9" s="136" t="s">
        <v>446</v>
      </c>
      <c r="S9"/>
      <c r="T9"/>
      <c r="U9"/>
      <c r="V9"/>
      <c r="W9"/>
      <c r="X9"/>
    </row>
    <row r="10" spans="1:24" ht="14.4" x14ac:dyDescent="0.3">
      <c r="B10" s="154" t="s">
        <v>22</v>
      </c>
      <c r="C10" s="149">
        <v>336330</v>
      </c>
      <c r="D10" s="149">
        <v>664760</v>
      </c>
      <c r="E10" s="150">
        <v>235.6</v>
      </c>
      <c r="F10" s="151" t="s">
        <v>142</v>
      </c>
      <c r="G10" s="152">
        <v>942</v>
      </c>
      <c r="H10" s="152">
        <v>37.9</v>
      </c>
      <c r="I10" s="152">
        <v>34.9</v>
      </c>
      <c r="J10" s="152"/>
      <c r="K10" s="152" t="s">
        <v>332</v>
      </c>
      <c r="L10" s="153" t="s">
        <v>333</v>
      </c>
      <c r="M10" s="70">
        <f t="shared" si="0"/>
        <v>5.0242000000000004</v>
      </c>
      <c r="Q10" s="161"/>
      <c r="R10" s="137" t="s">
        <v>433</v>
      </c>
      <c r="S10"/>
      <c r="T10"/>
      <c r="U10"/>
      <c r="V10"/>
      <c r="W10"/>
      <c r="X10"/>
    </row>
    <row r="11" spans="1:24" ht="15" thickBot="1" x14ac:dyDescent="0.35">
      <c r="B11" s="84" t="s">
        <v>72</v>
      </c>
      <c r="C11" s="85">
        <v>326592</v>
      </c>
      <c r="D11" s="85">
        <v>666385</v>
      </c>
      <c r="E11" s="129">
        <v>151.4</v>
      </c>
      <c r="F11" s="131"/>
      <c r="G11" s="87"/>
      <c r="H11" s="87"/>
      <c r="I11" s="87"/>
      <c r="J11" s="87"/>
      <c r="K11" s="87"/>
      <c r="L11" s="88"/>
      <c r="Q11" s="161"/>
      <c r="R11" s="135" t="s">
        <v>445</v>
      </c>
      <c r="S11"/>
      <c r="T11"/>
      <c r="U11"/>
      <c r="V11"/>
      <c r="W11"/>
      <c r="X11"/>
    </row>
    <row r="12" spans="1:24" ht="14.4" x14ac:dyDescent="0.3">
      <c r="B12" t="s">
        <v>411</v>
      </c>
      <c r="C12" s="79"/>
      <c r="D12" s="79"/>
      <c r="E12" s="79"/>
      <c r="F12" s="79"/>
      <c r="G12" s="79"/>
      <c r="H12" s="79"/>
      <c r="I12" s="79"/>
      <c r="J12" s="79"/>
      <c r="K12" s="79"/>
      <c r="L12" s="79"/>
      <c r="M12" s="79"/>
      <c r="N12" s="79"/>
      <c r="O12" s="79"/>
      <c r="P12" s="79"/>
      <c r="Q12" s="161"/>
      <c r="R12" s="135" t="s">
        <v>432</v>
      </c>
      <c r="S12"/>
      <c r="T12"/>
      <c r="U12"/>
      <c r="V12"/>
      <c r="W12"/>
      <c r="X12"/>
    </row>
    <row r="13" spans="1:24" ht="14.4" x14ac:dyDescent="0.3">
      <c r="B13" t="s">
        <v>404</v>
      </c>
      <c r="Q13" s="161" t="s">
        <v>431</v>
      </c>
      <c r="R13" s="135" t="s">
        <v>430</v>
      </c>
      <c r="S13"/>
      <c r="T13"/>
      <c r="U13"/>
      <c r="V13"/>
      <c r="W13"/>
      <c r="X13"/>
    </row>
    <row r="14" spans="1:24" ht="14.4" x14ac:dyDescent="0.3">
      <c r="B14" s="79"/>
      <c r="C14" s="79"/>
      <c r="D14" s="79"/>
      <c r="E14" s="79"/>
      <c r="F14" s="79"/>
      <c r="G14" s="79"/>
      <c r="H14" s="79"/>
      <c r="I14" s="79"/>
      <c r="J14" s="79"/>
      <c r="K14" s="79"/>
      <c r="L14" s="79"/>
      <c r="Q14" s="161"/>
      <c r="R14" s="134" t="s">
        <v>429</v>
      </c>
      <c r="S14"/>
      <c r="T14"/>
      <c r="U14"/>
      <c r="V14"/>
      <c r="W14"/>
      <c r="X14"/>
    </row>
    <row r="15" spans="1:24" ht="15" customHeight="1" thickBot="1" x14ac:dyDescent="0.35">
      <c r="A15" s="266"/>
      <c r="B15" s="297"/>
      <c r="C15" s="297"/>
      <c r="D15" s="297"/>
      <c r="E15" s="297"/>
      <c r="F15" s="297"/>
      <c r="G15" s="297"/>
      <c r="H15" s="297"/>
      <c r="I15" s="297"/>
      <c r="J15" s="297"/>
      <c r="K15" s="297"/>
      <c r="L15" s="297"/>
      <c r="M15" s="267"/>
      <c r="N15" s="266"/>
      <c r="O15" s="266"/>
      <c r="P15" s="265"/>
      <c r="Q15" s="161"/>
      <c r="R15" s="134" t="s">
        <v>428</v>
      </c>
      <c r="S15"/>
      <c r="T15"/>
      <c r="U15"/>
      <c r="V15"/>
      <c r="W15"/>
      <c r="X15"/>
    </row>
    <row r="16" spans="1:24" ht="15" customHeight="1" thickBot="1" x14ac:dyDescent="0.35">
      <c r="A16" s="266"/>
      <c r="B16" s="266"/>
      <c r="C16" s="266"/>
      <c r="D16" s="237" t="s">
        <v>443</v>
      </c>
      <c r="E16" s="238" t="s">
        <v>444</v>
      </c>
      <c r="F16" s="239" t="s">
        <v>489</v>
      </c>
      <c r="G16" s="239" t="s">
        <v>490</v>
      </c>
      <c r="H16" s="238" t="s">
        <v>460</v>
      </c>
      <c r="I16" s="239" t="s">
        <v>399</v>
      </c>
      <c r="J16" s="240" t="s">
        <v>491</v>
      </c>
      <c r="K16" s="261" t="s">
        <v>397</v>
      </c>
      <c r="L16" s="262"/>
      <c r="M16" s="263" t="s">
        <v>494</v>
      </c>
      <c r="N16" s="259" t="s">
        <v>452</v>
      </c>
      <c r="O16" s="259" t="s">
        <v>461</v>
      </c>
      <c r="P16" s="265"/>
      <c r="Q16" s="161" t="s">
        <v>427</v>
      </c>
      <c r="R16" s="135" t="s">
        <v>426</v>
      </c>
      <c r="S16"/>
      <c r="T16"/>
      <c r="U16"/>
      <c r="V16"/>
      <c r="W16"/>
      <c r="X16"/>
    </row>
    <row r="17" spans="1:24" ht="15" thickBot="1" x14ac:dyDescent="0.35">
      <c r="A17" s="266"/>
      <c r="B17" s="266"/>
      <c r="C17" s="245" t="s">
        <v>391</v>
      </c>
      <c r="D17" s="272">
        <v>3.58</v>
      </c>
      <c r="E17" s="273">
        <v>2.91</v>
      </c>
      <c r="F17" s="274">
        <v>2.23</v>
      </c>
      <c r="G17" s="274">
        <v>1.85</v>
      </c>
      <c r="H17" s="274">
        <v>3.14</v>
      </c>
      <c r="I17" s="274">
        <v>2.35</v>
      </c>
      <c r="J17" s="275">
        <v>0.31</v>
      </c>
      <c r="K17" s="167" t="s">
        <v>492</v>
      </c>
      <c r="L17" s="256" t="s">
        <v>410</v>
      </c>
      <c r="M17" s="168" t="s">
        <v>493</v>
      </c>
      <c r="N17" s="260"/>
      <c r="O17" s="260"/>
      <c r="P17" s="265"/>
      <c r="Q17" s="161"/>
      <c r="R17" s="135" t="s">
        <v>425</v>
      </c>
      <c r="S17"/>
      <c r="T17"/>
      <c r="U17"/>
      <c r="V17"/>
      <c r="W17"/>
      <c r="X17"/>
    </row>
    <row r="18" spans="1:24" ht="13.95" customHeight="1" thickBot="1" x14ac:dyDescent="0.35">
      <c r="A18" s="266"/>
      <c r="B18" s="266"/>
      <c r="C18" s="246" t="s">
        <v>459</v>
      </c>
      <c r="D18" s="276">
        <v>0.89600000000000002</v>
      </c>
      <c r="E18" s="277">
        <v>0.89600000000000002</v>
      </c>
      <c r="F18" s="277">
        <v>1.3919999999999999</v>
      </c>
      <c r="G18" s="277">
        <v>1.3919999999999999</v>
      </c>
      <c r="H18" s="277">
        <v>2.0659999999999998</v>
      </c>
      <c r="I18" s="277">
        <v>0.7</v>
      </c>
      <c r="J18" s="278">
        <v>0.5</v>
      </c>
      <c r="K18" s="169"/>
      <c r="L18" s="257"/>
      <c r="M18" s="169"/>
      <c r="N18" s="258">
        <v>53</v>
      </c>
      <c r="O18" s="146">
        <v>30</v>
      </c>
      <c r="P18" s="265"/>
      <c r="Q18" s="161"/>
      <c r="R18" s="135" t="s">
        <v>424</v>
      </c>
      <c r="S18"/>
      <c r="T18"/>
      <c r="U18"/>
      <c r="V18"/>
      <c r="W18"/>
      <c r="X18"/>
    </row>
    <row r="19" spans="1:24" ht="15" thickBot="1" x14ac:dyDescent="0.35">
      <c r="A19" s="266"/>
      <c r="B19" s="293" t="s">
        <v>31</v>
      </c>
      <c r="C19" s="247" t="s">
        <v>390</v>
      </c>
      <c r="D19" s="268" t="s">
        <v>448</v>
      </c>
      <c r="E19" s="269"/>
      <c r="F19" s="269"/>
      <c r="G19" s="269"/>
      <c r="H19" s="269"/>
      <c r="I19" s="269"/>
      <c r="J19" s="269"/>
      <c r="K19" s="270"/>
      <c r="L19" s="270"/>
      <c r="M19" s="265"/>
      <c r="N19" s="265"/>
      <c r="O19" s="271"/>
      <c r="P19" s="265"/>
      <c r="Q19" s="161"/>
      <c r="R19" s="135" t="s">
        <v>423</v>
      </c>
      <c r="S19"/>
      <c r="T19"/>
      <c r="U19"/>
      <c r="V19"/>
      <c r="W19"/>
      <c r="X19"/>
    </row>
    <row r="20" spans="1:24" ht="14.4" x14ac:dyDescent="0.3">
      <c r="A20" s="266"/>
      <c r="B20" s="294" t="s">
        <v>33</v>
      </c>
      <c r="C20" s="289">
        <v>250</v>
      </c>
      <c r="D20" s="279">
        <v>35</v>
      </c>
      <c r="E20" s="280"/>
      <c r="F20" s="281">
        <v>30</v>
      </c>
      <c r="G20" s="281">
        <v>30</v>
      </c>
      <c r="H20" s="280"/>
      <c r="I20" s="281">
        <v>1</v>
      </c>
      <c r="J20" s="248">
        <v>5</v>
      </c>
      <c r="K20" s="248">
        <f>SUMPRODUCT($D$17:$J$17,D20:J20)/100</f>
        <v>2.516</v>
      </c>
      <c r="L20" s="250">
        <v>1.91</v>
      </c>
      <c r="M20" s="253">
        <f>SUMPRODUCT($D$18:$J$18,D20:J20)/100*0.001</f>
        <v>1.1808000000000001E-3</v>
      </c>
      <c r="N20" s="249" t="s">
        <v>9</v>
      </c>
      <c r="O20" s="249" t="s">
        <v>9</v>
      </c>
      <c r="P20" s="265"/>
      <c r="Q20" s="161"/>
      <c r="R20" s="135" t="s">
        <v>422</v>
      </c>
      <c r="S20"/>
      <c r="T20"/>
      <c r="U20"/>
      <c r="V20"/>
      <c r="W20"/>
      <c r="X20"/>
    </row>
    <row r="21" spans="1:24" ht="14.4" x14ac:dyDescent="0.3">
      <c r="A21" s="266"/>
      <c r="B21" s="295" t="s">
        <v>24</v>
      </c>
      <c r="C21" s="290">
        <f>460-C20</f>
        <v>210</v>
      </c>
      <c r="D21" s="282"/>
      <c r="E21" s="283">
        <v>90</v>
      </c>
      <c r="F21" s="283">
        <v>5</v>
      </c>
      <c r="G21" s="283">
        <v>5</v>
      </c>
      <c r="H21" s="284"/>
      <c r="I21" s="284"/>
      <c r="J21" s="143"/>
      <c r="K21" s="141">
        <f>SUMPRODUCT($D$17:$J$17,D21:J21)/100</f>
        <v>2.823</v>
      </c>
      <c r="L21" s="251">
        <v>2.91</v>
      </c>
      <c r="M21" s="254">
        <f>SUMPRODUCT($D$18:$J$18,D21:J21)/100*0.001</f>
        <v>9.4559999999999989E-4</v>
      </c>
      <c r="N21" s="147" t="s">
        <v>9</v>
      </c>
      <c r="O21" s="147" t="s">
        <v>9</v>
      </c>
      <c r="P21" s="265"/>
      <c r="Q21" s="161"/>
      <c r="R21" s="135" t="s">
        <v>421</v>
      </c>
      <c r="S21"/>
      <c r="T21"/>
      <c r="U21"/>
      <c r="V21"/>
      <c r="W21"/>
      <c r="X21"/>
    </row>
    <row r="22" spans="1:24" ht="14.4" x14ac:dyDescent="0.3">
      <c r="A22" s="266"/>
      <c r="B22" s="295" t="s">
        <v>25</v>
      </c>
      <c r="C22" s="290">
        <f>625-(C21+C20)</f>
        <v>165</v>
      </c>
      <c r="D22" s="285">
        <v>39</v>
      </c>
      <c r="E22" s="284"/>
      <c r="F22" s="283">
        <v>20</v>
      </c>
      <c r="G22" s="283">
        <v>20</v>
      </c>
      <c r="H22" s="283">
        <v>20</v>
      </c>
      <c r="I22" s="284"/>
      <c r="J22" s="142">
        <v>1</v>
      </c>
      <c r="K22" s="141">
        <f t="shared" ref="K22:K25" si="1">SUMPRODUCT($D$17:$J$17,D22:J22)/100</f>
        <v>2.8432999999999997</v>
      </c>
      <c r="L22" s="251">
        <v>2.25</v>
      </c>
      <c r="M22" s="254">
        <f>SUMPRODUCT($D$18:$J$18,D22:J22)/100*0.001</f>
        <v>1.3244399999999999E-3</v>
      </c>
      <c r="N22" s="147" t="s">
        <v>9</v>
      </c>
      <c r="O22" s="147" t="s">
        <v>9</v>
      </c>
      <c r="P22" s="265"/>
      <c r="Q22" s="161"/>
      <c r="R22" s="135" t="s">
        <v>420</v>
      </c>
      <c r="S22"/>
      <c r="T22"/>
      <c r="U22"/>
      <c r="V22"/>
      <c r="W22"/>
      <c r="X22"/>
    </row>
    <row r="23" spans="1:24" ht="14.4" x14ac:dyDescent="0.3">
      <c r="A23" s="266"/>
      <c r="B23" s="295" t="s">
        <v>26</v>
      </c>
      <c r="C23" s="290">
        <f>800-(C22+C21+C20)</f>
        <v>175</v>
      </c>
      <c r="D23" s="285">
        <v>35</v>
      </c>
      <c r="E23" s="284"/>
      <c r="F23" s="283">
        <v>20</v>
      </c>
      <c r="G23" s="283">
        <v>20</v>
      </c>
      <c r="H23" s="283">
        <v>20</v>
      </c>
      <c r="I23" s="284"/>
      <c r="J23" s="142">
        <v>5</v>
      </c>
      <c r="K23" s="141">
        <f t="shared" si="1"/>
        <v>2.7124999999999999</v>
      </c>
      <c r="L23" s="251">
        <v>2.2400000000000002</v>
      </c>
      <c r="M23" s="254">
        <f>SUMPRODUCT($D$18:$J$18,D23:J23)/100*0.001</f>
        <v>1.3085999999999998E-3</v>
      </c>
      <c r="N23" s="147" t="s">
        <v>9</v>
      </c>
      <c r="O23" s="147" t="s">
        <v>9</v>
      </c>
      <c r="P23" s="265"/>
      <c r="Q23" s="161"/>
      <c r="R23" s="135" t="s">
        <v>419</v>
      </c>
      <c r="S23"/>
      <c r="T23"/>
      <c r="U23"/>
      <c r="V23"/>
      <c r="W23"/>
      <c r="X23"/>
    </row>
    <row r="24" spans="1:24" ht="14.4" x14ac:dyDescent="0.3">
      <c r="A24" s="266"/>
      <c r="B24" s="295" t="s">
        <v>27</v>
      </c>
      <c r="C24" s="290">
        <f>885-(C23+C22+C21+C20)</f>
        <v>85</v>
      </c>
      <c r="D24" s="285">
        <v>39</v>
      </c>
      <c r="E24" s="284"/>
      <c r="F24" s="283">
        <v>20</v>
      </c>
      <c r="G24" s="283">
        <v>20</v>
      </c>
      <c r="H24" s="283">
        <v>20</v>
      </c>
      <c r="I24" s="284"/>
      <c r="J24" s="142">
        <v>1</v>
      </c>
      <c r="K24" s="141">
        <f t="shared" si="1"/>
        <v>2.8432999999999997</v>
      </c>
      <c r="L24" s="251">
        <v>1.88</v>
      </c>
      <c r="M24" s="254">
        <f>SUMPRODUCT($D$18:$J$18,D24:J24)/100*0.001</f>
        <v>1.3244399999999999E-3</v>
      </c>
      <c r="N24" s="147" t="s">
        <v>9</v>
      </c>
      <c r="O24" s="147" t="s">
        <v>9</v>
      </c>
      <c r="P24" s="265"/>
      <c r="Q24" s="161"/>
      <c r="R24" s="135" t="s">
        <v>418</v>
      </c>
      <c r="S24"/>
      <c r="T24"/>
      <c r="U24"/>
      <c r="V24"/>
      <c r="W24"/>
      <c r="X24"/>
    </row>
    <row r="25" spans="1:24" ht="14.4" x14ac:dyDescent="0.3">
      <c r="A25" s="266"/>
      <c r="B25" s="295" t="s">
        <v>28</v>
      </c>
      <c r="C25" s="290">
        <v>492</v>
      </c>
      <c r="D25" s="285">
        <v>30</v>
      </c>
      <c r="E25" s="284"/>
      <c r="F25" s="283">
        <v>25</v>
      </c>
      <c r="G25" s="283">
        <v>25</v>
      </c>
      <c r="H25" s="283">
        <v>20</v>
      </c>
      <c r="I25" s="284"/>
      <c r="J25" s="143"/>
      <c r="K25" s="141">
        <f t="shared" si="1"/>
        <v>2.722</v>
      </c>
      <c r="L25" s="251" t="s">
        <v>453</v>
      </c>
      <c r="M25" s="254">
        <f>SUMPRODUCT($D$18:$J$18,D25:J25)/100*0.001</f>
        <v>1.3779999999999999E-3</v>
      </c>
      <c r="N25" s="147" t="s">
        <v>9</v>
      </c>
      <c r="O25" s="147" t="s">
        <v>9</v>
      </c>
      <c r="P25" s="265"/>
      <c r="Q25" s="161"/>
      <c r="R25" s="135" t="s">
        <v>417</v>
      </c>
      <c r="S25"/>
      <c r="T25"/>
      <c r="U25"/>
      <c r="V25"/>
      <c r="W25"/>
      <c r="X25"/>
    </row>
    <row r="26" spans="1:24" ht="14.4" x14ac:dyDescent="0.3">
      <c r="A26" s="266"/>
      <c r="B26" s="295" t="s">
        <v>29</v>
      </c>
      <c r="C26" s="291" t="s">
        <v>70</v>
      </c>
      <c r="D26" s="286"/>
      <c r="E26" s="284"/>
      <c r="F26" s="284"/>
      <c r="G26" s="284"/>
      <c r="H26" s="284"/>
      <c r="I26" s="284"/>
      <c r="J26" s="143"/>
      <c r="K26" s="143"/>
      <c r="L26" s="251" t="s">
        <v>455</v>
      </c>
      <c r="M26" s="255">
        <v>1.4E-3</v>
      </c>
      <c r="N26" s="147" t="s">
        <v>9</v>
      </c>
      <c r="O26" s="147" t="s">
        <v>9</v>
      </c>
      <c r="P26" s="265"/>
      <c r="Q26" s="161"/>
      <c r="R26" s="135" t="s">
        <v>416</v>
      </c>
      <c r="S26"/>
      <c r="T26"/>
      <c r="U26"/>
      <c r="V26"/>
      <c r="W26"/>
      <c r="X26"/>
    </row>
    <row r="27" spans="1:24" ht="15" thickBot="1" x14ac:dyDescent="0.35">
      <c r="A27" s="266"/>
      <c r="B27" s="296" t="s">
        <v>30</v>
      </c>
      <c r="C27" s="292">
        <f>1030-960</f>
        <v>70</v>
      </c>
      <c r="D27" s="287"/>
      <c r="E27" s="288"/>
      <c r="F27" s="288"/>
      <c r="G27" s="288"/>
      <c r="H27" s="288"/>
      <c r="I27" s="288"/>
      <c r="J27" s="144"/>
      <c r="K27" s="144"/>
      <c r="L27" s="252">
        <v>2.2000000000000002</v>
      </c>
      <c r="M27" s="145" t="s">
        <v>9</v>
      </c>
      <c r="N27" s="145" t="s">
        <v>9</v>
      </c>
      <c r="O27" s="145" t="s">
        <v>9</v>
      </c>
      <c r="P27" s="265"/>
      <c r="Q27" s="161"/>
      <c r="R27" s="135" t="s">
        <v>415</v>
      </c>
      <c r="S27"/>
      <c r="T27"/>
      <c r="U27"/>
      <c r="V27"/>
      <c r="W27"/>
      <c r="X27"/>
    </row>
    <row r="28" spans="1:24" ht="14.4" x14ac:dyDescent="0.3">
      <c r="A28" s="266"/>
      <c r="B28" s="264"/>
      <c r="C28" s="265" t="s">
        <v>412</v>
      </c>
      <c r="D28" s="266"/>
      <c r="E28" s="266"/>
      <c r="F28" s="266"/>
      <c r="G28" s="266"/>
      <c r="H28" s="266"/>
      <c r="I28" s="266"/>
      <c r="J28" s="266"/>
      <c r="K28" s="266"/>
      <c r="L28" s="266" t="s">
        <v>454</v>
      </c>
      <c r="M28" s="266"/>
      <c r="N28" s="266"/>
      <c r="O28" s="266"/>
      <c r="P28" s="265"/>
      <c r="Q28" s="161"/>
      <c r="R28" s="135" t="s">
        <v>414</v>
      </c>
      <c r="S28"/>
      <c r="T28"/>
      <c r="U28"/>
      <c r="V28"/>
      <c r="W28"/>
      <c r="X28"/>
    </row>
    <row r="29" spans="1:24" ht="15" thickBot="1" x14ac:dyDescent="0.35">
      <c r="A29" s="266"/>
      <c r="B29" s="264"/>
      <c r="C29" s="266"/>
      <c r="D29" s="266"/>
      <c r="E29" s="266"/>
      <c r="F29" s="266"/>
      <c r="G29" s="266"/>
      <c r="H29" s="266"/>
      <c r="I29" s="266"/>
      <c r="J29" s="266"/>
      <c r="K29" s="266"/>
      <c r="L29" s="266" t="s">
        <v>456</v>
      </c>
      <c r="M29" s="266"/>
      <c r="N29" s="266"/>
      <c r="O29" s="266"/>
      <c r="P29" s="265"/>
      <c r="Q29" s="162"/>
      <c r="R29" s="138" t="s">
        <v>413</v>
      </c>
      <c r="S29"/>
      <c r="T29"/>
      <c r="U29"/>
      <c r="V29"/>
      <c r="W29"/>
      <c r="X29"/>
    </row>
    <row r="30" spans="1:24" ht="14.4" x14ac:dyDescent="0.3">
      <c r="A30" s="266"/>
      <c r="B30" s="107"/>
      <c r="P30" s="79"/>
      <c r="Q30" t="s">
        <v>447</v>
      </c>
      <c r="R30" s="122"/>
      <c r="S30"/>
      <c r="T30"/>
      <c r="U30"/>
      <c r="V30"/>
      <c r="W30"/>
      <c r="X30"/>
    </row>
    <row r="31" spans="1:24" ht="14.4" x14ac:dyDescent="0.3">
      <c r="B31" s="107"/>
      <c r="M31" s="79"/>
      <c r="N31" s="79"/>
      <c r="O31" s="79"/>
      <c r="P31" s="79"/>
      <c r="Q31"/>
      <c r="R31" s="122"/>
      <c r="S31"/>
      <c r="T31"/>
      <c r="U31"/>
      <c r="V31"/>
      <c r="W31"/>
      <c r="X31"/>
    </row>
    <row r="32" spans="1:24" ht="14.4" x14ac:dyDescent="0.3">
      <c r="B32" s="107"/>
      <c r="L32" s="70" t="s">
        <v>479</v>
      </c>
      <c r="M32" s="70" t="s">
        <v>480</v>
      </c>
      <c r="N32" s="241"/>
      <c r="O32" s="241"/>
      <c r="P32" s="79"/>
      <c r="Q32"/>
      <c r="R32" s="122"/>
      <c r="S32"/>
      <c r="T32"/>
      <c r="U32"/>
      <c r="V32"/>
      <c r="W32"/>
      <c r="X32"/>
    </row>
    <row r="33" spans="1:24" ht="14.4" x14ac:dyDescent="0.3">
      <c r="C33" t="s">
        <v>407</v>
      </c>
      <c r="L33" s="70" t="s">
        <v>19</v>
      </c>
      <c r="M33" s="70" t="s">
        <v>481</v>
      </c>
      <c r="N33" s="241"/>
      <c r="O33" s="241"/>
      <c r="Q33"/>
      <c r="R33" s="122"/>
      <c r="S33"/>
      <c r="T33"/>
      <c r="U33"/>
      <c r="V33"/>
      <c r="W33"/>
      <c r="X33"/>
    </row>
    <row r="34" spans="1:24" ht="14.4" x14ac:dyDescent="0.3">
      <c r="C34" s="70" t="s">
        <v>398</v>
      </c>
      <c r="L34" s="70" t="s">
        <v>482</v>
      </c>
      <c r="M34" s="70" t="s">
        <v>483</v>
      </c>
      <c r="N34" s="241"/>
      <c r="O34" s="241"/>
      <c r="Q34"/>
      <c r="R34" s="122"/>
      <c r="S34"/>
      <c r="T34"/>
      <c r="U34"/>
      <c r="V34"/>
      <c r="W34"/>
      <c r="X34"/>
    </row>
    <row r="35" spans="1:24" ht="14.4" x14ac:dyDescent="0.3">
      <c r="C35" s="70" t="s">
        <v>408</v>
      </c>
      <c r="L35" s="70" t="s">
        <v>484</v>
      </c>
      <c r="M35" s="70" t="s">
        <v>485</v>
      </c>
      <c r="N35" s="242"/>
      <c r="O35" s="242"/>
      <c r="Q35"/>
      <c r="R35" s="122"/>
      <c r="S35"/>
      <c r="T35"/>
      <c r="U35"/>
      <c r="V35"/>
      <c r="W35"/>
      <c r="X35"/>
    </row>
    <row r="36" spans="1:24" ht="14.4" x14ac:dyDescent="0.3">
      <c r="C36" s="79" t="s">
        <v>405</v>
      </c>
      <c r="D36" s="79"/>
      <c r="E36" s="79"/>
      <c r="N36" s="79"/>
      <c r="O36" s="244"/>
      <c r="Q36"/>
      <c r="R36"/>
      <c r="S36" s="166"/>
      <c r="T36"/>
      <c r="U36"/>
      <c r="V36"/>
      <c r="X36"/>
    </row>
    <row r="37" spans="1:24" ht="14.4" x14ac:dyDescent="0.3">
      <c r="C37" s="79" t="s">
        <v>409</v>
      </c>
      <c r="D37" s="117"/>
      <c r="E37" s="79"/>
      <c r="N37" s="79"/>
      <c r="O37" s="244"/>
      <c r="Q37"/>
      <c r="R37"/>
      <c r="S37" s="166"/>
      <c r="T37"/>
      <c r="U37"/>
      <c r="V37"/>
      <c r="W37"/>
      <c r="X37"/>
    </row>
    <row r="38" spans="1:24" ht="14.4" x14ac:dyDescent="0.3">
      <c r="C38" s="116"/>
      <c r="D38" s="117"/>
      <c r="E38" s="79"/>
      <c r="M38" s="241"/>
      <c r="N38" s="79"/>
      <c r="O38" s="244"/>
      <c r="Q38"/>
      <c r="R38"/>
      <c r="S38" s="166"/>
      <c r="T38"/>
      <c r="U38"/>
      <c r="V38"/>
      <c r="W38"/>
      <c r="X38"/>
    </row>
    <row r="39" spans="1:24" ht="15" thickBot="1" x14ac:dyDescent="0.35">
      <c r="A39" s="266"/>
      <c r="B39" s="325" t="s">
        <v>498</v>
      </c>
      <c r="C39" s="10"/>
      <c r="D39" s="298"/>
      <c r="E39" s="265"/>
      <c r="F39" s="266"/>
      <c r="G39" s="266"/>
      <c r="H39" s="266"/>
      <c r="M39" s="241"/>
      <c r="N39" s="79"/>
      <c r="O39" s="244"/>
      <c r="Q39"/>
      <c r="R39"/>
      <c r="S39"/>
      <c r="T39"/>
      <c r="U39"/>
      <c r="V39"/>
      <c r="W39"/>
      <c r="X39"/>
    </row>
    <row r="40" spans="1:24" ht="15" thickBot="1" x14ac:dyDescent="0.35">
      <c r="A40" s="266"/>
      <c r="B40" s="299"/>
      <c r="C40" s="300" t="s">
        <v>390</v>
      </c>
      <c r="D40" s="301" t="s">
        <v>478</v>
      </c>
      <c r="E40" s="301" t="s">
        <v>476</v>
      </c>
      <c r="F40" s="301" t="s">
        <v>477</v>
      </c>
      <c r="G40" s="302" t="s">
        <v>391</v>
      </c>
      <c r="H40" s="266"/>
      <c r="M40" s="241"/>
      <c r="N40" s="79"/>
      <c r="O40" s="244"/>
      <c r="Q40"/>
      <c r="R40"/>
      <c r="S40"/>
      <c r="T40"/>
      <c r="U40"/>
      <c r="V40"/>
      <c r="W40"/>
      <c r="X40"/>
    </row>
    <row r="41" spans="1:24" ht="14.4" x14ac:dyDescent="0.3">
      <c r="A41" s="266"/>
      <c r="B41" s="303" t="s">
        <v>33</v>
      </c>
      <c r="C41" s="306">
        <v>125</v>
      </c>
      <c r="D41" s="307">
        <f>C41/SUM($C$41:$C$47)</f>
        <v>0.125</v>
      </c>
      <c r="E41" s="308">
        <f>0.0012</f>
        <v>1.1999999999999999E-3</v>
      </c>
      <c r="F41" s="307">
        <f>C41*E41</f>
        <v>0.15</v>
      </c>
      <c r="G41" s="309">
        <v>1.91</v>
      </c>
      <c r="H41" s="266"/>
      <c r="M41" s="241"/>
      <c r="N41" s="79"/>
      <c r="O41" s="244"/>
      <c r="Q41"/>
      <c r="R41"/>
      <c r="S41"/>
      <c r="T41"/>
      <c r="U41"/>
      <c r="V41"/>
      <c r="W41"/>
      <c r="X41"/>
    </row>
    <row r="42" spans="1:24" ht="14.4" x14ac:dyDescent="0.3">
      <c r="A42" s="266"/>
      <c r="B42" s="304" t="s">
        <v>24</v>
      </c>
      <c r="C42" s="306">
        <f>230-125</f>
        <v>105</v>
      </c>
      <c r="D42" s="307">
        <f>C42/SUM($C$41:$C$47)</f>
        <v>0.105</v>
      </c>
      <c r="E42" s="308">
        <v>8.9999999999999998E-4</v>
      </c>
      <c r="F42" s="307">
        <f>C42*E42</f>
        <v>9.4500000000000001E-2</v>
      </c>
      <c r="G42" s="309">
        <v>2.91</v>
      </c>
      <c r="H42" s="266"/>
      <c r="M42" s="243"/>
      <c r="N42" s="79"/>
      <c r="O42" s="244"/>
      <c r="Q42"/>
      <c r="R42"/>
      <c r="S42"/>
      <c r="T42"/>
      <c r="U42"/>
      <c r="V42"/>
      <c r="W42"/>
      <c r="X42"/>
    </row>
    <row r="43" spans="1:24" ht="14.4" customHeight="1" x14ac:dyDescent="0.3">
      <c r="A43" s="266"/>
      <c r="B43" s="304" t="s">
        <v>25</v>
      </c>
      <c r="C43" s="306">
        <f>315-230</f>
        <v>85</v>
      </c>
      <c r="D43" s="307">
        <f>C43/SUM($C$41:$C$47)</f>
        <v>8.5000000000000006E-2</v>
      </c>
      <c r="E43" s="308">
        <v>1.2999999999999999E-3</v>
      </c>
      <c r="F43" s="307">
        <f>C43*E43</f>
        <v>0.1105</v>
      </c>
      <c r="G43" s="309">
        <v>2.25</v>
      </c>
      <c r="H43" s="266"/>
      <c r="M43" s="244"/>
      <c r="N43" s="79"/>
      <c r="O43" s="244"/>
      <c r="Q43" s="54"/>
      <c r="R43" s="54"/>
      <c r="S43"/>
      <c r="T43"/>
      <c r="U43"/>
      <c r="V43"/>
      <c r="W43"/>
      <c r="X43"/>
    </row>
    <row r="44" spans="1:24" ht="14.4" x14ac:dyDescent="0.3">
      <c r="A44" s="266"/>
      <c r="B44" s="304" t="s">
        <v>26</v>
      </c>
      <c r="C44" s="306">
        <f>400-315</f>
        <v>85</v>
      </c>
      <c r="D44" s="307">
        <f>C44/SUM($C$41:$C$47)</f>
        <v>8.5000000000000006E-2</v>
      </c>
      <c r="E44" s="308">
        <v>1.2999999999999999E-3</v>
      </c>
      <c r="F44" s="307">
        <f>C44*E44</f>
        <v>0.1105</v>
      </c>
      <c r="G44" s="309">
        <v>2.2400000000000002</v>
      </c>
      <c r="H44" s="266"/>
      <c r="M44" s="79"/>
      <c r="N44" s="79"/>
      <c r="O44" s="79"/>
      <c r="Q44" s="54"/>
      <c r="R44" s="54"/>
      <c r="S44"/>
      <c r="T44"/>
      <c r="U44"/>
      <c r="V44"/>
      <c r="W44"/>
      <c r="X44"/>
    </row>
    <row r="45" spans="1:24" ht="14.4" x14ac:dyDescent="0.3">
      <c r="A45" s="266"/>
      <c r="B45" s="304" t="s">
        <v>27</v>
      </c>
      <c r="C45" s="306">
        <f>445-400</f>
        <v>45</v>
      </c>
      <c r="D45" s="307">
        <f>C45/SUM($C$41:$C$47)</f>
        <v>4.4999999999999998E-2</v>
      </c>
      <c r="E45" s="308">
        <v>1.2999999999999999E-3</v>
      </c>
      <c r="F45" s="307">
        <f>C45*E45</f>
        <v>5.8499999999999996E-2</v>
      </c>
      <c r="G45" s="309">
        <v>1.88</v>
      </c>
      <c r="H45" s="266"/>
      <c r="Q45" s="54"/>
      <c r="R45" s="54"/>
      <c r="S45"/>
      <c r="T45"/>
      <c r="U45"/>
      <c r="V45"/>
      <c r="W45"/>
      <c r="X45"/>
    </row>
    <row r="46" spans="1:24" ht="14.4" x14ac:dyDescent="0.3">
      <c r="A46" s="266"/>
      <c r="B46" s="304" t="s">
        <v>28</v>
      </c>
      <c r="C46" s="306">
        <f>700-445</f>
        <v>255</v>
      </c>
      <c r="D46" s="307">
        <f>C46/SUM($C$41:$C$47)</f>
        <v>0.255</v>
      </c>
      <c r="E46" s="310">
        <v>1.4E-3</v>
      </c>
      <c r="F46" s="307">
        <f>C46*E46</f>
        <v>0.35699999999999998</v>
      </c>
      <c r="G46" s="309">
        <v>2.1</v>
      </c>
      <c r="H46" s="266"/>
      <c r="Q46" s="54"/>
      <c r="R46" s="54"/>
      <c r="S46"/>
      <c r="T46"/>
      <c r="U46"/>
      <c r="V46"/>
      <c r="W46"/>
      <c r="X46"/>
    </row>
    <row r="47" spans="1:24" ht="15" thickBot="1" x14ac:dyDescent="0.35">
      <c r="A47" s="266"/>
      <c r="B47" s="305" t="s">
        <v>29</v>
      </c>
      <c r="C47" s="311">
        <f>1000-700</f>
        <v>300</v>
      </c>
      <c r="D47" s="312">
        <f>C47/SUM($C$41:$C$47)</f>
        <v>0.3</v>
      </c>
      <c r="E47" s="313">
        <v>1.4E-3</v>
      </c>
      <c r="F47" s="312">
        <f>C47*E47</f>
        <v>0.42</v>
      </c>
      <c r="G47" s="314">
        <v>4.1900000000000004</v>
      </c>
      <c r="H47" s="266"/>
      <c r="Q47" s="54"/>
      <c r="R47" s="54"/>
      <c r="S47"/>
      <c r="T47"/>
      <c r="U47"/>
      <c r="V47"/>
      <c r="W47"/>
      <c r="X47"/>
    </row>
    <row r="48" spans="1:24" ht="14.4" x14ac:dyDescent="0.3">
      <c r="A48" s="266"/>
      <c r="B48" s="266"/>
      <c r="C48" s="315"/>
      <c r="D48" s="316"/>
      <c r="E48" s="317" t="s">
        <v>495</v>
      </c>
      <c r="F48" s="318">
        <f>SUMPRODUCT(G41:G47,D41:D47)</f>
        <v>2.8030500000000003</v>
      </c>
      <c r="G48" s="316"/>
      <c r="H48" s="266"/>
      <c r="Q48" s="54"/>
      <c r="R48" s="54"/>
      <c r="S48"/>
      <c r="T48"/>
      <c r="U48"/>
      <c r="V48"/>
      <c r="W48"/>
      <c r="X48"/>
    </row>
    <row r="49" spans="1:24" ht="14.4" x14ac:dyDescent="0.3">
      <c r="A49" s="266"/>
      <c r="B49" s="266"/>
      <c r="C49" s="315"/>
      <c r="D49" s="316"/>
      <c r="E49" s="317" t="s">
        <v>496</v>
      </c>
      <c r="F49" s="318">
        <f>0.031</f>
        <v>3.1E-2</v>
      </c>
      <c r="G49" s="316"/>
      <c r="H49" s="266"/>
      <c r="Q49" s="54"/>
      <c r="R49" s="54"/>
      <c r="S49"/>
      <c r="T49"/>
      <c r="U49"/>
      <c r="V49"/>
      <c r="W49"/>
      <c r="X49"/>
    </row>
    <row r="50" spans="1:24" ht="14.4" x14ac:dyDescent="0.3">
      <c r="A50" s="266"/>
      <c r="B50" s="266"/>
      <c r="C50" s="315"/>
      <c r="D50" s="316"/>
      <c r="E50" s="317" t="s">
        <v>497</v>
      </c>
      <c r="F50" s="319">
        <f>F48*F49</f>
        <v>8.6894550000000001E-2</v>
      </c>
      <c r="G50" s="316"/>
      <c r="H50" s="266"/>
      <c r="Q50"/>
      <c r="R50"/>
      <c r="S50"/>
      <c r="T50"/>
      <c r="U50"/>
      <c r="V50"/>
      <c r="W50"/>
      <c r="X50"/>
    </row>
    <row r="51" spans="1:24" ht="14.4" x14ac:dyDescent="0.3">
      <c r="A51" s="266"/>
      <c r="B51" s="266"/>
      <c r="C51" s="315"/>
      <c r="D51" s="316"/>
      <c r="E51" s="316"/>
      <c r="F51" s="316"/>
      <c r="G51" s="316"/>
      <c r="H51" s="266"/>
    </row>
    <row r="52" spans="1:24" ht="15" thickBot="1" x14ac:dyDescent="0.35">
      <c r="A52" s="266"/>
      <c r="B52" s="266"/>
      <c r="C52" s="315"/>
      <c r="D52" s="316"/>
      <c r="E52" s="316"/>
      <c r="F52" s="316"/>
      <c r="G52" s="316"/>
      <c r="H52" s="266"/>
    </row>
    <row r="53" spans="1:24" ht="14.4" x14ac:dyDescent="0.3">
      <c r="A53" s="266"/>
      <c r="B53" s="325" t="s">
        <v>499</v>
      </c>
      <c r="C53" s="300" t="s">
        <v>390</v>
      </c>
      <c r="D53" s="301" t="s">
        <v>478</v>
      </c>
      <c r="E53" s="301" t="s">
        <v>476</v>
      </c>
      <c r="F53" s="301" t="s">
        <v>477</v>
      </c>
      <c r="G53" s="302" t="s">
        <v>391</v>
      </c>
      <c r="H53" s="266"/>
    </row>
    <row r="54" spans="1:24" ht="14.4" x14ac:dyDescent="0.3">
      <c r="A54" s="266"/>
      <c r="B54" s="266"/>
      <c r="C54" s="306">
        <v>50</v>
      </c>
      <c r="D54" s="307">
        <f>C54/SUM($C$54:$C$58)</f>
        <v>0.05</v>
      </c>
      <c r="E54" s="308">
        <f>0.001</f>
        <v>1E-3</v>
      </c>
      <c r="F54" s="320">
        <f>C54*E54</f>
        <v>0.05</v>
      </c>
      <c r="G54" s="321">
        <v>1.2</v>
      </c>
      <c r="H54" s="266"/>
    </row>
    <row r="55" spans="1:24" ht="14.4" x14ac:dyDescent="0.3">
      <c r="A55" s="266"/>
      <c r="B55" s="266"/>
      <c r="C55" s="306">
        <v>200</v>
      </c>
      <c r="D55" s="307">
        <f>C55/SUM($C$54:$C$58)</f>
        <v>0.2</v>
      </c>
      <c r="E55" s="308">
        <v>1.4E-3</v>
      </c>
      <c r="F55" s="320">
        <f>C55*E55</f>
        <v>0.27999999999999997</v>
      </c>
      <c r="G55" s="321">
        <v>1.8</v>
      </c>
      <c r="H55" s="266"/>
    </row>
    <row r="56" spans="1:24" ht="14.4" x14ac:dyDescent="0.3">
      <c r="A56" s="266"/>
      <c r="B56" s="266"/>
      <c r="C56" s="306">
        <v>200</v>
      </c>
      <c r="D56" s="307">
        <f>C56/SUM($C$54:$C$58)</f>
        <v>0.2</v>
      </c>
      <c r="E56" s="308">
        <v>1.4E-3</v>
      </c>
      <c r="F56" s="320">
        <f>C56*E56</f>
        <v>0.27999999999999997</v>
      </c>
      <c r="G56" s="321">
        <v>2.2999999999999998</v>
      </c>
      <c r="H56" s="266"/>
    </row>
    <row r="57" spans="1:24" ht="14.4" x14ac:dyDescent="0.3">
      <c r="A57" s="266"/>
      <c r="B57" s="266"/>
      <c r="C57" s="306">
        <v>200</v>
      </c>
      <c r="D57" s="307">
        <f>C57/SUM($C$54:$C$58)</f>
        <v>0.2</v>
      </c>
      <c r="E57" s="308">
        <v>1.4E-3</v>
      </c>
      <c r="F57" s="320">
        <f>C57*E57</f>
        <v>0.27999999999999997</v>
      </c>
      <c r="G57" s="321">
        <v>2.2999999999999998</v>
      </c>
      <c r="H57" s="266"/>
    </row>
    <row r="58" spans="1:24" ht="15" thickBot="1" x14ac:dyDescent="0.35">
      <c r="A58" s="266"/>
      <c r="B58" s="266"/>
      <c r="C58" s="311">
        <f>1000-50-600</f>
        <v>350</v>
      </c>
      <c r="D58" s="312">
        <f>C58/SUM($C$54:$C$58)</f>
        <v>0.35</v>
      </c>
      <c r="E58" s="322">
        <v>1.4E-3</v>
      </c>
      <c r="F58" s="323">
        <f>C58*E58</f>
        <v>0.49</v>
      </c>
      <c r="G58" s="324">
        <v>2.2999999999999998</v>
      </c>
      <c r="H58" s="266"/>
    </row>
    <row r="59" spans="1:24" ht="14.4" x14ac:dyDescent="0.3">
      <c r="A59" s="266"/>
      <c r="B59" s="266"/>
      <c r="C59" s="266"/>
      <c r="D59" s="316"/>
      <c r="E59" s="317" t="s">
        <v>495</v>
      </c>
      <c r="F59" s="318">
        <f>SUMPRODUCT(G53:G58,D53:D58)</f>
        <v>2.1449999999999996</v>
      </c>
      <c r="G59" s="316"/>
      <c r="H59" s="266"/>
    </row>
    <row r="60" spans="1:24" ht="14.4" x14ac:dyDescent="0.3">
      <c r="A60" s="266"/>
      <c r="B60" s="266"/>
      <c r="C60" s="266"/>
      <c r="D60" s="316"/>
      <c r="E60" s="317" t="s">
        <v>496</v>
      </c>
      <c r="F60" s="318">
        <f>(40-9)/1000</f>
        <v>3.1E-2</v>
      </c>
      <c r="G60" s="316"/>
      <c r="H60" s="266"/>
    </row>
    <row r="61" spans="1:24" ht="14.4" x14ac:dyDescent="0.3">
      <c r="A61" s="266"/>
      <c r="B61" s="266"/>
      <c r="C61" s="266"/>
      <c r="D61" s="316"/>
      <c r="E61" s="317" t="s">
        <v>497</v>
      </c>
      <c r="F61" s="319">
        <f>F59*F60</f>
        <v>6.6494999999999985E-2</v>
      </c>
      <c r="G61" s="316"/>
      <c r="H61" s="266"/>
    </row>
    <row r="62" spans="1:24" x14ac:dyDescent="0.3">
      <c r="A62" s="266"/>
      <c r="B62" s="266"/>
      <c r="C62" s="266"/>
      <c r="D62" s="266"/>
      <c r="E62" s="266"/>
      <c r="F62" s="266"/>
      <c r="G62" s="266"/>
      <c r="H62" s="266"/>
    </row>
    <row r="63" spans="1:24" x14ac:dyDescent="0.3">
      <c r="A63" s="266"/>
      <c r="B63" s="266"/>
      <c r="C63" s="266"/>
      <c r="D63" s="266"/>
      <c r="E63" s="266"/>
      <c r="F63" s="266"/>
      <c r="G63" s="266"/>
      <c r="H63" s="266"/>
    </row>
  </sheetData>
  <sortState ref="B1:R12">
    <sortCondition ref="B1"/>
  </sortState>
  <mergeCells count="13">
    <mergeCell ref="S36:S38"/>
    <mergeCell ref="K17:K18"/>
    <mergeCell ref="K16:L16"/>
    <mergeCell ref="Q3:Q7"/>
    <mergeCell ref="Q16:Q29"/>
    <mergeCell ref="Q13:Q15"/>
    <mergeCell ref="Q8:Q12"/>
    <mergeCell ref="F1:L1"/>
    <mergeCell ref="L17:L18"/>
    <mergeCell ref="D19:J19"/>
    <mergeCell ref="M17:M18"/>
    <mergeCell ref="N16:N17"/>
    <mergeCell ref="O16:O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2020-05-09T10:50:51Z</dcterms:modified>
</cp:coreProperties>
</file>