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Modeling\"/>
    </mc:Choice>
  </mc:AlternateContent>
  <bookViews>
    <workbookView xWindow="-108" yWindow="-108" windowWidth="23256" windowHeight="12720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U33" i="1"/>
  <c r="AK33" i="1"/>
  <c r="AL33" i="1"/>
  <c r="AP33" i="1" s="1"/>
  <c r="AN33" i="1"/>
  <c r="AO33" i="1"/>
  <c r="AR33" i="1"/>
  <c r="AV34" i="1" s="1"/>
  <c r="AS33" i="1"/>
  <c r="Z5" i="1"/>
  <c r="AA5" i="1"/>
  <c r="AA4" i="1"/>
  <c r="Z4" i="1"/>
  <c r="AA46" i="1"/>
  <c r="AA45" i="1"/>
  <c r="AT33" i="1" l="1"/>
  <c r="AQ33" i="1"/>
  <c r="AU33" i="1" s="1"/>
  <c r="AA43" i="1"/>
  <c r="AV33" i="1" l="1"/>
  <c r="C29" i="3"/>
  <c r="B27" i="3"/>
  <c r="B19" i="3" l="1"/>
  <c r="B16" i="3"/>
  <c r="B20" i="3" l="1"/>
  <c r="B22" i="3" s="1"/>
  <c r="B28" i="3" s="1"/>
  <c r="B23" i="3"/>
  <c r="B25" i="3"/>
  <c r="B24" i="3"/>
  <c r="B15" i="3"/>
  <c r="E7" i="3"/>
  <c r="B9" i="3"/>
  <c r="B29" i="3" l="1"/>
  <c r="B17" i="3"/>
  <c r="F9" i="2" l="1"/>
  <c r="F8" i="2"/>
  <c r="B21" i="2"/>
  <c r="B20" i="2"/>
  <c r="B10" i="2"/>
  <c r="B11" i="2" s="1"/>
  <c r="B18" i="2"/>
  <c r="B17" i="2"/>
  <c r="F6" i="2"/>
  <c r="F5" i="2"/>
</calcChain>
</file>

<file path=xl/sharedStrings.xml><?xml version="1.0" encoding="utf-8"?>
<sst xmlns="http://schemas.openxmlformats.org/spreadsheetml/2006/main" count="348" uniqueCount="216">
  <si>
    <t>Model name</t>
  </si>
  <si>
    <t>M1</t>
  </si>
  <si>
    <t>Group</t>
  </si>
  <si>
    <t>Medium</t>
  </si>
  <si>
    <t>Porosity</t>
  </si>
  <si>
    <t>Tortuosity</t>
  </si>
  <si>
    <t>Storage</t>
  </si>
  <si>
    <t>Mass dispersion</t>
  </si>
  <si>
    <t>Thermal Expansion</t>
  </si>
  <si>
    <t>Time step</t>
  </si>
  <si>
    <t>Ne</t>
  </si>
  <si>
    <t>Co</t>
  </si>
  <si>
    <t>Stability criterium</t>
  </si>
  <si>
    <t>q=</t>
  </si>
  <si>
    <t>k=</t>
  </si>
  <si>
    <t>T1@</t>
  </si>
  <si>
    <t>m</t>
  </si>
  <si>
    <t>T2@</t>
  </si>
  <si>
    <t>?</t>
  </si>
  <si>
    <t>q=k*dT/dx</t>
  </si>
  <si>
    <t>q=k*(T1-T2)/(x1-x2)</t>
  </si>
  <si>
    <t>q*(x1-x2)/k-T1=-T2</t>
  </si>
  <si>
    <t>T2=T1-q(x1-x2)/k</t>
  </si>
  <si>
    <t>T2=</t>
  </si>
  <si>
    <t>Gradient=</t>
  </si>
  <si>
    <t>°C</t>
  </si>
  <si>
    <t>Flux =</t>
  </si>
  <si>
    <t>Imposed temperature (Dawdon)</t>
  </si>
  <si>
    <t>T@0m</t>
  </si>
  <si>
    <t>T@800m</t>
  </si>
  <si>
    <t>A1</t>
  </si>
  <si>
    <t>BHE</t>
  </si>
  <si>
    <t>T=32,8</t>
  </si>
  <si>
    <t>IC</t>
  </si>
  <si>
    <t xml:space="preserve">Thermal </t>
  </si>
  <si>
    <t>Gradient 230 15 -0.03125</t>
  </si>
  <si>
    <t>Fluid properties</t>
  </si>
  <si>
    <t>density</t>
  </si>
  <si>
    <t>Viscosity</t>
  </si>
  <si>
    <t xml:space="preserve">Specific heat capacity </t>
  </si>
  <si>
    <t>Heat conductivity</t>
  </si>
  <si>
    <t>Medium properties</t>
  </si>
  <si>
    <t>Dimension</t>
  </si>
  <si>
    <t>Solid properties</t>
  </si>
  <si>
    <t>Total</t>
  </si>
  <si>
    <t>18250 (50 yrs)</t>
  </si>
  <si>
    <t>Permeability tensor (Hydraulic conductivity (m/s))</t>
  </si>
  <si>
    <t>Heat dispersion</t>
  </si>
  <si>
    <t>Time</t>
  </si>
  <si>
    <t>Imposed flux (Bilston Glen)</t>
  </si>
  <si>
    <t>Imposed temperature (Easthouse)</t>
  </si>
  <si>
    <t>ST</t>
  </si>
  <si>
    <t>Hydraulic</t>
  </si>
  <si>
    <t>Extraction -1294 to -706W</t>
  </si>
  <si>
    <t>Extraction - 1000 W</t>
  </si>
  <si>
    <t>top</t>
  </si>
  <si>
    <t>middle</t>
  </si>
  <si>
    <t>bottom</t>
  </si>
  <si>
    <t>shaft</t>
  </si>
  <si>
    <t>seams</t>
  </si>
  <si>
    <t>1 2 2</t>
  </si>
  <si>
    <t>1 1 1</t>
  </si>
  <si>
    <t>1 3 2</t>
  </si>
  <si>
    <t>1 2 3</t>
  </si>
  <si>
    <t>Hydro</t>
  </si>
  <si>
    <t>CONSTANT 0</t>
  </si>
  <si>
    <t>No flow</t>
  </si>
  <si>
    <t>Boundary conditions</t>
  </si>
  <si>
    <t>TOP</t>
  </si>
  <si>
    <t>BOTTOM</t>
  </si>
  <si>
    <t>EAST</t>
  </si>
  <si>
    <t>WEST</t>
  </si>
  <si>
    <t>Thermal</t>
  </si>
  <si>
    <t>A2</t>
  </si>
  <si>
    <t>A3</t>
  </si>
  <si>
    <t>A4</t>
  </si>
  <si>
    <t>No production, no flux</t>
  </si>
  <si>
    <t>Set up initial conditions</t>
  </si>
  <si>
    <t>Try set up condition with 12 °C at 702 m et G=0,03</t>
  </si>
  <si>
    <t>Try with flow at bottom</t>
  </si>
  <si>
    <t>Pe</t>
  </si>
  <si>
    <t>Zone</t>
  </si>
  <si>
    <t>Seam</t>
  </si>
  <si>
    <t>(m/s)</t>
  </si>
  <si>
    <t>Advective v</t>
  </si>
  <si>
    <t>De</t>
  </si>
  <si>
    <t>Mesh</t>
  </si>
  <si>
    <t>m2</t>
  </si>
  <si>
    <t>µ=</t>
  </si>
  <si>
    <t>P=</t>
  </si>
  <si>
    <t>q=-k * Dp / µL</t>
  </si>
  <si>
    <t xml:space="preserve">Pa.s </t>
  </si>
  <si>
    <t>dynamic viscosity</t>
  </si>
  <si>
    <t>µ (Pa.s)</t>
  </si>
  <si>
    <t>B1</t>
  </si>
  <si>
    <t>GRADIENT 670 15 -0.02</t>
  </si>
  <si>
    <t>T=7</t>
  </si>
  <si>
    <t>T=17</t>
  </si>
  <si>
    <t>10950 (30 yrs)</t>
  </si>
  <si>
    <t>Used modified temperature profile from B1</t>
  </si>
  <si>
    <t>B2</t>
  </si>
  <si>
    <t>B3</t>
  </si>
  <si>
    <t>!! Should be 17,6°C !!</t>
  </si>
  <si>
    <t>RELOAD (curved gradient)</t>
  </si>
  <si>
    <t>T=16.1822155</t>
  </si>
  <si>
    <t>Q</t>
  </si>
  <si>
    <t>Darcy q</t>
  </si>
  <si>
    <t>m3/s</t>
  </si>
  <si>
    <t>A</t>
  </si>
  <si>
    <t>m/s</t>
  </si>
  <si>
    <t>Q=K A * dh/dl</t>
  </si>
  <si>
    <t>K=rho * k * g / µ (m/s)</t>
  </si>
  <si>
    <t>α</t>
  </si>
  <si>
    <t>Thermal diffusivity</t>
  </si>
  <si>
    <t>Diff Coeff</t>
  </si>
  <si>
    <t>size (m)</t>
  </si>
  <si>
    <t>dt</t>
  </si>
  <si>
    <t>(s)</t>
  </si>
  <si>
    <t>Hydro (m3/s)</t>
  </si>
  <si>
    <t>Thermal (J/m3.s or W/m2)</t>
  </si>
  <si>
    <t>Geothermal heat flux = "CONSTANT_NEUMANN"</t>
  </si>
  <si>
    <t>Thermal conductivity (W/m.K)</t>
  </si>
  <si>
    <t>Thermal capacity (J/Kg.K)</t>
  </si>
  <si>
    <t>Density (Kg/m3)</t>
  </si>
  <si>
    <t>Ne &lt; 1/2</t>
  </si>
  <si>
    <t>Co &lt; 1</t>
  </si>
  <si>
    <t>m2/s</t>
  </si>
  <si>
    <t>De = D * ne/T</t>
  </si>
  <si>
    <t>DL</t>
  </si>
  <si>
    <t>DL=α |v|</t>
  </si>
  <si>
    <t>Dispersivity</t>
  </si>
  <si>
    <t>D ( λ / ρc)</t>
  </si>
  <si>
    <t>q or v ??</t>
  </si>
  <si>
    <t>Pe &lt; 2</t>
  </si>
  <si>
    <t>PERMEABILITY TENSOR</t>
  </si>
  <si>
    <t xml:space="preserve">Q=-kA(p1-p2)/µL </t>
  </si>
  <si>
    <t>Q (m3/s)</t>
  </si>
  <si>
    <t>k (m2)</t>
  </si>
  <si>
    <t>v=</t>
  </si>
  <si>
    <t>v = µ/rho</t>
  </si>
  <si>
    <t>kinematic viscosity (m2/s)</t>
  </si>
  <si>
    <t>Stability criterium analysis</t>
  </si>
  <si>
    <t>porosity</t>
  </si>
  <si>
    <t>flow rate</t>
  </si>
  <si>
    <t>Cross-section area</t>
  </si>
  <si>
    <t>Dt</t>
  </si>
  <si>
    <t>s</t>
  </si>
  <si>
    <t>Dx</t>
  </si>
  <si>
    <t>mesh volume</t>
  </si>
  <si>
    <t>m3</t>
  </si>
  <si>
    <t>void volume</t>
  </si>
  <si>
    <t xml:space="preserve">m3 </t>
  </si>
  <si>
    <t>material removed</t>
  </si>
  <si>
    <t>&lt;1</t>
  </si>
  <si>
    <t>&lt; 1/2 Pe</t>
  </si>
  <si>
    <t>[0.001</t>
  </si>
  <si>
    <t>0.5]</t>
  </si>
  <si>
    <t>&lt; 1</t>
  </si>
  <si>
    <t>diffusion</t>
  </si>
  <si>
    <t>&gt;1</t>
  </si>
  <si>
    <t>dispersion</t>
  </si>
  <si>
    <t>D (diffusivity)</t>
  </si>
  <si>
    <t>α (dispersivity)</t>
  </si>
  <si>
    <t>M1 PROD</t>
  </si>
  <si>
    <t>RELOAD</t>
  </si>
  <si>
    <t>0.0001 / -0.0001</t>
  </si>
  <si>
    <t>(i.e. thickness of the seam)</t>
  </si>
  <si>
    <t>Source term</t>
  </si>
  <si>
    <t>MASS or HEAT ??</t>
  </si>
  <si>
    <t>Diff-Disp Coeff</t>
  </si>
  <si>
    <t>T=8.1</t>
  </si>
  <si>
    <t>T=32.1</t>
  </si>
  <si>
    <t>Gradient 230 15 -0.03</t>
  </si>
  <si>
    <t>A4bis</t>
  </si>
  <si>
    <t>Gradient 230 15 -0.04</t>
  </si>
  <si>
    <t>T=5.8</t>
  </si>
  <si>
    <t>T=37.8</t>
  </si>
  <si>
    <t>A4flux</t>
  </si>
  <si>
    <t>q=k DT/Dz</t>
  </si>
  <si>
    <t>q=-0.0942</t>
  </si>
  <si>
    <t>Used modified temperature profile from B1 with constant extraction</t>
  </si>
  <si>
    <t>None</t>
  </si>
  <si>
    <t>A3bis</t>
  </si>
  <si>
    <t>$HEAT_DISPERSION</t>
  </si>
  <si>
    <t>3 MONTHS</t>
  </si>
  <si>
    <t>1 0.5 0.5</t>
  </si>
  <si>
    <t>T=9</t>
  </si>
  <si>
    <t>T=18</t>
  </si>
  <si>
    <t>INJ= 6°C</t>
  </si>
  <si>
    <t>Set up initial temperature profile (TtopBC &gt; Tsurf)</t>
  </si>
  <si>
    <t>A1bis</t>
  </si>
  <si>
    <t>Increase size borehole from 40 to 80m</t>
  </si>
  <si>
    <t>Gradient 60 10 -0.038</t>
  </si>
  <si>
    <t>Gradient 60 10 -0.015</t>
  </si>
  <si>
    <t>Constant production along borehole</t>
  </si>
  <si>
    <t>CASE 2 (Higher gradient from 60 m)</t>
  </si>
  <si>
    <t>CASE 1</t>
  </si>
  <si>
    <t>New IC: Cyclical production</t>
  </si>
  <si>
    <t>TtopBC &gt; Tsurf from CASE 2 - No production</t>
  </si>
  <si>
    <t>A2bis</t>
  </si>
  <si>
    <t>Increase gradient (check T at 60 m)</t>
  </si>
  <si>
    <t>TtopBC &gt; Tsurf from CASE 2 with prod</t>
  </si>
  <si>
    <t>M1 Abort</t>
  </si>
  <si>
    <t>800m mesh</t>
  </si>
  <si>
    <t>Gradient -300 18 -0.03</t>
  </si>
  <si>
    <t>300m mesh</t>
  </si>
  <si>
    <t>1 2 1</t>
  </si>
  <si>
    <t>1 1 2</t>
  </si>
  <si>
    <t>0,0001 m3/s = 1L/s</t>
  </si>
  <si>
    <t>1 YEAR</t>
  </si>
  <si>
    <t>PROD</t>
  </si>
  <si>
    <t>PROD2</t>
  </si>
  <si>
    <t>A3solar</t>
  </si>
  <si>
    <t>Add  T variation as top BC</t>
  </si>
  <si>
    <t>Tvar</t>
  </si>
  <si>
    <t xml:space="preserve">add flux instead of bottom BC --&gt; reversed flux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</si>
</sst>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/>
    <xf numFmtId="0" fontId="0" fillId="0" borderId="0" xfId="0" applyFont="1" applyAlignment="1"/>
    <xf numFmtId="0" fontId="1" fillId="0" borderId="0" xfId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0" borderId="0" xfId="1"/>
    <xf numFmtId="11" fontId="0" fillId="0" borderId="0" xfId="0" applyNumberForma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0" xfId="0" applyFont="1" applyBorder="1"/>
    <xf numFmtId="11" fontId="5" fillId="0" borderId="0" xfId="0" applyNumberFormat="1" applyFont="1" applyBorder="1"/>
    <xf numFmtId="0" fontId="5" fillId="0" borderId="0" xfId="0" applyFont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16" fontId="5" fillId="0" borderId="14" xfId="0" applyNumberFormat="1" applyFont="1" applyBorder="1"/>
    <xf numFmtId="0" fontId="5" fillId="0" borderId="14" xfId="0" applyFont="1" applyFill="1" applyBorder="1"/>
    <xf numFmtId="11" fontId="5" fillId="0" borderId="0" xfId="0" applyNumberFormat="1" applyFont="1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15" xfId="0" applyBorder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ill="1" applyBorder="1"/>
    <xf numFmtId="11" fontId="0" fillId="0" borderId="15" xfId="0" applyNumberFormat="1" applyBorder="1"/>
    <xf numFmtId="2" fontId="0" fillId="0" borderId="0" xfId="0" applyNumberFormat="1"/>
    <xf numFmtId="0" fontId="5" fillId="0" borderId="13" xfId="0" quotePrefix="1" applyFont="1" applyBorder="1"/>
    <xf numFmtId="0" fontId="7" fillId="4" borderId="0" xfId="0" applyFont="1" applyFill="1"/>
    <xf numFmtId="2" fontId="7" fillId="4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13" xfId="0" applyFont="1" applyBorder="1"/>
    <xf numFmtId="0" fontId="8" fillId="0" borderId="0" xfId="0" applyFont="1" applyBorder="1"/>
    <xf numFmtId="0" fontId="9" fillId="0" borderId="13" xfId="0" applyFont="1" applyBorder="1"/>
    <xf numFmtId="0" fontId="9" fillId="0" borderId="0" xfId="0" applyFont="1" applyBorder="1"/>
    <xf numFmtId="0" fontId="10" fillId="0" borderId="13" xfId="0" applyFont="1" applyBorder="1"/>
    <xf numFmtId="0" fontId="10" fillId="0" borderId="0" xfId="0" applyFont="1" applyBorder="1"/>
    <xf numFmtId="0" fontId="9" fillId="0" borderId="14" xfId="0" applyFont="1" applyBorder="1"/>
    <xf numFmtId="0" fontId="8" fillId="0" borderId="12" xfId="0" applyFont="1" applyBorder="1"/>
    <xf numFmtId="0" fontId="8" fillId="0" borderId="0" xfId="0" applyFont="1"/>
    <xf numFmtId="0" fontId="8" fillId="0" borderId="14" xfId="0" applyFont="1" applyBorder="1"/>
    <xf numFmtId="11" fontId="8" fillId="0" borderId="0" xfId="0" applyNumberFormat="1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5" xfId="0" applyFont="1" applyBorder="1"/>
    <xf numFmtId="11" fontId="5" fillId="0" borderId="13" xfId="0" applyNumberFormat="1" applyFont="1" applyBorder="1"/>
    <xf numFmtId="11" fontId="5" fillId="0" borderId="14" xfId="0" applyNumberFormat="1" applyFont="1" applyBorder="1"/>
    <xf numFmtId="0" fontId="5" fillId="0" borderId="14" xfId="0" applyFont="1" applyBorder="1" applyAlignment="1">
      <alignment horizontal="right"/>
    </xf>
    <xf numFmtId="0" fontId="10" fillId="0" borderId="1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@800m" TargetMode="External"/><Relationship Id="rId3" Type="http://schemas.openxmlformats.org/officeDocument/2006/relationships/hyperlink" Target="mailto:T1@" TargetMode="External"/><Relationship Id="rId7" Type="http://schemas.openxmlformats.org/officeDocument/2006/relationships/hyperlink" Target="mailto:T@0m" TargetMode="External"/><Relationship Id="rId2" Type="http://schemas.openxmlformats.org/officeDocument/2006/relationships/hyperlink" Target="mailto:T2@" TargetMode="External"/><Relationship Id="rId1" Type="http://schemas.openxmlformats.org/officeDocument/2006/relationships/hyperlink" Target="mailto:T1@" TargetMode="External"/><Relationship Id="rId6" Type="http://schemas.openxmlformats.org/officeDocument/2006/relationships/hyperlink" Target="mailto:T2@" TargetMode="External"/><Relationship Id="rId5" Type="http://schemas.openxmlformats.org/officeDocument/2006/relationships/hyperlink" Target="mailto:T1@" TargetMode="External"/><Relationship Id="rId10" Type="http://schemas.openxmlformats.org/officeDocument/2006/relationships/hyperlink" Target="mailto:T@800m" TargetMode="External"/><Relationship Id="rId4" Type="http://schemas.openxmlformats.org/officeDocument/2006/relationships/hyperlink" Target="mailto:T2@" TargetMode="External"/><Relationship Id="rId9" Type="http://schemas.openxmlformats.org/officeDocument/2006/relationships/hyperlink" Target="mailto:T@0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tabSelected="1" zoomScale="80" zoomScaleNormal="80" workbookViewId="0">
      <pane xSplit="1" topLeftCell="B1" activePane="topRight" state="frozen"/>
      <selection pane="topRight" activeCell="B16" sqref="B16"/>
    </sheetView>
  </sheetViews>
  <sheetFormatPr defaultColWidth="11.5546875" defaultRowHeight="13.8" x14ac:dyDescent="0.3"/>
  <cols>
    <col min="1" max="1" width="11.5546875" style="8"/>
    <col min="2" max="2" width="55.109375" style="8" bestFit="1" customWidth="1"/>
    <col min="3" max="3" width="5.88671875" style="8" bestFit="1" customWidth="1"/>
    <col min="4" max="4" width="7.5546875" style="8" bestFit="1" customWidth="1"/>
    <col min="5" max="5" width="9.21875" style="8" bestFit="1" customWidth="1"/>
    <col min="6" max="6" width="7.44140625" style="8" bestFit="1" customWidth="1"/>
    <col min="7" max="7" width="9" style="8" bestFit="1" customWidth="1"/>
    <col min="8" max="8" width="7.88671875" style="8" bestFit="1" customWidth="1"/>
    <col min="9" max="9" width="15.77734375" style="8" customWidth="1"/>
    <col min="10" max="10" width="13.109375" style="8" bestFit="1" customWidth="1"/>
    <col min="11" max="11" width="13.5546875" style="8" bestFit="1" customWidth="1"/>
    <col min="12" max="12" width="17.44140625" style="8" bestFit="1" customWidth="1"/>
    <col min="13" max="13" width="14.109375" style="8" bestFit="1" customWidth="1"/>
    <col min="14" max="14" width="15.5546875" style="8" bestFit="1" customWidth="1"/>
    <col min="15" max="15" width="6.77734375" style="8" bestFit="1" customWidth="1"/>
    <col min="16" max="16" width="6.6640625" style="8" bestFit="1" customWidth="1"/>
    <col min="17" max="17" width="7.88671875" style="8" bestFit="1" customWidth="1"/>
    <col min="18" max="19" width="11.5546875" style="8"/>
    <col min="20" max="20" width="8.5546875" style="8" bestFit="1" customWidth="1"/>
    <col min="21" max="21" width="14.21875" style="8" bestFit="1" customWidth="1"/>
    <col min="22" max="22" width="6.33203125" style="8" bestFit="1" customWidth="1"/>
    <col min="23" max="23" width="9.33203125" style="8" bestFit="1" customWidth="1"/>
    <col min="24" max="25" width="9.33203125" style="8" customWidth="1"/>
    <col min="26" max="26" width="6.33203125" style="8" bestFit="1" customWidth="1"/>
    <col min="27" max="27" width="9.33203125" style="8" bestFit="1" customWidth="1"/>
    <col min="28" max="29" width="9.33203125" style="8" customWidth="1"/>
    <col min="30" max="30" width="21.77734375" style="8" bestFit="1" customWidth="1"/>
    <col min="31" max="33" width="21.77734375" style="8" customWidth="1"/>
    <col min="34" max="34" width="5.33203125" style="8" customWidth="1"/>
    <col min="35" max="35" width="7.88671875" style="8" bestFit="1" customWidth="1"/>
    <col min="36" max="36" width="8.21875" style="8" bestFit="1" customWidth="1"/>
    <col min="37" max="37" width="8.44140625" style="8" bestFit="1" customWidth="1"/>
    <col min="38" max="38" width="9.88671875" style="8" bestFit="1" customWidth="1"/>
    <col min="39" max="39" width="13.33203125" style="8" bestFit="1" customWidth="1"/>
    <col min="40" max="40" width="15.5546875" style="8" bestFit="1" customWidth="1"/>
    <col min="41" max="41" width="11.21875" style="8" bestFit="1" customWidth="1"/>
    <col min="42" max="42" width="11.21875" style="8" customWidth="1"/>
    <col min="43" max="46" width="8.21875" style="8" bestFit="1" customWidth="1"/>
    <col min="47" max="48" width="8.33203125" style="8" customWidth="1"/>
    <col min="49" max="16384" width="11.5546875" style="8"/>
  </cols>
  <sheetData>
    <row r="1" spans="1:48" ht="14.4" thickBot="1" x14ac:dyDescent="0.35">
      <c r="Q1" s="8" t="s">
        <v>93</v>
      </c>
      <c r="V1" s="48" t="s">
        <v>67</v>
      </c>
      <c r="W1" s="49"/>
      <c r="X1" s="49"/>
      <c r="Y1" s="49"/>
      <c r="Z1" s="49"/>
      <c r="AA1" s="49"/>
      <c r="AB1" s="49"/>
      <c r="AC1" s="50"/>
      <c r="AM1" s="8" t="s">
        <v>16</v>
      </c>
      <c r="AN1" s="8" t="s">
        <v>126</v>
      </c>
      <c r="AO1" s="8" t="s">
        <v>126</v>
      </c>
      <c r="AP1" s="8" t="s">
        <v>126</v>
      </c>
      <c r="AQ1" s="8" t="s">
        <v>126</v>
      </c>
    </row>
    <row r="2" spans="1:48" ht="14.4" customHeight="1" thickBot="1" x14ac:dyDescent="0.35">
      <c r="A2" s="16"/>
      <c r="C2" s="11"/>
      <c r="D2" s="12"/>
      <c r="E2" s="51" t="s">
        <v>41</v>
      </c>
      <c r="F2" s="52"/>
      <c r="G2" s="52"/>
      <c r="H2" s="52"/>
      <c r="I2" s="52"/>
      <c r="J2" s="52"/>
      <c r="K2" s="53"/>
      <c r="L2" s="51" t="s">
        <v>43</v>
      </c>
      <c r="M2" s="52"/>
      <c r="N2" s="52"/>
      <c r="O2" s="53"/>
      <c r="P2" s="51" t="s">
        <v>36</v>
      </c>
      <c r="Q2" s="52"/>
      <c r="R2" s="52"/>
      <c r="S2" s="53"/>
      <c r="T2" s="51" t="s">
        <v>48</v>
      </c>
      <c r="U2" s="53"/>
      <c r="V2" s="48" t="s">
        <v>64</v>
      </c>
      <c r="W2" s="49"/>
      <c r="X2" s="49"/>
      <c r="Y2" s="49"/>
      <c r="Z2" s="49" t="s">
        <v>72</v>
      </c>
      <c r="AA2" s="49"/>
      <c r="AB2" s="49"/>
      <c r="AC2" s="50"/>
      <c r="AD2" s="49" t="s">
        <v>33</v>
      </c>
      <c r="AE2" s="49"/>
      <c r="AF2" s="48" t="s">
        <v>51</v>
      </c>
      <c r="AG2" s="50"/>
      <c r="AH2" s="24"/>
      <c r="AI2" s="24" t="s">
        <v>105</v>
      </c>
      <c r="AJ2" s="19" t="s">
        <v>108</v>
      </c>
      <c r="AK2" s="19" t="s">
        <v>106</v>
      </c>
      <c r="AL2" s="19" t="s">
        <v>84</v>
      </c>
      <c r="AM2" s="19" t="s">
        <v>130</v>
      </c>
      <c r="AN2" s="19" t="s">
        <v>113</v>
      </c>
      <c r="AO2" s="19" t="s">
        <v>85</v>
      </c>
      <c r="AP2" s="19" t="s">
        <v>128</v>
      </c>
      <c r="AQ2" s="19" t="s">
        <v>114</v>
      </c>
      <c r="AR2" s="19" t="s">
        <v>86</v>
      </c>
      <c r="AS2" s="19" t="s">
        <v>116</v>
      </c>
      <c r="AT2" s="48" t="s">
        <v>12</v>
      </c>
      <c r="AU2" s="49"/>
      <c r="AV2" s="50"/>
    </row>
    <row r="3" spans="1:48" ht="14.4" thickBot="1" x14ac:dyDescent="0.35">
      <c r="A3" s="17" t="s">
        <v>0</v>
      </c>
      <c r="C3" s="13" t="s">
        <v>2</v>
      </c>
      <c r="D3" s="15" t="s">
        <v>3</v>
      </c>
      <c r="E3" s="13" t="s">
        <v>42</v>
      </c>
      <c r="F3" s="14" t="s">
        <v>4</v>
      </c>
      <c r="G3" s="14" t="s">
        <v>5</v>
      </c>
      <c r="H3" s="14" t="s">
        <v>6</v>
      </c>
      <c r="I3" s="14" t="s">
        <v>46</v>
      </c>
      <c r="J3" s="14" t="s">
        <v>47</v>
      </c>
      <c r="K3" s="15" t="s">
        <v>7</v>
      </c>
      <c r="L3" s="13" t="s">
        <v>121</v>
      </c>
      <c r="M3" s="14" t="s">
        <v>122</v>
      </c>
      <c r="N3" s="14" t="s">
        <v>8</v>
      </c>
      <c r="O3" s="15" t="s">
        <v>123</v>
      </c>
      <c r="P3" s="13" t="s">
        <v>37</v>
      </c>
      <c r="Q3" s="14" t="s">
        <v>38</v>
      </c>
      <c r="R3" s="14" t="s">
        <v>39</v>
      </c>
      <c r="S3" s="15" t="s">
        <v>40</v>
      </c>
      <c r="T3" s="20" t="s">
        <v>9</v>
      </c>
      <c r="U3" s="21" t="s">
        <v>44</v>
      </c>
      <c r="V3" s="13" t="s">
        <v>68</v>
      </c>
      <c r="W3" s="14" t="s">
        <v>69</v>
      </c>
      <c r="X3" s="14" t="s">
        <v>70</v>
      </c>
      <c r="Y3" s="14" t="s">
        <v>71</v>
      </c>
      <c r="Z3" s="13" t="s">
        <v>68</v>
      </c>
      <c r="AA3" s="14" t="s">
        <v>69</v>
      </c>
      <c r="AB3" s="14" t="s">
        <v>70</v>
      </c>
      <c r="AC3" s="14" t="s">
        <v>71</v>
      </c>
      <c r="AD3" s="9" t="s">
        <v>34</v>
      </c>
      <c r="AE3" s="10" t="s">
        <v>52</v>
      </c>
      <c r="AF3" s="13" t="s">
        <v>119</v>
      </c>
      <c r="AG3" s="15" t="s">
        <v>118</v>
      </c>
      <c r="AH3" s="20" t="s">
        <v>81</v>
      </c>
      <c r="AI3" s="20" t="s">
        <v>107</v>
      </c>
      <c r="AJ3" s="31" t="s">
        <v>87</v>
      </c>
      <c r="AK3" s="23" t="s">
        <v>83</v>
      </c>
      <c r="AL3" s="23" t="s">
        <v>109</v>
      </c>
      <c r="AM3" s="23" t="s">
        <v>112</v>
      </c>
      <c r="AN3" s="32" t="s">
        <v>131</v>
      </c>
      <c r="AO3" s="22" t="s">
        <v>127</v>
      </c>
      <c r="AP3" s="22" t="s">
        <v>129</v>
      </c>
      <c r="AQ3" s="22" t="s">
        <v>132</v>
      </c>
      <c r="AR3" s="22" t="s">
        <v>115</v>
      </c>
      <c r="AS3" s="22" t="s">
        <v>117</v>
      </c>
      <c r="AT3" s="20" t="s">
        <v>125</v>
      </c>
      <c r="AU3" s="22" t="s">
        <v>124</v>
      </c>
      <c r="AV3" s="21" t="s">
        <v>133</v>
      </c>
    </row>
    <row r="4" spans="1:48" s="62" customFormat="1" x14ac:dyDescent="0.3">
      <c r="A4" s="61" t="s">
        <v>30</v>
      </c>
      <c r="B4" s="62" t="s">
        <v>196</v>
      </c>
      <c r="C4" s="54">
        <v>0</v>
      </c>
      <c r="D4" s="63" t="s">
        <v>31</v>
      </c>
      <c r="E4" s="54">
        <v>1</v>
      </c>
      <c r="F4" s="55">
        <v>0.1</v>
      </c>
      <c r="G4" s="55">
        <v>1</v>
      </c>
      <c r="H4" s="55"/>
      <c r="I4" s="55"/>
      <c r="J4" s="55"/>
      <c r="K4" s="63"/>
      <c r="L4" s="54">
        <v>3</v>
      </c>
      <c r="M4" s="55">
        <v>900</v>
      </c>
      <c r="N4" s="64">
        <v>1.0000000000000001E-5</v>
      </c>
      <c r="O4" s="63">
        <v>2650</v>
      </c>
      <c r="P4" s="54">
        <v>1000</v>
      </c>
      <c r="Q4" s="55">
        <v>0</v>
      </c>
      <c r="R4" s="55">
        <v>0</v>
      </c>
      <c r="S4" s="55">
        <v>0</v>
      </c>
      <c r="T4" s="65">
        <v>86400</v>
      </c>
      <c r="U4" s="66" t="s">
        <v>45</v>
      </c>
      <c r="V4" s="55"/>
      <c r="W4" s="55"/>
      <c r="X4" s="55"/>
      <c r="Y4" s="55"/>
      <c r="Z4" s="65">
        <f>10-60*0.015</f>
        <v>9.1</v>
      </c>
      <c r="AA4" s="67">
        <f>10+740*0.015</f>
        <v>21.1</v>
      </c>
      <c r="AB4" s="67"/>
      <c r="AC4" s="66"/>
      <c r="AD4" s="54" t="s">
        <v>193</v>
      </c>
      <c r="AE4" s="55"/>
      <c r="AF4" s="26" t="s">
        <v>54</v>
      </c>
      <c r="AG4" s="63"/>
      <c r="AH4" s="54"/>
      <c r="AI4" s="54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4"/>
      <c r="AU4" s="55"/>
      <c r="AV4" s="63"/>
    </row>
    <row r="5" spans="1:48" s="62" customFormat="1" x14ac:dyDescent="0.3">
      <c r="A5" s="61" t="s">
        <v>190</v>
      </c>
      <c r="B5" s="62" t="s">
        <v>195</v>
      </c>
      <c r="C5" s="54"/>
      <c r="D5" s="63"/>
      <c r="E5" s="54"/>
      <c r="F5" s="55"/>
      <c r="G5" s="55"/>
      <c r="H5" s="55"/>
      <c r="I5" s="55"/>
      <c r="J5" s="55"/>
      <c r="K5" s="63"/>
      <c r="L5" s="54"/>
      <c r="M5" s="55"/>
      <c r="N5" s="55"/>
      <c r="O5" s="63"/>
      <c r="P5" s="54"/>
      <c r="Q5" s="55"/>
      <c r="R5" s="55"/>
      <c r="S5" s="55"/>
      <c r="T5" s="54">
        <v>86400</v>
      </c>
      <c r="U5" s="63" t="s">
        <v>45</v>
      </c>
      <c r="V5" s="55"/>
      <c r="W5" s="55"/>
      <c r="X5" s="55"/>
      <c r="Y5" s="55"/>
      <c r="Z5" s="54">
        <f>10-60*0.038</f>
        <v>7.7200000000000006</v>
      </c>
      <c r="AA5" s="55">
        <f>10+740*0.038</f>
        <v>38.120000000000005</v>
      </c>
      <c r="AB5" s="55"/>
      <c r="AC5" s="63"/>
      <c r="AD5" s="54" t="s">
        <v>192</v>
      </c>
      <c r="AE5" s="55"/>
      <c r="AF5" s="26" t="s">
        <v>54</v>
      </c>
      <c r="AG5" s="63"/>
      <c r="AH5" s="54"/>
      <c r="AI5" s="54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4"/>
      <c r="AU5" s="55"/>
      <c r="AV5" s="63"/>
    </row>
    <row r="6" spans="1:48" s="62" customFormat="1" x14ac:dyDescent="0.3">
      <c r="A6" s="61" t="s">
        <v>73</v>
      </c>
      <c r="B6" s="62" t="s">
        <v>198</v>
      </c>
      <c r="C6" s="54"/>
      <c r="D6" s="63"/>
      <c r="E6" s="54"/>
      <c r="F6" s="55"/>
      <c r="G6" s="55"/>
      <c r="H6" s="55"/>
      <c r="I6" s="55"/>
      <c r="J6" s="55"/>
      <c r="K6" s="63"/>
      <c r="L6" s="54"/>
      <c r="M6" s="55"/>
      <c r="N6" s="55"/>
      <c r="O6" s="63"/>
      <c r="P6" s="54"/>
      <c r="Q6" s="55"/>
      <c r="R6" s="55"/>
      <c r="S6" s="55"/>
      <c r="T6" s="54">
        <v>86400</v>
      </c>
      <c r="U6" s="63" t="s">
        <v>45</v>
      </c>
      <c r="V6" s="55"/>
      <c r="W6" s="55"/>
      <c r="X6" s="55"/>
      <c r="Y6" s="55"/>
      <c r="Z6" s="54">
        <v>10</v>
      </c>
      <c r="AA6" s="55">
        <v>38.119999999999997</v>
      </c>
      <c r="AB6" s="55"/>
      <c r="AC6" s="63"/>
      <c r="AD6" s="54" t="s">
        <v>192</v>
      </c>
      <c r="AE6" s="55"/>
      <c r="AF6" s="26"/>
      <c r="AG6" s="63"/>
      <c r="AH6" s="54"/>
      <c r="AI6" s="54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4"/>
      <c r="AU6" s="55"/>
      <c r="AV6" s="63"/>
    </row>
    <row r="7" spans="1:48" s="62" customFormat="1" x14ac:dyDescent="0.3">
      <c r="A7" s="61" t="s">
        <v>199</v>
      </c>
      <c r="B7" s="62" t="s">
        <v>201</v>
      </c>
      <c r="C7" s="54"/>
      <c r="D7" s="63"/>
      <c r="E7" s="54"/>
      <c r="F7" s="55"/>
      <c r="G7" s="55"/>
      <c r="H7" s="55"/>
      <c r="I7" s="55"/>
      <c r="J7" s="55"/>
      <c r="K7" s="63"/>
      <c r="L7" s="54"/>
      <c r="M7" s="55"/>
      <c r="N7" s="55"/>
      <c r="O7" s="63"/>
      <c r="P7" s="54"/>
      <c r="Q7" s="55"/>
      <c r="R7" s="55"/>
      <c r="S7" s="55"/>
      <c r="T7" s="54">
        <v>86400</v>
      </c>
      <c r="U7" s="63" t="s">
        <v>45</v>
      </c>
      <c r="V7" s="55"/>
      <c r="W7" s="55"/>
      <c r="X7" s="55"/>
      <c r="Y7" s="55"/>
      <c r="Z7" s="54">
        <v>10</v>
      </c>
      <c r="AA7" s="55">
        <v>38.119999999999997</v>
      </c>
      <c r="AB7" s="55"/>
      <c r="AC7" s="63"/>
      <c r="AD7" s="54" t="s">
        <v>103</v>
      </c>
      <c r="AE7" s="55"/>
      <c r="AF7" s="26" t="s">
        <v>54</v>
      </c>
      <c r="AG7" s="63"/>
      <c r="AH7" s="54"/>
      <c r="AI7" s="54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4"/>
      <c r="AU7" s="55"/>
      <c r="AV7" s="63"/>
    </row>
    <row r="8" spans="1:48" s="30" customFormat="1" x14ac:dyDescent="0.3">
      <c r="A8" s="25" t="s">
        <v>74</v>
      </c>
      <c r="B8" s="30" t="s">
        <v>197</v>
      </c>
      <c r="C8" s="26"/>
      <c r="D8" s="27"/>
      <c r="E8" s="26"/>
      <c r="F8" s="28"/>
      <c r="G8" s="28"/>
      <c r="H8" s="28"/>
      <c r="I8" s="28"/>
      <c r="J8" s="28"/>
      <c r="K8" s="27"/>
      <c r="L8" s="26"/>
      <c r="M8" s="28"/>
      <c r="N8" s="28"/>
      <c r="O8" s="27"/>
      <c r="P8" s="26"/>
      <c r="Q8" s="28"/>
      <c r="R8" s="28"/>
      <c r="S8" s="28"/>
      <c r="T8" s="26">
        <v>86400</v>
      </c>
      <c r="U8" s="27" t="s">
        <v>98</v>
      </c>
      <c r="V8" s="28"/>
      <c r="W8" s="28"/>
      <c r="X8" s="28"/>
      <c r="Y8" s="28"/>
      <c r="Z8" s="56" t="s">
        <v>170</v>
      </c>
      <c r="AA8" s="57" t="s">
        <v>171</v>
      </c>
      <c r="AB8" s="57"/>
      <c r="AC8" s="60"/>
      <c r="AD8" s="56" t="s">
        <v>172</v>
      </c>
      <c r="AE8" s="28"/>
      <c r="AF8" s="26" t="s">
        <v>53</v>
      </c>
      <c r="AG8" s="27"/>
      <c r="AH8" s="26"/>
      <c r="AI8" s="26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6"/>
      <c r="AU8" s="28"/>
      <c r="AV8" s="27"/>
    </row>
    <row r="9" spans="1:48" x14ac:dyDescent="0.3">
      <c r="A9" s="18" t="s">
        <v>212</v>
      </c>
      <c r="B9" s="8" t="s">
        <v>213</v>
      </c>
      <c r="C9" s="20"/>
      <c r="D9" s="21"/>
      <c r="E9" s="20"/>
      <c r="F9" s="22"/>
      <c r="G9" s="22"/>
      <c r="H9" s="22"/>
      <c r="I9" s="22"/>
      <c r="J9" s="22"/>
      <c r="K9" s="21"/>
      <c r="L9" s="20"/>
      <c r="M9" s="22"/>
      <c r="N9" s="22"/>
      <c r="O9" s="21"/>
      <c r="P9" s="20"/>
      <c r="Q9" s="22"/>
      <c r="R9" s="22"/>
      <c r="S9" s="22"/>
      <c r="T9" s="20">
        <v>86400</v>
      </c>
      <c r="U9" s="21" t="s">
        <v>98</v>
      </c>
      <c r="V9" s="22"/>
      <c r="W9" s="22"/>
      <c r="X9" s="22"/>
      <c r="Y9" s="22"/>
      <c r="Z9" s="58" t="s">
        <v>214</v>
      </c>
      <c r="AA9" s="59" t="s">
        <v>171</v>
      </c>
      <c r="AB9" s="59"/>
      <c r="AC9" s="71"/>
      <c r="AD9" s="58" t="s">
        <v>172</v>
      </c>
      <c r="AE9" s="22"/>
      <c r="AF9" s="20" t="s">
        <v>53</v>
      </c>
      <c r="AG9" s="21"/>
      <c r="AH9" s="20"/>
      <c r="AI9" s="20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0"/>
      <c r="AU9" s="22"/>
      <c r="AV9" s="21"/>
    </row>
    <row r="10" spans="1:48" s="30" customFormat="1" x14ac:dyDescent="0.3">
      <c r="A10" s="25" t="s">
        <v>182</v>
      </c>
      <c r="B10" s="30" t="s">
        <v>191</v>
      </c>
      <c r="C10" s="26"/>
      <c r="D10" s="27"/>
      <c r="E10" s="26"/>
      <c r="F10" s="28"/>
      <c r="G10" s="28"/>
      <c r="H10" s="28"/>
      <c r="I10" s="28"/>
      <c r="J10" s="28"/>
      <c r="K10" s="27"/>
      <c r="L10" s="26"/>
      <c r="M10" s="28"/>
      <c r="N10" s="28"/>
      <c r="O10" s="27"/>
      <c r="P10" s="26"/>
      <c r="Q10" s="28"/>
      <c r="R10" s="28"/>
      <c r="S10" s="28"/>
      <c r="T10" s="26">
        <v>86400</v>
      </c>
      <c r="U10" s="27" t="s">
        <v>98</v>
      </c>
      <c r="V10" s="28"/>
      <c r="W10" s="28"/>
      <c r="X10" s="28"/>
      <c r="Y10" s="28"/>
      <c r="Z10" s="56" t="s">
        <v>170</v>
      </c>
      <c r="AA10" s="57" t="s">
        <v>171</v>
      </c>
      <c r="AB10" s="28"/>
      <c r="AC10" s="27"/>
      <c r="AD10" s="56" t="s">
        <v>172</v>
      </c>
      <c r="AE10" s="28"/>
      <c r="AF10" s="26" t="s">
        <v>53</v>
      </c>
      <c r="AG10" s="27"/>
      <c r="AH10" s="26"/>
      <c r="AI10" s="26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6"/>
      <c r="AU10" s="28"/>
      <c r="AV10" s="27"/>
    </row>
    <row r="11" spans="1:48" s="30" customFormat="1" x14ac:dyDescent="0.3">
      <c r="A11" s="25" t="s">
        <v>75</v>
      </c>
      <c r="B11" s="30" t="s">
        <v>194</v>
      </c>
      <c r="C11" s="26"/>
      <c r="D11" s="27"/>
      <c r="E11" s="26"/>
      <c r="F11" s="28"/>
      <c r="G11" s="28"/>
      <c r="H11" s="28"/>
      <c r="I11" s="28"/>
      <c r="J11" s="28"/>
      <c r="K11" s="27"/>
      <c r="L11" s="26"/>
      <c r="M11" s="28"/>
      <c r="N11" s="28"/>
      <c r="O11" s="27"/>
      <c r="P11" s="26"/>
      <c r="Q11" s="28"/>
      <c r="R11" s="28"/>
      <c r="S11" s="28"/>
      <c r="T11" s="26">
        <v>86400</v>
      </c>
      <c r="U11" s="27" t="s">
        <v>98</v>
      </c>
      <c r="V11" s="28"/>
      <c r="W11" s="28"/>
      <c r="X11" s="28"/>
      <c r="Y11" s="28"/>
      <c r="Z11" s="56" t="s">
        <v>170</v>
      </c>
      <c r="AA11" s="57" t="s">
        <v>171</v>
      </c>
      <c r="AB11" s="28"/>
      <c r="AC11" s="27"/>
      <c r="AD11" s="56" t="s">
        <v>172</v>
      </c>
      <c r="AE11" s="28"/>
      <c r="AF11" s="26" t="s">
        <v>54</v>
      </c>
      <c r="AG11" s="27"/>
      <c r="AH11" s="26"/>
      <c r="AI11" s="26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6"/>
      <c r="AU11" s="28"/>
      <c r="AV11" s="27"/>
    </row>
    <row r="12" spans="1:48" s="30" customFormat="1" x14ac:dyDescent="0.3">
      <c r="A12" s="25" t="s">
        <v>173</v>
      </c>
      <c r="B12" s="30" t="s">
        <v>200</v>
      </c>
      <c r="C12" s="26"/>
      <c r="D12" s="27"/>
      <c r="E12" s="26"/>
      <c r="F12" s="28"/>
      <c r="G12" s="28"/>
      <c r="H12" s="28"/>
      <c r="I12" s="28"/>
      <c r="J12" s="28"/>
      <c r="K12" s="27"/>
      <c r="L12" s="26"/>
      <c r="M12" s="28"/>
      <c r="N12" s="28"/>
      <c r="O12" s="27"/>
      <c r="P12" s="26"/>
      <c r="Q12" s="28"/>
      <c r="R12" s="28"/>
      <c r="S12" s="28"/>
      <c r="T12" s="26">
        <v>86400</v>
      </c>
      <c r="U12" s="27" t="s">
        <v>98</v>
      </c>
      <c r="V12" s="28"/>
      <c r="W12" s="28"/>
      <c r="X12" s="28"/>
      <c r="Y12" s="28"/>
      <c r="Z12" s="56" t="s">
        <v>175</v>
      </c>
      <c r="AA12" s="57" t="s">
        <v>176</v>
      </c>
      <c r="AB12" s="28"/>
      <c r="AC12" s="27"/>
      <c r="AD12" s="56" t="s">
        <v>174</v>
      </c>
      <c r="AE12" s="28"/>
      <c r="AF12" s="26" t="s">
        <v>54</v>
      </c>
      <c r="AG12" s="27"/>
      <c r="AH12" s="26"/>
      <c r="AI12" s="26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6"/>
      <c r="AU12" s="28"/>
      <c r="AV12" s="27"/>
    </row>
    <row r="13" spans="1:48" s="30" customFormat="1" x14ac:dyDescent="0.3">
      <c r="A13" s="25" t="s">
        <v>177</v>
      </c>
      <c r="B13" s="30" t="s">
        <v>215</v>
      </c>
      <c r="C13" s="26"/>
      <c r="D13" s="27"/>
      <c r="E13" s="26"/>
      <c r="F13" s="28"/>
      <c r="G13" s="28"/>
      <c r="H13" s="28"/>
      <c r="I13" s="28"/>
      <c r="J13" s="28"/>
      <c r="K13" s="27"/>
      <c r="L13" s="26"/>
      <c r="M13" s="28"/>
      <c r="N13" s="28"/>
      <c r="O13" s="27"/>
      <c r="P13" s="26"/>
      <c r="Q13" s="28"/>
      <c r="R13" s="28"/>
      <c r="S13" s="28"/>
      <c r="T13" s="26">
        <v>86400</v>
      </c>
      <c r="U13" s="27" t="s">
        <v>98</v>
      </c>
      <c r="V13" s="28"/>
      <c r="W13" s="28"/>
      <c r="X13" s="28"/>
      <c r="Y13" s="28"/>
      <c r="Z13" s="56" t="s">
        <v>170</v>
      </c>
      <c r="AA13" s="57" t="s">
        <v>179</v>
      </c>
      <c r="AB13" s="28"/>
      <c r="AC13" s="27"/>
      <c r="AD13" s="56" t="s">
        <v>172</v>
      </c>
      <c r="AE13" s="28"/>
      <c r="AF13" s="26" t="s">
        <v>54</v>
      </c>
      <c r="AG13" s="27"/>
      <c r="AH13" s="26"/>
      <c r="AI13" s="26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6"/>
      <c r="AU13" s="28"/>
      <c r="AV13" s="27"/>
    </row>
    <row r="14" spans="1:48" s="30" customFormat="1" x14ac:dyDescent="0.3">
      <c r="A14" s="25" t="s">
        <v>94</v>
      </c>
      <c r="B14" s="30" t="s">
        <v>189</v>
      </c>
      <c r="C14" s="26">
        <v>0</v>
      </c>
      <c r="D14" s="27" t="s">
        <v>31</v>
      </c>
      <c r="E14" s="26"/>
      <c r="F14" s="28"/>
      <c r="G14" s="28"/>
      <c r="H14" s="28"/>
      <c r="I14" s="28"/>
      <c r="J14" s="28"/>
      <c r="K14" s="27"/>
      <c r="L14" s="26"/>
      <c r="M14" s="28"/>
      <c r="N14" s="28"/>
      <c r="O14" s="27"/>
      <c r="P14" s="26"/>
      <c r="Q14" s="28"/>
      <c r="R14" s="28"/>
      <c r="S14" s="28"/>
      <c r="T14" s="26">
        <v>86400</v>
      </c>
      <c r="U14" s="27">
        <v>10950</v>
      </c>
      <c r="V14" s="28"/>
      <c r="W14" s="28"/>
      <c r="X14" s="28"/>
      <c r="Y14" s="28"/>
      <c r="Z14" s="26" t="s">
        <v>96</v>
      </c>
      <c r="AA14" s="28" t="s">
        <v>97</v>
      </c>
      <c r="AB14" s="28" t="s">
        <v>102</v>
      </c>
      <c r="AC14" s="27"/>
      <c r="AD14" s="26" t="s">
        <v>95</v>
      </c>
      <c r="AE14" s="28"/>
      <c r="AF14" s="26" t="s">
        <v>181</v>
      </c>
      <c r="AG14" s="27"/>
      <c r="AH14" s="26"/>
      <c r="AI14" s="26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6"/>
      <c r="AU14" s="28"/>
      <c r="AV14" s="27"/>
    </row>
    <row r="15" spans="1:48" s="30" customFormat="1" x14ac:dyDescent="0.3">
      <c r="A15" s="25" t="s">
        <v>100</v>
      </c>
      <c r="B15" s="30" t="s">
        <v>99</v>
      </c>
      <c r="C15" s="26"/>
      <c r="D15" s="27"/>
      <c r="E15" s="26"/>
      <c r="F15" s="28"/>
      <c r="G15" s="28"/>
      <c r="H15" s="28"/>
      <c r="I15" s="28"/>
      <c r="J15" s="28"/>
      <c r="K15" s="27"/>
      <c r="L15" s="26"/>
      <c r="M15" s="28"/>
      <c r="N15" s="28"/>
      <c r="O15" s="27"/>
      <c r="P15" s="26"/>
      <c r="Q15" s="28"/>
      <c r="R15" s="28"/>
      <c r="S15" s="28"/>
      <c r="T15" s="26"/>
      <c r="U15" s="27"/>
      <c r="V15" s="28"/>
      <c r="W15" s="28"/>
      <c r="X15" s="28"/>
      <c r="Y15" s="28"/>
      <c r="Z15" s="26" t="s">
        <v>96</v>
      </c>
      <c r="AA15" s="28" t="s">
        <v>104</v>
      </c>
      <c r="AB15" s="28"/>
      <c r="AC15" s="27"/>
      <c r="AD15" s="26" t="s">
        <v>103</v>
      </c>
      <c r="AE15" s="28"/>
      <c r="AF15" s="26" t="s">
        <v>53</v>
      </c>
      <c r="AG15" s="27"/>
      <c r="AH15" s="26"/>
      <c r="AI15" s="26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6"/>
      <c r="AU15" s="28"/>
      <c r="AV15" s="27"/>
    </row>
    <row r="16" spans="1:48" x14ac:dyDescent="0.3">
      <c r="A16" s="25" t="s">
        <v>101</v>
      </c>
      <c r="B16" s="30" t="s">
        <v>180</v>
      </c>
      <c r="C16" s="20"/>
      <c r="D16" s="21"/>
      <c r="E16" s="20"/>
      <c r="F16" s="22"/>
      <c r="G16" s="22"/>
      <c r="H16" s="22"/>
      <c r="I16" s="22"/>
      <c r="J16" s="22"/>
      <c r="K16" s="21"/>
      <c r="L16" s="20"/>
      <c r="M16" s="22"/>
      <c r="N16" s="22"/>
      <c r="O16" s="21"/>
      <c r="P16" s="20"/>
      <c r="Q16" s="22"/>
      <c r="R16" s="22"/>
      <c r="S16" s="22"/>
      <c r="T16" s="20"/>
      <c r="U16" s="21"/>
      <c r="V16" s="22"/>
      <c r="W16" s="22"/>
      <c r="X16" s="22"/>
      <c r="Y16" s="22"/>
      <c r="Z16" s="26" t="s">
        <v>96</v>
      </c>
      <c r="AA16" s="28" t="s">
        <v>97</v>
      </c>
      <c r="AB16" s="22"/>
      <c r="AC16" s="21"/>
      <c r="AD16" s="26" t="s">
        <v>103</v>
      </c>
      <c r="AE16" s="22"/>
      <c r="AF16" s="26" t="s">
        <v>54</v>
      </c>
      <c r="AG16" s="21"/>
      <c r="AH16" s="20"/>
      <c r="AI16" s="20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0"/>
      <c r="AU16" s="22"/>
      <c r="AV16" s="21"/>
    </row>
    <row r="17" spans="1:48" x14ac:dyDescent="0.3">
      <c r="A17" s="18"/>
      <c r="C17" s="20"/>
      <c r="D17" s="21"/>
      <c r="E17" s="20"/>
      <c r="F17" s="22"/>
      <c r="G17" s="22"/>
      <c r="H17" s="22"/>
      <c r="I17" s="22"/>
      <c r="J17" s="22"/>
      <c r="K17" s="21"/>
      <c r="L17" s="20"/>
      <c r="M17" s="22"/>
      <c r="N17" s="22"/>
      <c r="O17" s="21"/>
      <c r="P17" s="20"/>
      <c r="Q17" s="22"/>
      <c r="R17" s="22"/>
      <c r="S17" s="22"/>
      <c r="T17" s="20"/>
      <c r="U17" s="21"/>
      <c r="V17" s="22"/>
      <c r="W17" s="22"/>
      <c r="X17" s="22"/>
      <c r="Y17" s="22"/>
      <c r="Z17" s="20"/>
      <c r="AA17" s="22"/>
      <c r="AB17" s="22"/>
      <c r="AC17" s="21"/>
      <c r="AD17" s="20"/>
      <c r="AE17" s="22"/>
      <c r="AF17" s="20"/>
      <c r="AG17" s="21"/>
      <c r="AH17" s="20"/>
      <c r="AI17" s="20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0"/>
      <c r="AU17" s="22"/>
      <c r="AV17" s="21"/>
    </row>
    <row r="18" spans="1:48" x14ac:dyDescent="0.3">
      <c r="A18" s="18"/>
      <c r="C18" s="20"/>
      <c r="D18" s="21"/>
      <c r="E18" s="20"/>
      <c r="F18" s="22"/>
      <c r="G18" s="22"/>
      <c r="H18" s="22"/>
      <c r="I18" s="22"/>
      <c r="J18" s="22"/>
      <c r="K18" s="21"/>
      <c r="L18" s="20"/>
      <c r="M18" s="22"/>
      <c r="N18" s="22"/>
      <c r="O18" s="21"/>
      <c r="P18" s="20"/>
      <c r="Q18" s="22"/>
      <c r="R18" s="22"/>
      <c r="S18" s="22"/>
      <c r="T18" s="20"/>
      <c r="U18" s="21"/>
      <c r="V18" s="22"/>
      <c r="W18" s="22"/>
      <c r="X18" s="22"/>
      <c r="Y18" s="22"/>
      <c r="Z18" s="20"/>
      <c r="AA18" s="22"/>
      <c r="AB18" s="22"/>
      <c r="AC18" s="21"/>
      <c r="AD18" s="20"/>
      <c r="AE18" s="22"/>
      <c r="AF18" s="20"/>
      <c r="AG18" s="21"/>
      <c r="AH18" s="20"/>
      <c r="AI18" s="20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0"/>
      <c r="AU18" s="22"/>
      <c r="AV18" s="21"/>
    </row>
    <row r="19" spans="1:48" x14ac:dyDescent="0.3">
      <c r="A19" s="18"/>
      <c r="C19" s="20"/>
      <c r="D19" s="21"/>
      <c r="E19" s="20"/>
      <c r="F19" s="22"/>
      <c r="G19" s="22"/>
      <c r="H19" s="22"/>
      <c r="I19" s="22"/>
      <c r="J19" s="22"/>
      <c r="K19" s="21"/>
      <c r="L19" s="20"/>
      <c r="M19" s="22"/>
      <c r="N19" s="22"/>
      <c r="O19" s="21"/>
      <c r="P19" s="20"/>
      <c r="Q19" s="22"/>
      <c r="R19" s="22"/>
      <c r="S19" s="22"/>
      <c r="T19" s="20"/>
      <c r="U19" s="21"/>
      <c r="V19" s="22"/>
      <c r="W19" s="22"/>
      <c r="X19" s="22"/>
      <c r="Y19" s="22"/>
      <c r="Z19" s="20"/>
      <c r="AA19" s="22"/>
      <c r="AB19" s="22"/>
      <c r="AC19" s="21"/>
      <c r="AD19" s="20"/>
      <c r="AE19" s="22"/>
      <c r="AF19" s="20"/>
      <c r="AG19" s="21"/>
      <c r="AH19" s="20"/>
      <c r="AI19" s="20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0"/>
      <c r="AU19" s="22"/>
      <c r="AV19" s="21"/>
    </row>
    <row r="20" spans="1:48" x14ac:dyDescent="0.3">
      <c r="A20" s="18"/>
      <c r="C20" s="20"/>
      <c r="D20" s="21"/>
      <c r="E20" s="20"/>
      <c r="F20" s="22"/>
      <c r="G20" s="22"/>
      <c r="H20" s="22"/>
      <c r="I20" s="22"/>
      <c r="J20" s="22"/>
      <c r="K20" s="21"/>
      <c r="L20" s="20"/>
      <c r="M20" s="22"/>
      <c r="N20" s="22"/>
      <c r="O20" s="21"/>
      <c r="P20" s="20"/>
      <c r="Q20" s="22"/>
      <c r="R20" s="22"/>
      <c r="S20" s="22"/>
      <c r="T20" s="20"/>
      <c r="U20" s="21"/>
      <c r="V20" s="22"/>
      <c r="W20" s="22"/>
      <c r="X20" s="22"/>
      <c r="Y20" s="22"/>
      <c r="Z20" s="20"/>
      <c r="AA20" s="22"/>
      <c r="AB20" s="22"/>
      <c r="AC20" s="21"/>
      <c r="AD20" s="20"/>
      <c r="AE20" s="22"/>
      <c r="AF20" s="20"/>
      <c r="AG20" s="21"/>
      <c r="AH20" s="20"/>
      <c r="AI20" s="20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0"/>
      <c r="AU20" s="22"/>
      <c r="AV20" s="21"/>
    </row>
    <row r="21" spans="1:48" s="30" customFormat="1" x14ac:dyDescent="0.3">
      <c r="A21" s="25" t="s">
        <v>202</v>
      </c>
      <c r="B21" s="30" t="s">
        <v>77</v>
      </c>
      <c r="C21" s="26">
        <v>0</v>
      </c>
      <c r="D21" s="27" t="s">
        <v>55</v>
      </c>
      <c r="E21" s="26">
        <v>2</v>
      </c>
      <c r="F21" s="28">
        <v>0.1</v>
      </c>
      <c r="G21" s="28">
        <v>1</v>
      </c>
      <c r="H21" s="29">
        <v>1.0000000000000001E-5</v>
      </c>
      <c r="I21" s="29">
        <v>9.9999999999999995E-8</v>
      </c>
      <c r="J21" s="28" t="s">
        <v>61</v>
      </c>
      <c r="K21" s="33" t="s">
        <v>60</v>
      </c>
      <c r="L21" s="26">
        <v>3.14</v>
      </c>
      <c r="M21" s="28">
        <v>950</v>
      </c>
      <c r="N21" s="28">
        <v>0</v>
      </c>
      <c r="O21" s="27">
        <v>2650</v>
      </c>
      <c r="P21" s="26">
        <v>1000</v>
      </c>
      <c r="Q21" s="29">
        <v>1E-3</v>
      </c>
      <c r="R21" s="28">
        <v>4680</v>
      </c>
      <c r="S21" s="28">
        <v>0.6</v>
      </c>
      <c r="T21" s="26">
        <v>86400</v>
      </c>
      <c r="U21" s="27" t="s">
        <v>98</v>
      </c>
      <c r="V21" s="28" t="s">
        <v>65</v>
      </c>
      <c r="W21" s="28" t="s">
        <v>66</v>
      </c>
      <c r="X21" s="28" t="s">
        <v>65</v>
      </c>
      <c r="Y21" s="28" t="s">
        <v>65</v>
      </c>
      <c r="Z21" s="26" t="s">
        <v>96</v>
      </c>
      <c r="AA21" s="28" t="s">
        <v>32</v>
      </c>
      <c r="AB21" s="28" t="s">
        <v>66</v>
      </c>
      <c r="AC21" s="27" t="s">
        <v>66</v>
      </c>
      <c r="AD21" s="26" t="s">
        <v>35</v>
      </c>
      <c r="AE21" s="28" t="s">
        <v>65</v>
      </c>
      <c r="AF21" s="26" t="s">
        <v>76</v>
      </c>
      <c r="AG21" s="27" t="s">
        <v>76</v>
      </c>
      <c r="AH21" s="26"/>
      <c r="AI21" s="26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6"/>
      <c r="AU21" s="28"/>
      <c r="AV21" s="27"/>
    </row>
    <row r="22" spans="1:48" s="30" customFormat="1" x14ac:dyDescent="0.3">
      <c r="A22" s="25" t="s">
        <v>203</v>
      </c>
      <c r="B22" s="30" t="s">
        <v>78</v>
      </c>
      <c r="C22" s="26">
        <v>1</v>
      </c>
      <c r="D22" s="27" t="s">
        <v>56</v>
      </c>
      <c r="E22" s="26">
        <v>2</v>
      </c>
      <c r="F22" s="28">
        <v>0.1</v>
      </c>
      <c r="G22" s="28">
        <v>1</v>
      </c>
      <c r="H22" s="29">
        <v>1.0000000000000001E-5</v>
      </c>
      <c r="I22" s="29">
        <v>5.0000000000000004E-6</v>
      </c>
      <c r="J22" s="28" t="s">
        <v>61</v>
      </c>
      <c r="K22" s="33" t="s">
        <v>60</v>
      </c>
      <c r="L22" s="26">
        <v>3.14</v>
      </c>
      <c r="M22" s="28">
        <v>950</v>
      </c>
      <c r="N22" s="28">
        <v>0</v>
      </c>
      <c r="O22" s="27">
        <v>2650</v>
      </c>
      <c r="P22" s="26"/>
      <c r="Q22" s="28"/>
      <c r="R22" s="28"/>
      <c r="S22" s="28"/>
      <c r="T22" s="26"/>
      <c r="U22" s="27"/>
      <c r="V22" s="28"/>
      <c r="W22" s="28"/>
      <c r="X22" s="28"/>
      <c r="Y22" s="28"/>
      <c r="Z22" s="26"/>
      <c r="AA22" s="28"/>
      <c r="AB22" s="28"/>
      <c r="AC22" s="27"/>
      <c r="AD22" s="45"/>
      <c r="AE22" s="28"/>
      <c r="AF22" s="26"/>
      <c r="AG22" s="27"/>
      <c r="AH22" s="26"/>
      <c r="AI22" s="26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6"/>
      <c r="AU22" s="28"/>
      <c r="AV22" s="27"/>
    </row>
    <row r="23" spans="1:48" s="30" customFormat="1" x14ac:dyDescent="0.3">
      <c r="A23" s="25"/>
      <c r="B23" s="30" t="s">
        <v>79</v>
      </c>
      <c r="C23" s="26">
        <v>2</v>
      </c>
      <c r="D23" s="27" t="s">
        <v>57</v>
      </c>
      <c r="E23" s="26">
        <v>2</v>
      </c>
      <c r="F23" s="28">
        <v>0.1</v>
      </c>
      <c r="G23" s="28">
        <v>1</v>
      </c>
      <c r="H23" s="29">
        <v>1.0000000000000001E-5</v>
      </c>
      <c r="I23" s="29">
        <v>9.9999999999999995E-8</v>
      </c>
      <c r="J23" s="28" t="s">
        <v>61</v>
      </c>
      <c r="K23" s="33" t="s">
        <v>60</v>
      </c>
      <c r="L23" s="26">
        <v>3.14</v>
      </c>
      <c r="M23" s="28">
        <v>950</v>
      </c>
      <c r="N23" s="28">
        <v>0</v>
      </c>
      <c r="O23" s="27">
        <v>2650</v>
      </c>
      <c r="P23" s="26"/>
      <c r="Q23" s="28"/>
      <c r="R23" s="28"/>
      <c r="S23" s="28"/>
      <c r="T23" s="26"/>
      <c r="U23" s="27"/>
      <c r="V23" s="28"/>
      <c r="W23" s="28"/>
      <c r="X23" s="28"/>
      <c r="Y23" s="28"/>
      <c r="Z23" s="20"/>
      <c r="AA23" s="22"/>
      <c r="AB23" s="28"/>
      <c r="AC23" s="27"/>
      <c r="AD23" s="26"/>
      <c r="AE23" s="28"/>
      <c r="AF23" s="26"/>
      <c r="AG23" s="27"/>
      <c r="AH23" s="26"/>
      <c r="AI23" s="26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6"/>
      <c r="AU23" s="28"/>
      <c r="AV23" s="27"/>
    </row>
    <row r="24" spans="1:48" s="30" customFormat="1" x14ac:dyDescent="0.3">
      <c r="A24" s="25"/>
      <c r="C24" s="26">
        <v>3</v>
      </c>
      <c r="D24" s="27" t="s">
        <v>59</v>
      </c>
      <c r="E24" s="26">
        <v>2</v>
      </c>
      <c r="F24" s="28">
        <v>0.25</v>
      </c>
      <c r="G24" s="28">
        <v>1</v>
      </c>
      <c r="H24" s="29">
        <v>2.0000000000000001E-4</v>
      </c>
      <c r="I24" s="29">
        <v>0.01</v>
      </c>
      <c r="J24" s="28" t="s">
        <v>61</v>
      </c>
      <c r="K24" s="33" t="s">
        <v>62</v>
      </c>
      <c r="L24" s="26">
        <v>0.31</v>
      </c>
      <c r="M24" s="28">
        <v>1380</v>
      </c>
      <c r="N24" s="28">
        <v>0</v>
      </c>
      <c r="O24" s="34">
        <v>1500</v>
      </c>
      <c r="P24" s="26"/>
      <c r="Q24" s="28"/>
      <c r="R24" s="28"/>
      <c r="S24" s="28"/>
      <c r="T24" s="26"/>
      <c r="U24" s="27"/>
      <c r="V24" s="28"/>
      <c r="W24" s="28"/>
      <c r="X24" s="28"/>
      <c r="Y24" s="28"/>
      <c r="Z24" s="26"/>
      <c r="AA24" s="28"/>
      <c r="AB24" s="28"/>
      <c r="AC24" s="27"/>
      <c r="AD24" s="26"/>
      <c r="AE24" s="28"/>
      <c r="AF24" s="26"/>
      <c r="AG24" s="27"/>
      <c r="AH24" s="26"/>
      <c r="AI24" s="26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6"/>
      <c r="AU24" s="28"/>
      <c r="AV24" s="27"/>
    </row>
    <row r="25" spans="1:48" s="30" customFormat="1" x14ac:dyDescent="0.3">
      <c r="A25" s="25"/>
      <c r="C25" s="26">
        <v>4</v>
      </c>
      <c r="D25" s="27" t="s">
        <v>58</v>
      </c>
      <c r="E25" s="26">
        <v>2</v>
      </c>
      <c r="F25" s="28">
        <v>0.9</v>
      </c>
      <c r="G25" s="28">
        <v>1</v>
      </c>
      <c r="H25" s="29">
        <v>2.0000000000000001E-4</v>
      </c>
      <c r="I25" s="35">
        <v>0.01</v>
      </c>
      <c r="J25" s="28" t="s">
        <v>61</v>
      </c>
      <c r="K25" s="27" t="s">
        <v>63</v>
      </c>
      <c r="L25" s="26">
        <v>3.14</v>
      </c>
      <c r="M25" s="28">
        <v>950</v>
      </c>
      <c r="N25" s="28">
        <v>0</v>
      </c>
      <c r="O25" s="34">
        <v>1500</v>
      </c>
      <c r="P25" s="26"/>
      <c r="Q25" s="28"/>
      <c r="R25" s="28"/>
      <c r="S25" s="28"/>
      <c r="T25" s="26"/>
      <c r="U25" s="27"/>
      <c r="V25" s="28"/>
      <c r="W25" s="28"/>
      <c r="X25" s="28"/>
      <c r="Y25" s="28"/>
      <c r="Z25" s="26"/>
      <c r="AA25" s="28"/>
      <c r="AB25" s="28"/>
      <c r="AC25" s="27"/>
      <c r="AD25" s="26"/>
      <c r="AE25" s="28"/>
      <c r="AF25" s="26"/>
      <c r="AG25" s="27"/>
      <c r="AH25" s="26"/>
      <c r="AI25" s="26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6"/>
      <c r="AU25" s="28"/>
      <c r="AV25" s="27"/>
    </row>
    <row r="26" spans="1:48" s="30" customFormat="1" x14ac:dyDescent="0.3">
      <c r="A26" s="25"/>
      <c r="C26" s="26"/>
      <c r="D26" s="27"/>
      <c r="E26" s="26"/>
      <c r="F26" s="28"/>
      <c r="G26" s="28"/>
      <c r="H26" s="29"/>
      <c r="I26" s="35"/>
      <c r="J26" s="28"/>
      <c r="K26" s="27"/>
      <c r="L26" s="26"/>
      <c r="M26" s="28"/>
      <c r="N26" s="28"/>
      <c r="O26" s="34"/>
      <c r="P26" s="26"/>
      <c r="Q26" s="28"/>
      <c r="R26" s="28"/>
      <c r="S26" s="28"/>
      <c r="T26" s="26"/>
      <c r="U26" s="27"/>
      <c r="V26" s="28"/>
      <c r="W26" s="28"/>
      <c r="X26" s="28"/>
      <c r="Y26" s="28"/>
      <c r="Z26" s="26"/>
      <c r="AA26" s="28"/>
      <c r="AB26" s="28"/>
      <c r="AC26" s="27"/>
      <c r="AD26" s="26"/>
      <c r="AE26" s="28"/>
      <c r="AF26" s="26"/>
      <c r="AG26" s="27"/>
      <c r="AH26" s="26"/>
      <c r="AI26" s="26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6"/>
      <c r="AU26" s="28"/>
      <c r="AV26" s="27"/>
    </row>
    <row r="27" spans="1:48" s="30" customFormat="1" x14ac:dyDescent="0.3">
      <c r="A27" s="25" t="s">
        <v>1</v>
      </c>
      <c r="B27" s="30" t="s">
        <v>77</v>
      </c>
      <c r="C27" s="26">
        <v>0</v>
      </c>
      <c r="D27" s="27" t="s">
        <v>55</v>
      </c>
      <c r="E27" s="26">
        <v>2</v>
      </c>
      <c r="F27" s="28">
        <v>0.1</v>
      </c>
      <c r="G27" s="28">
        <v>1</v>
      </c>
      <c r="H27" s="29">
        <v>1.0000000000000001E-5</v>
      </c>
      <c r="I27" s="29">
        <v>9.9999999999999995E-8</v>
      </c>
      <c r="J27" s="28" t="s">
        <v>61</v>
      </c>
      <c r="K27" s="33" t="s">
        <v>61</v>
      </c>
      <c r="L27" s="26">
        <v>3.14</v>
      </c>
      <c r="M27" s="28">
        <v>950</v>
      </c>
      <c r="N27" s="28">
        <v>0</v>
      </c>
      <c r="O27" s="27">
        <v>2650</v>
      </c>
      <c r="P27" s="26">
        <v>1000</v>
      </c>
      <c r="Q27" s="29">
        <v>1E-3</v>
      </c>
      <c r="R27" s="28">
        <v>4680</v>
      </c>
      <c r="S27" s="28">
        <v>0.6</v>
      </c>
      <c r="T27" s="26">
        <v>86400</v>
      </c>
      <c r="U27" s="27" t="s">
        <v>98</v>
      </c>
      <c r="V27" s="28" t="s">
        <v>65</v>
      </c>
      <c r="W27" s="28" t="s">
        <v>66</v>
      </c>
      <c r="X27" s="28" t="s">
        <v>65</v>
      </c>
      <c r="Y27" s="28" t="s">
        <v>65</v>
      </c>
      <c r="Z27" s="26" t="s">
        <v>186</v>
      </c>
      <c r="AA27" s="28" t="s">
        <v>187</v>
      </c>
      <c r="AB27" s="28" t="s">
        <v>66</v>
      </c>
      <c r="AC27" s="27" t="s">
        <v>66</v>
      </c>
      <c r="AD27" s="26" t="s">
        <v>204</v>
      </c>
      <c r="AE27" s="28" t="s">
        <v>65</v>
      </c>
      <c r="AF27" s="26" t="s">
        <v>76</v>
      </c>
      <c r="AG27" s="27" t="s">
        <v>76</v>
      </c>
      <c r="AH27" s="26"/>
      <c r="AI27" s="26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6"/>
      <c r="AU27" s="28"/>
      <c r="AV27" s="27"/>
    </row>
    <row r="28" spans="1:48" s="30" customFormat="1" x14ac:dyDescent="0.3">
      <c r="A28" s="25" t="s">
        <v>205</v>
      </c>
      <c r="B28" s="30" t="s">
        <v>78</v>
      </c>
      <c r="C28" s="26">
        <v>1</v>
      </c>
      <c r="D28" s="27" t="s">
        <v>56</v>
      </c>
      <c r="E28" s="26">
        <v>2</v>
      </c>
      <c r="F28" s="28">
        <v>0.1</v>
      </c>
      <c r="G28" s="28">
        <v>1</v>
      </c>
      <c r="H28" s="29">
        <v>1.0000000000000001E-5</v>
      </c>
      <c r="I28" s="29">
        <v>5.0000000000000004E-6</v>
      </c>
      <c r="J28" s="28" t="s">
        <v>61</v>
      </c>
      <c r="K28" s="33" t="s">
        <v>61</v>
      </c>
      <c r="L28" s="26">
        <v>3.14</v>
      </c>
      <c r="M28" s="28">
        <v>950</v>
      </c>
      <c r="N28" s="28">
        <v>0</v>
      </c>
      <c r="O28" s="27">
        <v>2650</v>
      </c>
      <c r="P28" s="26"/>
      <c r="Q28" s="28"/>
      <c r="R28" s="28"/>
      <c r="S28" s="28"/>
      <c r="T28" s="26"/>
      <c r="U28" s="27"/>
      <c r="V28" s="28"/>
      <c r="W28" s="28"/>
      <c r="X28" s="28"/>
      <c r="Y28" s="28"/>
      <c r="Z28" s="26"/>
      <c r="AA28" s="28"/>
      <c r="AB28" s="28"/>
      <c r="AC28" s="27"/>
      <c r="AD28" s="45"/>
      <c r="AE28" s="28"/>
      <c r="AF28" s="26"/>
      <c r="AG28" s="27"/>
      <c r="AH28" s="26"/>
      <c r="AI28" s="26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6"/>
      <c r="AU28" s="28"/>
      <c r="AV28" s="27"/>
    </row>
    <row r="29" spans="1:48" s="30" customFormat="1" x14ac:dyDescent="0.3">
      <c r="A29" s="25"/>
      <c r="B29" s="30" t="s">
        <v>79</v>
      </c>
      <c r="C29" s="26">
        <v>2</v>
      </c>
      <c r="D29" s="27" t="s">
        <v>57</v>
      </c>
      <c r="E29" s="26">
        <v>2</v>
      </c>
      <c r="F29" s="28">
        <v>0.1</v>
      </c>
      <c r="G29" s="28">
        <v>1</v>
      </c>
      <c r="H29" s="29">
        <v>1.0000000000000001E-5</v>
      </c>
      <c r="I29" s="29">
        <v>9.9999999999999995E-8</v>
      </c>
      <c r="J29" s="28" t="s">
        <v>61</v>
      </c>
      <c r="K29" s="33" t="s">
        <v>61</v>
      </c>
      <c r="L29" s="26">
        <v>3.14</v>
      </c>
      <c r="M29" s="28">
        <v>950</v>
      </c>
      <c r="N29" s="28">
        <v>0</v>
      </c>
      <c r="O29" s="27">
        <v>2650</v>
      </c>
      <c r="P29" s="26"/>
      <c r="Q29" s="28"/>
      <c r="R29" s="28"/>
      <c r="S29" s="28"/>
      <c r="T29" s="26"/>
      <c r="U29" s="27"/>
      <c r="V29" s="28"/>
      <c r="W29" s="28"/>
      <c r="X29" s="28"/>
      <c r="Y29" s="28"/>
      <c r="Z29" s="20"/>
      <c r="AA29" s="22"/>
      <c r="AB29" s="28"/>
      <c r="AC29" s="27"/>
      <c r="AD29" s="26"/>
      <c r="AE29" s="28"/>
      <c r="AF29" s="26"/>
      <c r="AG29" s="27"/>
      <c r="AH29" s="26"/>
      <c r="AI29" s="26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6"/>
      <c r="AU29" s="28"/>
      <c r="AV29" s="27"/>
    </row>
    <row r="30" spans="1:48" s="30" customFormat="1" x14ac:dyDescent="0.3">
      <c r="A30" s="25"/>
      <c r="C30" s="26">
        <v>3</v>
      </c>
      <c r="D30" s="27" t="s">
        <v>59</v>
      </c>
      <c r="E30" s="26">
        <v>2</v>
      </c>
      <c r="F30" s="28">
        <v>0.25</v>
      </c>
      <c r="G30" s="28">
        <v>1</v>
      </c>
      <c r="H30" s="29">
        <v>2.0000000000000001E-4</v>
      </c>
      <c r="I30" s="29">
        <v>0.01</v>
      </c>
      <c r="J30" s="28" t="s">
        <v>61</v>
      </c>
      <c r="K30" s="33" t="s">
        <v>206</v>
      </c>
      <c r="L30" s="26">
        <v>0.31</v>
      </c>
      <c r="M30" s="28">
        <v>1380</v>
      </c>
      <c r="N30" s="28">
        <v>0</v>
      </c>
      <c r="O30" s="34">
        <v>1500</v>
      </c>
      <c r="P30" s="26"/>
      <c r="Q30" s="28"/>
      <c r="R30" s="28"/>
      <c r="S30" s="28"/>
      <c r="T30" s="26"/>
      <c r="U30" s="27"/>
      <c r="V30" s="28"/>
      <c r="W30" s="28"/>
      <c r="X30" s="28"/>
      <c r="Y30" s="28"/>
      <c r="Z30" s="26"/>
      <c r="AA30" s="28"/>
      <c r="AB30" s="28"/>
      <c r="AC30" s="27"/>
      <c r="AD30" s="26"/>
      <c r="AE30" s="28"/>
      <c r="AF30" s="26"/>
      <c r="AG30" s="27"/>
      <c r="AH30" s="26"/>
      <c r="AI30" s="26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6"/>
      <c r="AU30" s="28"/>
      <c r="AV30" s="27"/>
    </row>
    <row r="31" spans="1:48" s="30" customFormat="1" x14ac:dyDescent="0.3">
      <c r="A31" s="25"/>
      <c r="C31" s="26">
        <v>4</v>
      </c>
      <c r="D31" s="27" t="s">
        <v>58</v>
      </c>
      <c r="E31" s="26">
        <v>2</v>
      </c>
      <c r="F31" s="28">
        <v>0.9</v>
      </c>
      <c r="G31" s="28">
        <v>1</v>
      </c>
      <c r="H31" s="29">
        <v>2.0000000000000001E-4</v>
      </c>
      <c r="I31" s="35">
        <v>0.01</v>
      </c>
      <c r="J31" s="28" t="s">
        <v>61</v>
      </c>
      <c r="K31" s="33" t="s">
        <v>207</v>
      </c>
      <c r="L31" s="26">
        <v>3.14</v>
      </c>
      <c r="M31" s="28">
        <v>950</v>
      </c>
      <c r="N31" s="28">
        <v>0</v>
      </c>
      <c r="O31" s="34">
        <v>1500</v>
      </c>
      <c r="P31" s="26"/>
      <c r="Q31" s="28"/>
      <c r="R31" s="28"/>
      <c r="S31" s="28"/>
      <c r="T31" s="26"/>
      <c r="U31" s="27"/>
      <c r="V31" s="28"/>
      <c r="W31" s="28"/>
      <c r="X31" s="28"/>
      <c r="Y31" s="28"/>
      <c r="Z31" s="26"/>
      <c r="AA31" s="28"/>
      <c r="AB31" s="28"/>
      <c r="AC31" s="27"/>
      <c r="AD31" s="26"/>
      <c r="AE31" s="28"/>
      <c r="AF31" s="26"/>
      <c r="AG31" s="27"/>
      <c r="AH31" s="26"/>
      <c r="AI31" s="26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6"/>
      <c r="AU31" s="28"/>
      <c r="AV31" s="27"/>
    </row>
    <row r="32" spans="1:48" x14ac:dyDescent="0.3">
      <c r="A32" s="18"/>
      <c r="C32" s="20"/>
      <c r="D32" s="21"/>
      <c r="E32" s="20"/>
      <c r="F32" s="22"/>
      <c r="G32" s="22"/>
      <c r="H32" s="22"/>
      <c r="I32" s="22"/>
      <c r="J32" s="22"/>
      <c r="K32" s="21"/>
      <c r="L32" s="20"/>
      <c r="M32" s="22"/>
      <c r="N32" s="22"/>
      <c r="O32" s="21"/>
      <c r="P32" s="20"/>
      <c r="Q32" s="22"/>
      <c r="R32" s="22"/>
      <c r="S32" s="22"/>
      <c r="T32" s="20"/>
      <c r="U32" s="21"/>
      <c r="V32" s="22"/>
      <c r="W32" s="22"/>
      <c r="X32" s="22"/>
      <c r="Y32" s="22"/>
      <c r="Z32" s="20"/>
      <c r="AA32" s="22"/>
      <c r="AB32" s="22"/>
      <c r="AC32" s="21"/>
      <c r="AD32" s="20"/>
      <c r="AE32" s="22"/>
      <c r="AF32" s="20"/>
      <c r="AG32" s="21"/>
      <c r="AH32" s="20"/>
      <c r="AI32" s="20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0"/>
      <c r="AU32" s="22"/>
      <c r="AV32" s="21"/>
    </row>
    <row r="33" spans="1:48" s="30" customFormat="1" x14ac:dyDescent="0.3">
      <c r="A33" s="25" t="s">
        <v>163</v>
      </c>
      <c r="B33" s="30" t="s">
        <v>208</v>
      </c>
      <c r="C33" s="26">
        <v>0</v>
      </c>
      <c r="D33" s="27" t="s">
        <v>55</v>
      </c>
      <c r="E33" s="26">
        <v>2</v>
      </c>
      <c r="F33" s="28">
        <v>0.1</v>
      </c>
      <c r="G33" s="28">
        <v>1</v>
      </c>
      <c r="H33" s="28">
        <v>1.0000000000000001E-5</v>
      </c>
      <c r="I33" s="28">
        <v>9.9999999999999995E-8</v>
      </c>
      <c r="J33" s="28" t="s">
        <v>185</v>
      </c>
      <c r="K33" s="27"/>
      <c r="L33" s="26">
        <v>3.14</v>
      </c>
      <c r="M33" s="28">
        <v>950</v>
      </c>
      <c r="N33" s="28">
        <v>0</v>
      </c>
      <c r="O33" s="27">
        <v>2650</v>
      </c>
      <c r="P33" s="26">
        <v>1000</v>
      </c>
      <c r="Q33" s="28">
        <v>1E-3</v>
      </c>
      <c r="R33" s="28">
        <v>4680</v>
      </c>
      <c r="S33" s="28">
        <v>0.6</v>
      </c>
      <c r="T33" s="26">
        <f>60*60</f>
        <v>3600</v>
      </c>
      <c r="U33" s="27">
        <f>24*30*3</f>
        <v>2160</v>
      </c>
      <c r="V33" s="28" t="s">
        <v>65</v>
      </c>
      <c r="W33" s="28" t="s">
        <v>66</v>
      </c>
      <c r="X33" s="28" t="s">
        <v>65</v>
      </c>
      <c r="Y33" s="28" t="s">
        <v>65</v>
      </c>
      <c r="Z33" s="26" t="s">
        <v>186</v>
      </c>
      <c r="AA33" s="28" t="s">
        <v>187</v>
      </c>
      <c r="AB33" s="28" t="s">
        <v>66</v>
      </c>
      <c r="AC33" s="27" t="s">
        <v>66</v>
      </c>
      <c r="AD33" s="26" t="s">
        <v>164</v>
      </c>
      <c r="AE33" s="28" t="s">
        <v>164</v>
      </c>
      <c r="AF33" s="26" t="s">
        <v>188</v>
      </c>
      <c r="AG33" s="27" t="s">
        <v>165</v>
      </c>
      <c r="AH33" s="26" t="s">
        <v>82</v>
      </c>
      <c r="AI33" s="68">
        <v>1E-4</v>
      </c>
      <c r="AJ33" s="29">
        <v>2</v>
      </c>
      <c r="AK33" s="29">
        <f>AI33/AJ33</f>
        <v>5.0000000000000002E-5</v>
      </c>
      <c r="AL33" s="29">
        <f>AK33/F24</f>
        <v>2.0000000000000001E-4</v>
      </c>
      <c r="AM33" s="29">
        <v>0.5</v>
      </c>
      <c r="AN33" s="29">
        <f>L24/(O24*M24)</f>
        <v>1.497584541062802E-7</v>
      </c>
      <c r="AO33" s="29">
        <f>AN33*F24/1</f>
        <v>3.7439613526570051E-8</v>
      </c>
      <c r="AP33" s="29">
        <f>AM33*AL33</f>
        <v>1E-4</v>
      </c>
      <c r="AQ33" s="29">
        <f>AM33*AL33+AN33</f>
        <v>1.0014975845410629E-4</v>
      </c>
      <c r="AR33" s="29">
        <f>AJ33/1</f>
        <v>2</v>
      </c>
      <c r="AS33" s="29">
        <f>3600</f>
        <v>3600</v>
      </c>
      <c r="AT33" s="68">
        <f>AL33*(AS33/AR33)</f>
        <v>0.36000000000000004</v>
      </c>
      <c r="AU33" s="29">
        <f>AQ33*AS33/AR33^2</f>
        <v>9.013478260869566E-2</v>
      </c>
      <c r="AV33" s="69">
        <f>(AL33*AR33)/AQ33</f>
        <v>3.9940186194587812</v>
      </c>
    </row>
    <row r="34" spans="1:48" s="30" customFormat="1" x14ac:dyDescent="0.3">
      <c r="A34" s="25"/>
      <c r="C34" s="26">
        <v>1</v>
      </c>
      <c r="D34" s="27" t="s">
        <v>56</v>
      </c>
      <c r="E34" s="26">
        <v>2</v>
      </c>
      <c r="F34" s="28">
        <v>0.1</v>
      </c>
      <c r="G34" s="28">
        <v>1</v>
      </c>
      <c r="H34" s="28">
        <v>1.0000000000000001E-5</v>
      </c>
      <c r="I34" s="28">
        <v>5.0000000000000004E-6</v>
      </c>
      <c r="J34" s="28" t="s">
        <v>185</v>
      </c>
      <c r="K34" s="27"/>
      <c r="L34" s="26">
        <v>3.14</v>
      </c>
      <c r="M34" s="28">
        <v>950</v>
      </c>
      <c r="N34" s="28">
        <v>0</v>
      </c>
      <c r="O34" s="27">
        <v>2650</v>
      </c>
      <c r="P34" s="26"/>
      <c r="Q34" s="28"/>
      <c r="R34" s="28"/>
      <c r="S34" s="28"/>
      <c r="T34" s="26" t="s">
        <v>210</v>
      </c>
      <c r="U34" s="70" t="s">
        <v>184</v>
      </c>
      <c r="V34" s="28"/>
      <c r="W34" s="28"/>
      <c r="X34" s="28"/>
      <c r="Y34" s="28"/>
      <c r="Z34" s="26"/>
      <c r="AA34" s="28"/>
      <c r="AB34" s="28"/>
      <c r="AC34" s="27"/>
      <c r="AD34" s="26"/>
      <c r="AE34" s="28"/>
      <c r="AF34" s="26"/>
      <c r="AG34" s="27"/>
      <c r="AH34" s="26"/>
      <c r="AI34" s="26"/>
      <c r="AJ34" s="28"/>
      <c r="AK34" s="28"/>
      <c r="AL34" s="28"/>
      <c r="AM34" s="28"/>
      <c r="AN34" s="28"/>
      <c r="AO34" s="28"/>
      <c r="AP34" s="28"/>
      <c r="AQ34" s="29"/>
      <c r="AR34" s="28"/>
      <c r="AS34" s="28"/>
      <c r="AT34" s="26"/>
      <c r="AU34" s="28"/>
      <c r="AV34" s="69">
        <f>(AR33)/AM33</f>
        <v>4</v>
      </c>
    </row>
    <row r="35" spans="1:48" s="30" customFormat="1" x14ac:dyDescent="0.3">
      <c r="A35" s="25"/>
      <c r="C35" s="26">
        <v>2</v>
      </c>
      <c r="D35" s="27" t="s">
        <v>57</v>
      </c>
      <c r="E35" s="26">
        <v>2</v>
      </c>
      <c r="F35" s="28">
        <v>0.1</v>
      </c>
      <c r="G35" s="28">
        <v>1</v>
      </c>
      <c r="H35" s="28">
        <v>1.0000000000000001E-5</v>
      </c>
      <c r="I35" s="28">
        <v>9.9999999999999995E-8</v>
      </c>
      <c r="J35" s="28" t="s">
        <v>61</v>
      </c>
      <c r="K35" s="27"/>
      <c r="L35" s="26">
        <v>3.14</v>
      </c>
      <c r="M35" s="28">
        <v>950</v>
      </c>
      <c r="N35" s="28">
        <v>0</v>
      </c>
      <c r="O35" s="27">
        <v>2650</v>
      </c>
      <c r="P35" s="26"/>
      <c r="Q35" s="28"/>
      <c r="R35" s="28"/>
      <c r="S35" s="28"/>
      <c r="T35" s="26"/>
      <c r="U35" s="27">
        <v>87600</v>
      </c>
      <c r="V35" s="28"/>
      <c r="W35" s="28"/>
      <c r="X35" s="28"/>
      <c r="Y35" s="28"/>
      <c r="Z35" s="26"/>
      <c r="AA35" s="28"/>
      <c r="AB35" s="28"/>
      <c r="AC35" s="27"/>
      <c r="AD35" s="26"/>
      <c r="AE35" s="28"/>
      <c r="AF35" s="26"/>
      <c r="AG35" s="27"/>
      <c r="AH35" s="26"/>
      <c r="AI35" s="26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6"/>
      <c r="AU35" s="28"/>
      <c r="AV35" s="27"/>
    </row>
    <row r="36" spans="1:48" s="30" customFormat="1" x14ac:dyDescent="0.3">
      <c r="A36" s="25"/>
      <c r="C36" s="26">
        <v>3</v>
      </c>
      <c r="D36" s="27" t="s">
        <v>59</v>
      </c>
      <c r="E36" s="26">
        <v>2</v>
      </c>
      <c r="F36" s="28">
        <v>0.25</v>
      </c>
      <c r="G36" s="28">
        <v>1</v>
      </c>
      <c r="H36" s="28">
        <v>2.0000000000000001E-4</v>
      </c>
      <c r="I36" s="28">
        <v>0.01</v>
      </c>
      <c r="J36" s="28" t="s">
        <v>185</v>
      </c>
      <c r="K36" s="27"/>
      <c r="L36" s="26">
        <v>0.31</v>
      </c>
      <c r="M36" s="28">
        <v>1380</v>
      </c>
      <c r="N36" s="28">
        <v>0</v>
      </c>
      <c r="O36" s="27">
        <v>1500</v>
      </c>
      <c r="P36" s="26"/>
      <c r="Q36" s="28"/>
      <c r="R36" s="28"/>
      <c r="S36" s="28"/>
      <c r="T36" s="26" t="s">
        <v>211</v>
      </c>
      <c r="U36" s="70" t="s">
        <v>209</v>
      </c>
      <c r="V36" s="28"/>
      <c r="W36" s="28"/>
      <c r="X36" s="28"/>
      <c r="Y36" s="28"/>
      <c r="Z36" s="26"/>
      <c r="AA36" s="28"/>
      <c r="AB36" s="28"/>
      <c r="AC36" s="27"/>
      <c r="AD36" s="26"/>
      <c r="AE36" s="28"/>
      <c r="AF36" s="26"/>
      <c r="AG36" s="27"/>
      <c r="AH36" s="26"/>
      <c r="AI36" s="26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6"/>
      <c r="AU36" s="28"/>
      <c r="AV36" s="27"/>
    </row>
    <row r="37" spans="1:48" s="30" customFormat="1" x14ac:dyDescent="0.3">
      <c r="A37" s="25"/>
      <c r="C37" s="26">
        <v>4</v>
      </c>
      <c r="D37" s="27" t="s">
        <v>58</v>
      </c>
      <c r="E37" s="26">
        <v>2</v>
      </c>
      <c r="F37" s="28">
        <v>0.9</v>
      </c>
      <c r="G37" s="28">
        <v>1</v>
      </c>
      <c r="H37" s="28">
        <v>2.0000000000000001E-4</v>
      </c>
      <c r="I37" s="28">
        <v>0.01</v>
      </c>
      <c r="J37" s="28" t="s">
        <v>185</v>
      </c>
      <c r="K37" s="27"/>
      <c r="L37" s="26">
        <v>3.14</v>
      </c>
      <c r="M37" s="28">
        <v>950</v>
      </c>
      <c r="N37" s="28">
        <v>0</v>
      </c>
      <c r="O37" s="27">
        <v>1500</v>
      </c>
      <c r="P37" s="26"/>
      <c r="Q37" s="28"/>
      <c r="R37" s="28"/>
      <c r="S37" s="28"/>
      <c r="T37" s="26"/>
      <c r="U37" s="27"/>
      <c r="V37" s="28"/>
      <c r="W37" s="28"/>
      <c r="X37" s="28"/>
      <c r="Y37" s="28"/>
      <c r="Z37" s="26"/>
      <c r="AA37" s="28"/>
      <c r="AB37" s="28"/>
      <c r="AC37" s="27"/>
      <c r="AD37" s="26"/>
      <c r="AE37" s="28"/>
      <c r="AF37" s="26"/>
      <c r="AG37" s="27"/>
      <c r="AH37" s="26"/>
      <c r="AI37" s="26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6"/>
      <c r="AU37" s="28"/>
      <c r="AV37" s="27"/>
    </row>
    <row r="38" spans="1:48" x14ac:dyDescent="0.3">
      <c r="A38" s="18"/>
      <c r="C38" s="20"/>
      <c r="D38" s="21"/>
      <c r="E38" s="20"/>
      <c r="F38" s="22"/>
      <c r="G38" s="22"/>
      <c r="H38" s="22"/>
      <c r="I38" s="22"/>
      <c r="J38" s="22"/>
      <c r="K38" s="21"/>
      <c r="L38" s="20"/>
      <c r="M38" s="22"/>
      <c r="N38" s="22"/>
      <c r="O38" s="21"/>
      <c r="P38" s="20"/>
      <c r="Q38" s="22"/>
      <c r="R38" s="22"/>
      <c r="S38" s="22"/>
      <c r="T38" s="20"/>
      <c r="U38" s="21"/>
      <c r="V38" s="22"/>
      <c r="W38" s="22"/>
      <c r="X38" s="22"/>
      <c r="Y38" s="22"/>
      <c r="Z38" s="20"/>
      <c r="AA38" s="22"/>
      <c r="AB38" s="22"/>
      <c r="AC38" s="21"/>
      <c r="AD38" s="20"/>
      <c r="AE38" s="22"/>
      <c r="AF38" s="20"/>
      <c r="AG38" s="21"/>
      <c r="AH38" s="20"/>
      <c r="AI38" s="20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0"/>
      <c r="AU38" s="22"/>
      <c r="AV38" s="21"/>
    </row>
    <row r="39" spans="1:48" x14ac:dyDescent="0.3">
      <c r="A39" s="18"/>
      <c r="C39" s="20"/>
      <c r="D39" s="21"/>
      <c r="E39" s="20"/>
      <c r="F39" s="22"/>
      <c r="G39" s="22"/>
      <c r="H39" s="22"/>
      <c r="I39" s="22"/>
      <c r="J39" s="22"/>
      <c r="K39" s="21"/>
      <c r="L39" s="20"/>
      <c r="M39" s="22"/>
      <c r="N39" s="22"/>
      <c r="O39" s="21"/>
      <c r="P39" s="20"/>
      <c r="Q39" s="22"/>
      <c r="R39" s="22"/>
      <c r="S39" s="22"/>
      <c r="T39" s="20"/>
      <c r="U39" s="21"/>
      <c r="V39" s="22"/>
      <c r="W39" s="22"/>
      <c r="X39" s="22"/>
      <c r="Y39" s="22"/>
      <c r="Z39" s="20"/>
      <c r="AA39" s="22"/>
      <c r="AB39" s="22"/>
      <c r="AC39" s="21"/>
      <c r="AD39" s="20"/>
      <c r="AE39" s="22"/>
      <c r="AF39" s="20"/>
      <c r="AG39" s="21"/>
      <c r="AH39" s="20"/>
      <c r="AI39" s="20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0"/>
      <c r="AU39" s="22"/>
      <c r="AV39" s="21"/>
    </row>
    <row r="40" spans="1:48" ht="14.4" thickBot="1" x14ac:dyDescent="0.35">
      <c r="A40" s="17"/>
      <c r="C40" s="13"/>
      <c r="D40" s="15"/>
      <c r="E40" s="13"/>
      <c r="F40" s="14"/>
      <c r="G40" s="14"/>
      <c r="H40" s="14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4"/>
      <c r="T40" s="13"/>
      <c r="U40" s="15"/>
      <c r="V40" s="14"/>
      <c r="W40" s="14"/>
      <c r="X40" s="14"/>
      <c r="Y40" s="14"/>
      <c r="Z40" s="13"/>
      <c r="AA40" s="14"/>
      <c r="AB40" s="14"/>
      <c r="AC40" s="15"/>
      <c r="AD40" s="13"/>
      <c r="AE40" s="14"/>
      <c r="AF40" s="13"/>
      <c r="AG40" s="15"/>
      <c r="AH40" s="13"/>
      <c r="AI40" s="13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3"/>
      <c r="AU40" s="14"/>
      <c r="AV40" s="15"/>
    </row>
    <row r="41" spans="1:48" x14ac:dyDescent="0.3">
      <c r="AF41" s="8" t="s">
        <v>120</v>
      </c>
      <c r="AM41" s="8" t="s">
        <v>183</v>
      </c>
    </row>
    <row r="42" spans="1:48" x14ac:dyDescent="0.3">
      <c r="AA42" s="8" t="s">
        <v>178</v>
      </c>
    </row>
    <row r="43" spans="1:48" x14ac:dyDescent="0.3">
      <c r="AA43" s="8">
        <f>3.14*0.03</f>
        <v>9.4200000000000006E-2</v>
      </c>
    </row>
    <row r="45" spans="1:48" x14ac:dyDescent="0.3">
      <c r="AA45" s="8">
        <f>25.5-866*0.018</f>
        <v>9.9120000000000008</v>
      </c>
    </row>
    <row r="46" spans="1:48" x14ac:dyDescent="0.3">
      <c r="AA46" s="8">
        <f>37.8-747*0.039</f>
        <v>8.666999999999998</v>
      </c>
    </row>
  </sheetData>
  <mergeCells count="10">
    <mergeCell ref="E2:K2"/>
    <mergeCell ref="T2:U2"/>
    <mergeCell ref="AT2:AV2"/>
    <mergeCell ref="AF2:AG2"/>
    <mergeCell ref="AD2:AE2"/>
    <mergeCell ref="V1:AC1"/>
    <mergeCell ref="V2:Y2"/>
    <mergeCell ref="Z2:AC2"/>
    <mergeCell ref="P2:S2"/>
    <mergeCell ref="L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4" workbookViewId="0">
      <selection activeCell="C41" sqref="C41:C43"/>
    </sheetView>
  </sheetViews>
  <sheetFormatPr defaultColWidth="11.5546875" defaultRowHeight="14.4" x14ac:dyDescent="0.3"/>
  <sheetData>
    <row r="1" spans="1:8" s="1" customFormat="1" x14ac:dyDescent="0.3">
      <c r="A1" s="1" t="s">
        <v>49</v>
      </c>
      <c r="E1" s="1" t="s">
        <v>27</v>
      </c>
    </row>
    <row r="2" spans="1:8" x14ac:dyDescent="0.3">
      <c r="A2" s="2" t="s">
        <v>13</v>
      </c>
      <c r="B2" s="2">
        <v>0.06</v>
      </c>
      <c r="C2" s="2"/>
      <c r="D2" s="2"/>
      <c r="E2" s="3" t="s">
        <v>15</v>
      </c>
      <c r="F2" s="2">
        <v>11</v>
      </c>
      <c r="G2" s="2">
        <v>0</v>
      </c>
      <c r="H2" s="2" t="s">
        <v>16</v>
      </c>
    </row>
    <row r="3" spans="1:8" x14ac:dyDescent="0.3">
      <c r="A3" s="2" t="s">
        <v>14</v>
      </c>
      <c r="B3" s="2">
        <v>3</v>
      </c>
      <c r="C3" s="2"/>
      <c r="D3" s="2"/>
      <c r="E3" s="3" t="s">
        <v>17</v>
      </c>
      <c r="F3" s="4">
        <v>23</v>
      </c>
      <c r="G3" s="2">
        <v>460</v>
      </c>
      <c r="H3" s="2" t="s">
        <v>16</v>
      </c>
    </row>
    <row r="4" spans="1:8" x14ac:dyDescent="0.3">
      <c r="A4" s="3" t="s">
        <v>15</v>
      </c>
      <c r="B4" s="2">
        <v>15</v>
      </c>
      <c r="C4" s="2">
        <v>670</v>
      </c>
      <c r="D4" s="2" t="s">
        <v>16</v>
      </c>
      <c r="E4" s="2"/>
    </row>
    <row r="5" spans="1:8" x14ac:dyDescent="0.3">
      <c r="A5" s="3" t="s">
        <v>17</v>
      </c>
      <c r="B5" s="4" t="s">
        <v>18</v>
      </c>
      <c r="C5" s="2">
        <v>800</v>
      </c>
      <c r="D5" s="2" t="s">
        <v>16</v>
      </c>
      <c r="E5" s="2" t="s">
        <v>24</v>
      </c>
      <c r="F5">
        <f>(F2-F3)/(G2-G3)</f>
        <v>2.6086956521739129E-2</v>
      </c>
    </row>
    <row r="6" spans="1:8" x14ac:dyDescent="0.3">
      <c r="A6" s="2"/>
      <c r="B6" s="2" t="s">
        <v>19</v>
      </c>
      <c r="C6" s="2"/>
      <c r="D6" s="2"/>
      <c r="E6" s="2" t="s">
        <v>26</v>
      </c>
      <c r="F6">
        <f>B3*F5</f>
        <v>7.8260869565217384E-2</v>
      </c>
    </row>
    <row r="7" spans="1:8" x14ac:dyDescent="0.3">
      <c r="A7" s="2"/>
      <c r="B7" s="2" t="s">
        <v>20</v>
      </c>
      <c r="C7" s="2"/>
      <c r="D7" s="2"/>
      <c r="E7" s="2"/>
    </row>
    <row r="8" spans="1:8" x14ac:dyDescent="0.3">
      <c r="A8" s="2"/>
      <c r="B8" s="2" t="s">
        <v>21</v>
      </c>
      <c r="C8" s="2"/>
      <c r="D8" s="2"/>
      <c r="E8" s="6" t="s">
        <v>28</v>
      </c>
      <c r="F8" s="1">
        <f>F2-F5*G2</f>
        <v>11</v>
      </c>
      <c r="G8" s="1">
        <v>0</v>
      </c>
      <c r="H8" s="1" t="s">
        <v>16</v>
      </c>
    </row>
    <row r="9" spans="1:8" x14ac:dyDescent="0.3">
      <c r="A9" s="2"/>
      <c r="B9" s="2" t="s">
        <v>22</v>
      </c>
      <c r="C9" s="2"/>
      <c r="D9" s="2"/>
      <c r="E9" s="6" t="s">
        <v>29</v>
      </c>
      <c r="F9" s="1">
        <f>F8+F5*G9</f>
        <v>31.869565217391305</v>
      </c>
      <c r="G9" s="1">
        <v>800</v>
      </c>
      <c r="H9" s="1" t="s">
        <v>16</v>
      </c>
    </row>
    <row r="10" spans="1:8" x14ac:dyDescent="0.3">
      <c r="A10" s="2" t="s">
        <v>23</v>
      </c>
      <c r="B10" s="2">
        <f>B4-B2*(C4-C5)/B3</f>
        <v>17.600000000000001</v>
      </c>
      <c r="C10" s="2" t="s">
        <v>25</v>
      </c>
      <c r="D10" s="2"/>
      <c r="E10" s="2"/>
    </row>
    <row r="11" spans="1:8" x14ac:dyDescent="0.3">
      <c r="A11" s="2" t="s">
        <v>24</v>
      </c>
      <c r="B11" s="2">
        <f>(B10-B4)/(C5-C4)</f>
        <v>2.0000000000000011E-2</v>
      </c>
      <c r="C11" s="5"/>
      <c r="D11" s="2"/>
      <c r="E11" s="2"/>
    </row>
    <row r="13" spans="1:8" x14ac:dyDescent="0.3">
      <c r="A13" s="1" t="s">
        <v>50</v>
      </c>
      <c r="B13" s="1"/>
      <c r="C13" s="1"/>
      <c r="D13" s="1"/>
    </row>
    <row r="14" spans="1:8" x14ac:dyDescent="0.3">
      <c r="A14" s="3" t="s">
        <v>15</v>
      </c>
      <c r="B14" s="2">
        <v>10</v>
      </c>
      <c r="C14" s="2">
        <v>70</v>
      </c>
      <c r="D14" s="2" t="s">
        <v>16</v>
      </c>
    </row>
    <row r="15" spans="1:8" x14ac:dyDescent="0.3">
      <c r="A15" s="3" t="s">
        <v>17</v>
      </c>
      <c r="B15" s="4">
        <v>15</v>
      </c>
      <c r="C15" s="2">
        <v>230</v>
      </c>
      <c r="D15" s="2" t="s">
        <v>16</v>
      </c>
    </row>
    <row r="16" spans="1:8" x14ac:dyDescent="0.3">
      <c r="A16" s="2"/>
      <c r="B16" s="1"/>
      <c r="C16" s="1"/>
      <c r="D16" s="1"/>
    </row>
    <row r="17" spans="1:4" x14ac:dyDescent="0.3">
      <c r="A17" s="2" t="s">
        <v>24</v>
      </c>
      <c r="B17" s="1">
        <f>(B14-B15)/(C14-C15)</f>
        <v>3.125E-2</v>
      </c>
      <c r="C17" s="1"/>
      <c r="D17" s="1"/>
    </row>
    <row r="18" spans="1:4" x14ac:dyDescent="0.3">
      <c r="A18" s="2" t="s">
        <v>26</v>
      </c>
      <c r="B18" s="1">
        <f>B3*B17</f>
        <v>9.375E-2</v>
      </c>
      <c r="C18" s="1"/>
      <c r="D18" s="1"/>
    </row>
    <row r="20" spans="1:4" x14ac:dyDescent="0.3">
      <c r="A20" s="6" t="s">
        <v>28</v>
      </c>
      <c r="B20">
        <f>B14-B17*C14</f>
        <v>7.8125</v>
      </c>
      <c r="C20">
        <v>0</v>
      </c>
      <c r="D20" t="s">
        <v>16</v>
      </c>
    </row>
    <row r="21" spans="1:4" x14ac:dyDescent="0.3">
      <c r="A21" s="6" t="s">
        <v>29</v>
      </c>
      <c r="B21">
        <f>B20+B17*C21</f>
        <v>32.8125</v>
      </c>
      <c r="C21">
        <v>800</v>
      </c>
      <c r="D21" t="s">
        <v>16</v>
      </c>
    </row>
  </sheetData>
  <hyperlinks>
    <hyperlink ref="A4" r:id="rId1"/>
    <hyperlink ref="A5" r:id="rId2"/>
    <hyperlink ref="E2" r:id="rId3"/>
    <hyperlink ref="E3" r:id="rId4"/>
    <hyperlink ref="A14" r:id="rId5"/>
    <hyperlink ref="A15" r:id="rId6"/>
    <hyperlink ref="A20" r:id="rId7"/>
    <hyperlink ref="A21" r:id="rId8"/>
    <hyperlink ref="E8" r:id="rId9"/>
    <hyperlink ref="E9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8" sqref="B18"/>
    </sheetView>
  </sheetViews>
  <sheetFormatPr defaultColWidth="11.5546875" defaultRowHeight="14.4" x14ac:dyDescent="0.3"/>
  <cols>
    <col min="1" max="1" width="19" bestFit="1" customWidth="1"/>
    <col min="2" max="2" width="18.6640625" bestFit="1" customWidth="1"/>
  </cols>
  <sheetData>
    <row r="1" spans="1:5" s="1" customFormat="1" x14ac:dyDescent="0.3">
      <c r="A1" s="1" t="s">
        <v>110</v>
      </c>
      <c r="C1" s="1" t="s">
        <v>136</v>
      </c>
    </row>
    <row r="2" spans="1:5" x14ac:dyDescent="0.3">
      <c r="A2" t="s">
        <v>135</v>
      </c>
      <c r="C2" t="s">
        <v>137</v>
      </c>
      <c r="D2" t="s">
        <v>134</v>
      </c>
    </row>
    <row r="3" spans="1:5" x14ac:dyDescent="0.3">
      <c r="A3" t="s">
        <v>90</v>
      </c>
      <c r="C3" t="s">
        <v>93</v>
      </c>
      <c r="D3" t="s">
        <v>92</v>
      </c>
    </row>
    <row r="4" spans="1:5" s="1" customFormat="1" x14ac:dyDescent="0.3">
      <c r="A4" s="1" t="s">
        <v>111</v>
      </c>
      <c r="C4" s="1" t="s">
        <v>139</v>
      </c>
      <c r="D4" s="1" t="s">
        <v>140</v>
      </c>
    </row>
    <row r="5" spans="1:5" s="1" customFormat="1" x14ac:dyDescent="0.3"/>
    <row r="6" spans="1:5" s="1" customFormat="1" x14ac:dyDescent="0.3">
      <c r="A6" s="1" t="s">
        <v>89</v>
      </c>
      <c r="B6" s="1">
        <v>8000</v>
      </c>
      <c r="D6" s="1" t="s">
        <v>13</v>
      </c>
      <c r="E6" s="7">
        <v>1E-4</v>
      </c>
    </row>
    <row r="7" spans="1:5" s="1" customFormat="1" x14ac:dyDescent="0.3">
      <c r="A7" t="s">
        <v>88</v>
      </c>
      <c r="B7" s="7">
        <v>1.8E-5</v>
      </c>
      <c r="C7" t="s">
        <v>91</v>
      </c>
      <c r="D7" s="1" t="s">
        <v>89</v>
      </c>
      <c r="E7" s="7">
        <f>E6*B7/B8</f>
        <v>8241.7582417582416</v>
      </c>
    </row>
    <row r="8" spans="1:5" x14ac:dyDescent="0.3">
      <c r="A8" t="s">
        <v>14</v>
      </c>
      <c r="B8">
        <v>2.1840000000000001E-13</v>
      </c>
      <c r="C8" t="s">
        <v>87</v>
      </c>
    </row>
    <row r="9" spans="1:5" x14ac:dyDescent="0.3">
      <c r="A9" t="s">
        <v>13</v>
      </c>
      <c r="B9" s="7">
        <f>(B8*B6)/B7</f>
        <v>9.7066666666666677E-5</v>
      </c>
    </row>
    <row r="10" spans="1:5" ht="15" thickBot="1" x14ac:dyDescent="0.35"/>
    <row r="11" spans="1:5" ht="15" thickBot="1" x14ac:dyDescent="0.35">
      <c r="A11" s="36" t="s">
        <v>141</v>
      </c>
      <c r="B11" s="37"/>
      <c r="C11" s="38"/>
      <c r="D11" s="1"/>
      <c r="E11" s="1"/>
    </row>
    <row r="12" spans="1:5" ht="15" thickBot="1" x14ac:dyDescent="0.35">
      <c r="A12" s="1"/>
      <c r="B12" s="1"/>
      <c r="C12" s="1"/>
      <c r="D12" s="1"/>
      <c r="E12" s="1"/>
    </row>
    <row r="13" spans="1:5" ht="15" thickBot="1" x14ac:dyDescent="0.35">
      <c r="A13" s="1" t="s">
        <v>142</v>
      </c>
      <c r="B13" s="39">
        <v>0.25</v>
      </c>
      <c r="C13" s="1"/>
      <c r="D13" s="1"/>
      <c r="E13" s="1"/>
    </row>
    <row r="14" spans="1:5" ht="15" thickBot="1" x14ac:dyDescent="0.35">
      <c r="A14" s="1" t="s">
        <v>143</v>
      </c>
      <c r="B14" s="39">
        <v>1E-4</v>
      </c>
      <c r="C14" s="1" t="s">
        <v>107</v>
      </c>
      <c r="D14" s="1" t="s">
        <v>167</v>
      </c>
      <c r="E14" s="1"/>
    </row>
    <row r="15" spans="1:5" x14ac:dyDescent="0.3">
      <c r="A15" s="1" t="s">
        <v>144</v>
      </c>
      <c r="B15" s="1">
        <f>2*1</f>
        <v>2</v>
      </c>
      <c r="C15" s="1" t="s">
        <v>87</v>
      </c>
      <c r="D15" s="1" t="s">
        <v>166</v>
      </c>
      <c r="E15" s="1"/>
    </row>
    <row r="16" spans="1:5" x14ac:dyDescent="0.3">
      <c r="A16" s="1" t="s">
        <v>13</v>
      </c>
      <c r="B16" s="40">
        <f>B14/B15</f>
        <v>5.0000000000000002E-5</v>
      </c>
      <c r="C16" s="1" t="s">
        <v>109</v>
      </c>
      <c r="D16" s="1"/>
      <c r="E16" s="1"/>
    </row>
    <row r="17" spans="1:5" s="1" customFormat="1" ht="15" thickBot="1" x14ac:dyDescent="0.35">
      <c r="A17" s="42" t="s">
        <v>138</v>
      </c>
      <c r="B17" s="40">
        <f>B16/B13</f>
        <v>2.0000000000000001E-4</v>
      </c>
    </row>
    <row r="18" spans="1:5" ht="15" thickBot="1" x14ac:dyDescent="0.35">
      <c r="A18" s="1" t="s">
        <v>145</v>
      </c>
      <c r="B18" s="39">
        <v>3600</v>
      </c>
      <c r="C18" s="1" t="s">
        <v>146</v>
      </c>
      <c r="D18" s="1"/>
      <c r="E18" s="1"/>
    </row>
    <row r="19" spans="1:5" ht="15" thickBot="1" x14ac:dyDescent="0.35">
      <c r="A19" s="1" t="s">
        <v>147</v>
      </c>
      <c r="B19" s="44">
        <f>2/1</f>
        <v>2</v>
      </c>
      <c r="C19" s="1" t="s">
        <v>16</v>
      </c>
      <c r="D19" s="1"/>
      <c r="E19" s="1"/>
    </row>
    <row r="20" spans="1:5" ht="15" thickBot="1" x14ac:dyDescent="0.35">
      <c r="A20" s="1" t="s">
        <v>161</v>
      </c>
      <c r="B20" s="43">
        <f>Feuil1!AN33</f>
        <v>1.497584541062802E-7</v>
      </c>
      <c r="C20" s="1" t="s">
        <v>16</v>
      </c>
      <c r="D20" s="1"/>
      <c r="E20" s="1"/>
    </row>
    <row r="21" spans="1:5" x14ac:dyDescent="0.3">
      <c r="A21" s="1" t="s">
        <v>162</v>
      </c>
      <c r="B21" s="7">
        <v>0.5</v>
      </c>
      <c r="C21" s="1" t="s">
        <v>16</v>
      </c>
      <c r="D21" s="1" t="s">
        <v>168</v>
      </c>
      <c r="E21" s="1"/>
    </row>
    <row r="22" spans="1:5" s="1" customFormat="1" x14ac:dyDescent="0.3">
      <c r="A22" s="42" t="s">
        <v>169</v>
      </c>
      <c r="B22" s="7">
        <f>B20+B21*B17</f>
        <v>1.0014975845410629E-4</v>
      </c>
    </row>
    <row r="23" spans="1:5" x14ac:dyDescent="0.3">
      <c r="A23" s="46" t="s">
        <v>148</v>
      </c>
      <c r="B23" s="47">
        <f>B19*B19/2</f>
        <v>2</v>
      </c>
      <c r="C23" s="46" t="s">
        <v>149</v>
      </c>
      <c r="D23" s="1"/>
      <c r="E23" s="1"/>
    </row>
    <row r="24" spans="1:5" x14ac:dyDescent="0.3">
      <c r="A24" s="46" t="s">
        <v>150</v>
      </c>
      <c r="B24" s="47">
        <f>B23*B13</f>
        <v>0.5</v>
      </c>
      <c r="C24" s="46" t="s">
        <v>151</v>
      </c>
      <c r="D24" s="1"/>
      <c r="E24" s="1"/>
    </row>
    <row r="25" spans="1:5" x14ac:dyDescent="0.3">
      <c r="A25" s="46" t="s">
        <v>152</v>
      </c>
      <c r="B25" s="46">
        <f>B14*B18</f>
        <v>0.36000000000000004</v>
      </c>
      <c r="C25" s="46" t="s">
        <v>107</v>
      </c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 t="s">
        <v>11</v>
      </c>
      <c r="B27" s="1">
        <f>B17*B18/B19</f>
        <v>0.36000000000000004</v>
      </c>
      <c r="C27" s="41" t="s">
        <v>153</v>
      </c>
      <c r="D27" s="1" t="s">
        <v>154</v>
      </c>
      <c r="E27" s="1"/>
    </row>
    <row r="28" spans="1:5" x14ac:dyDescent="0.3">
      <c r="A28" s="1" t="s">
        <v>10</v>
      </c>
      <c r="B28" s="1">
        <f>B22*B18/(B19*B19)</f>
        <v>9.013478260869566E-2</v>
      </c>
      <c r="C28" s="41" t="s">
        <v>155</v>
      </c>
      <c r="D28" s="1" t="s">
        <v>156</v>
      </c>
      <c r="E28" s="1"/>
    </row>
    <row r="29" spans="1:5" x14ac:dyDescent="0.3">
      <c r="A29" s="1" t="s">
        <v>80</v>
      </c>
      <c r="B29" s="7">
        <f>B17*B19/B22</f>
        <v>3.9940186194587812</v>
      </c>
      <c r="C29" s="7">
        <f>B19/B21</f>
        <v>4</v>
      </c>
      <c r="D29" s="1" t="s">
        <v>157</v>
      </c>
      <c r="E29" s="1" t="s">
        <v>158</v>
      </c>
    </row>
    <row r="30" spans="1:5" x14ac:dyDescent="0.3">
      <c r="A30" s="1"/>
      <c r="B30" s="1"/>
      <c r="C30" s="1"/>
      <c r="D30" s="1" t="s">
        <v>159</v>
      </c>
      <c r="E30" s="1" t="s">
        <v>160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2020-01-26T08:26:45Z</dcterms:created>
  <dcterms:modified xsi:type="dcterms:W3CDTF">2020-02-04T17:20:13Z</dcterms:modified>
</cp:coreProperties>
</file>