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BRET\"/>
    </mc:Choice>
  </mc:AlternateContent>
  <xr:revisionPtr revIDLastSave="0" documentId="13_ncr:1_{3F7C5600-0207-4909-A6E0-0054246B4285}" xr6:coauthVersionLast="47" xr6:coauthVersionMax="47" xr10:uidLastSave="{00000000-0000-0000-0000-000000000000}"/>
  <bookViews>
    <workbookView xWindow="20280" yWindow="-105" windowWidth="20730" windowHeight="11160" tabRatio="946" activeTab="2" xr2:uid="{D15E5CCF-CB03-420E-8B85-5CA33656A69F}"/>
  </bookViews>
  <sheets>
    <sheet name="LAWTONKA POLICY" sheetId="5" r:id="rId1"/>
    <sheet name="LAWTONKA-CUSTOM" sheetId="1" r:id="rId2"/>
    <sheet name="LAWTONKA DISCHARGE RATES" sheetId="3" r:id="rId3"/>
    <sheet name="ELLSWORTH POLICY" sheetId="6" r:id="rId4"/>
    <sheet name="ELLSWORTH-CUSTOM" sheetId="2" r:id="rId5"/>
    <sheet name="ELLSWORTH DISCHARGE RATES" sheetId="4" r:id="rId6"/>
  </sheets>
  <definedNames>
    <definedName name="_xlnm.Print_Area" localSheetId="4">'ELLSWORTH-CUSTOM'!$A$1:$O$37</definedName>
    <definedName name="_xlnm.Print_Area" localSheetId="1">'LAWTONKA-CUSTOM'!$A$1:$O$27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2" l="1"/>
  <c r="B35" i="2" s="1"/>
  <c r="F34" i="2"/>
  <c r="B34" i="2" s="1"/>
  <c r="F33" i="2"/>
  <c r="B33" i="2" s="1"/>
  <c r="F32" i="2"/>
  <c r="F31" i="2"/>
  <c r="B31" i="2" s="1"/>
  <c r="F30" i="2"/>
  <c r="B30" i="2" s="1"/>
  <c r="F29" i="2"/>
  <c r="B29" i="2" s="1"/>
  <c r="F28" i="2"/>
  <c r="B28" i="2" s="1"/>
  <c r="F27" i="2"/>
  <c r="B27" i="2" s="1"/>
  <c r="F26" i="2"/>
  <c r="B26" i="2" s="1"/>
  <c r="F25" i="2"/>
  <c r="B25" i="2" s="1"/>
  <c r="F24" i="2"/>
  <c r="F23" i="2"/>
  <c r="F22" i="2"/>
  <c r="B22" i="2" s="1"/>
  <c r="C22" i="2"/>
  <c r="D22" i="2" s="1"/>
  <c r="E22" i="2" s="1"/>
  <c r="C23" i="2"/>
  <c r="D23" i="2" s="1"/>
  <c r="C24" i="2"/>
  <c r="D24" i="2" s="1"/>
  <c r="C25" i="2"/>
  <c r="D25" i="2" s="1"/>
  <c r="C26" i="2"/>
  <c r="D26" i="2" s="1"/>
  <c r="C27" i="2"/>
  <c r="D27" i="2" s="1"/>
  <c r="C28" i="2"/>
  <c r="D28" i="2" s="1"/>
  <c r="C29" i="2"/>
  <c r="D29" i="2" s="1"/>
  <c r="C30" i="2"/>
  <c r="D30" i="2" s="1"/>
  <c r="C31" i="2"/>
  <c r="D31" i="2" s="1"/>
  <c r="C32" i="2"/>
  <c r="D32" i="2" s="1"/>
  <c r="C33" i="2"/>
  <c r="D33" i="2" s="1"/>
  <c r="C34" i="2"/>
  <c r="D34" i="2" s="1"/>
  <c r="C35" i="2"/>
  <c r="D35" i="2" s="1"/>
  <c r="F21" i="2"/>
  <c r="B21" i="2" s="1"/>
  <c r="C21" i="2"/>
  <c r="F25" i="1"/>
  <c r="F24" i="1"/>
  <c r="F23" i="1"/>
  <c r="F22" i="1"/>
  <c r="B22" i="1" s="1"/>
  <c r="F21" i="1"/>
  <c r="B21" i="1" s="1"/>
  <c r="F20" i="1"/>
  <c r="F19" i="1"/>
  <c r="B23" i="1"/>
  <c r="C21" i="1"/>
  <c r="D21" i="1" s="1"/>
  <c r="C22" i="1"/>
  <c r="D22" i="1" s="1"/>
  <c r="G22" i="1" s="1"/>
  <c r="C23" i="1"/>
  <c r="D23" i="1" s="1"/>
  <c r="G23" i="1" s="1"/>
  <c r="C24" i="1"/>
  <c r="D24" i="1" s="1"/>
  <c r="C25" i="1"/>
  <c r="D25" i="1" s="1"/>
  <c r="C20" i="1"/>
  <c r="D20" i="1" s="1"/>
  <c r="C19" i="1"/>
  <c r="D19" i="1" s="1"/>
  <c r="F18" i="1"/>
  <c r="C18" i="1"/>
  <c r="C34" i="4"/>
  <c r="A34" i="4"/>
  <c r="C33" i="4"/>
  <c r="A33" i="4"/>
  <c r="C32" i="4"/>
  <c r="A32" i="4"/>
  <c r="C31" i="4"/>
  <c r="A31" i="4"/>
  <c r="C30" i="4"/>
  <c r="A30" i="4"/>
  <c r="C29" i="4"/>
  <c r="A29" i="4"/>
  <c r="C28" i="4"/>
  <c r="A28" i="4"/>
  <c r="C27" i="4"/>
  <c r="A27" i="4"/>
  <c r="C26" i="4"/>
  <c r="A26" i="4"/>
  <c r="C25" i="4"/>
  <c r="A25" i="4"/>
  <c r="C24" i="4"/>
  <c r="A24" i="4"/>
  <c r="C23" i="4"/>
  <c r="A23" i="4"/>
  <c r="C22" i="4"/>
  <c r="A22" i="4"/>
  <c r="C21" i="4"/>
  <c r="A21" i="4"/>
  <c r="C20" i="4"/>
  <c r="A20" i="4"/>
  <c r="C19" i="4"/>
  <c r="A19" i="4"/>
  <c r="C18" i="4"/>
  <c r="A18" i="4"/>
  <c r="C17" i="4"/>
  <c r="A17" i="4"/>
  <c r="C16" i="4"/>
  <c r="A16" i="4"/>
  <c r="C15" i="4"/>
  <c r="A15" i="4"/>
  <c r="C72" i="3"/>
  <c r="A72" i="3"/>
  <c r="F71" i="3"/>
  <c r="D71" i="3"/>
  <c r="C71" i="3"/>
  <c r="H71" i="3" s="1"/>
  <c r="J71" i="3" s="1"/>
  <c r="A71" i="3"/>
  <c r="H70" i="3"/>
  <c r="J70" i="3" s="1"/>
  <c r="F70" i="3"/>
  <c r="D70" i="3"/>
  <c r="C70" i="3"/>
  <c r="A70" i="3"/>
  <c r="H69" i="3"/>
  <c r="J69" i="3" s="1"/>
  <c r="F69" i="3"/>
  <c r="D69" i="3"/>
  <c r="C69" i="3"/>
  <c r="A69" i="3"/>
  <c r="E68" i="3"/>
  <c r="C68" i="3"/>
  <c r="F68" i="3" s="1"/>
  <c r="A68" i="3"/>
  <c r="E67" i="3"/>
  <c r="F67" i="3" s="1"/>
  <c r="C67" i="3"/>
  <c r="A67" i="3"/>
  <c r="E66" i="3"/>
  <c r="A66" i="3" s="1"/>
  <c r="D66" i="3"/>
  <c r="C66" i="3"/>
  <c r="H66" i="3" s="1"/>
  <c r="J66" i="3" s="1"/>
  <c r="F65" i="3"/>
  <c r="E65" i="3"/>
  <c r="D65" i="3" s="1"/>
  <c r="H65" i="3" s="1"/>
  <c r="J65" i="3" s="1"/>
  <c r="C65" i="3"/>
  <c r="E64" i="3"/>
  <c r="C64" i="3"/>
  <c r="F64" i="3" s="1"/>
  <c r="A64" i="3"/>
  <c r="E63" i="3"/>
  <c r="F63" i="3" s="1"/>
  <c r="C63" i="3"/>
  <c r="A63" i="3"/>
  <c r="C62" i="3"/>
  <c r="A62" i="3"/>
  <c r="E61" i="3"/>
  <c r="D61" i="3" s="1"/>
  <c r="H61" i="3" s="1"/>
  <c r="J61" i="3" s="1"/>
  <c r="C61" i="3"/>
  <c r="F60" i="3"/>
  <c r="E60" i="3"/>
  <c r="C60" i="3"/>
  <c r="D60" i="3" s="1"/>
  <c r="H60" i="3" s="1"/>
  <c r="J60" i="3" s="1"/>
  <c r="A60" i="3"/>
  <c r="C59" i="3"/>
  <c r="A59" i="3"/>
  <c r="E58" i="3"/>
  <c r="F58" i="3" s="1"/>
  <c r="C58" i="3"/>
  <c r="A58" i="3"/>
  <c r="E57" i="3"/>
  <c r="A57" i="3" s="1"/>
  <c r="D57" i="3"/>
  <c r="C57" i="3"/>
  <c r="H57" i="3" s="1"/>
  <c r="J57" i="3" s="1"/>
  <c r="F56" i="3"/>
  <c r="E56" i="3"/>
  <c r="D56" i="3" s="1"/>
  <c r="H56" i="3" s="1"/>
  <c r="J56" i="3" s="1"/>
  <c r="C56" i="3"/>
  <c r="E55" i="3"/>
  <c r="F55" i="3" s="1"/>
  <c r="C55" i="3"/>
  <c r="A55" i="3"/>
  <c r="E54" i="3"/>
  <c r="F54" i="3" s="1"/>
  <c r="C54" i="3"/>
  <c r="A54" i="3"/>
  <c r="E53" i="3"/>
  <c r="A53" i="3" s="1"/>
  <c r="D53" i="3"/>
  <c r="C53" i="3"/>
  <c r="H53" i="3" s="1"/>
  <c r="J53" i="3" s="1"/>
  <c r="H52" i="3"/>
  <c r="J52" i="3" s="1"/>
  <c r="F52" i="3"/>
  <c r="D52" i="3"/>
  <c r="C52" i="3"/>
  <c r="A52" i="3"/>
  <c r="F51" i="3"/>
  <c r="E51" i="3"/>
  <c r="C51" i="3"/>
  <c r="D51" i="3" s="1"/>
  <c r="H51" i="3" s="1"/>
  <c r="J51" i="3" s="1"/>
  <c r="A51" i="3"/>
  <c r="E50" i="3"/>
  <c r="F50" i="3" s="1"/>
  <c r="D50" i="3"/>
  <c r="C50" i="3"/>
  <c r="H50" i="3" s="1"/>
  <c r="J50" i="3" s="1"/>
  <c r="A50" i="3"/>
  <c r="G49" i="3"/>
  <c r="H49" i="3" s="1"/>
  <c r="J49" i="3" s="1"/>
  <c r="E49" i="3"/>
  <c r="A49" i="3" s="1"/>
  <c r="D49" i="3"/>
  <c r="C49" i="3"/>
  <c r="F48" i="3"/>
  <c r="E48" i="3"/>
  <c r="A48" i="3" s="1"/>
  <c r="C48" i="3"/>
  <c r="D48" i="3" s="1"/>
  <c r="H48" i="3" s="1"/>
  <c r="J48" i="3" s="1"/>
  <c r="E47" i="3"/>
  <c r="C47" i="3"/>
  <c r="A47" i="3"/>
  <c r="E46" i="3"/>
  <c r="F47" i="3" s="1"/>
  <c r="C46" i="3"/>
  <c r="A46" i="3"/>
  <c r="E45" i="3"/>
  <c r="A45" i="3" s="1"/>
  <c r="D45" i="3"/>
  <c r="H45" i="3" s="1"/>
  <c r="J45" i="3" s="1"/>
  <c r="C45" i="3"/>
  <c r="F44" i="3"/>
  <c r="E44" i="3"/>
  <c r="A44" i="3" s="1"/>
  <c r="C44" i="3"/>
  <c r="D44" i="3" s="1"/>
  <c r="H44" i="3" s="1"/>
  <c r="J44" i="3" s="1"/>
  <c r="E43" i="3"/>
  <c r="C43" i="3"/>
  <c r="A43" i="3"/>
  <c r="E42" i="3"/>
  <c r="F43" i="3" s="1"/>
  <c r="C42" i="3"/>
  <c r="A42" i="3"/>
  <c r="G41" i="3"/>
  <c r="F41" i="3"/>
  <c r="E41" i="3"/>
  <c r="D41" i="3" s="1"/>
  <c r="H41" i="3" s="1"/>
  <c r="J41" i="3" s="1"/>
  <c r="C41" i="3"/>
  <c r="G40" i="3"/>
  <c r="E40" i="3"/>
  <c r="F40" i="3" s="1"/>
  <c r="C40" i="3"/>
  <c r="D40" i="3" s="1"/>
  <c r="H40" i="3" s="1"/>
  <c r="J40" i="3" s="1"/>
  <c r="A40" i="3"/>
  <c r="E39" i="3"/>
  <c r="F39" i="3" s="1"/>
  <c r="C39" i="3"/>
  <c r="A39" i="3"/>
  <c r="E38" i="3"/>
  <c r="A38" i="3" s="1"/>
  <c r="D38" i="3"/>
  <c r="H38" i="3" s="1"/>
  <c r="J38" i="3" s="1"/>
  <c r="C38" i="3"/>
  <c r="F37" i="3"/>
  <c r="E37" i="3"/>
  <c r="A37" i="3" s="1"/>
  <c r="C37" i="3"/>
  <c r="D37" i="3" s="1"/>
  <c r="H37" i="3" s="1"/>
  <c r="J37" i="3" s="1"/>
  <c r="E36" i="3"/>
  <c r="F36" i="3" s="1"/>
  <c r="C36" i="3"/>
  <c r="A36" i="3"/>
  <c r="E35" i="3"/>
  <c r="F35" i="3" s="1"/>
  <c r="C35" i="3"/>
  <c r="A35" i="3"/>
  <c r="E34" i="3"/>
  <c r="A34" i="3" s="1"/>
  <c r="D34" i="3"/>
  <c r="H34" i="3" s="1"/>
  <c r="J34" i="3" s="1"/>
  <c r="C34" i="3"/>
  <c r="E33" i="3"/>
  <c r="C33" i="3"/>
  <c r="F33" i="3" s="1"/>
  <c r="A33" i="3"/>
  <c r="R32" i="3"/>
  <c r="E32" i="3"/>
  <c r="F32" i="3" s="1"/>
  <c r="C32" i="3"/>
  <c r="A32" i="3"/>
  <c r="E31" i="3"/>
  <c r="A31" i="3" s="1"/>
  <c r="D31" i="3"/>
  <c r="H31" i="3" s="1"/>
  <c r="J31" i="3" s="1"/>
  <c r="C31" i="3"/>
  <c r="F30" i="3"/>
  <c r="E30" i="3"/>
  <c r="C30" i="3"/>
  <c r="D30" i="3" s="1"/>
  <c r="H30" i="3" s="1"/>
  <c r="J30" i="3" s="1"/>
  <c r="A30" i="3"/>
  <c r="C29" i="3"/>
  <c r="A29" i="3"/>
  <c r="R33" i="3" s="1"/>
  <c r="E28" i="3"/>
  <c r="F28" i="3" s="1"/>
  <c r="D28" i="3"/>
  <c r="C28" i="3"/>
  <c r="H28" i="3" s="1"/>
  <c r="J28" i="3" s="1"/>
  <c r="A28" i="3"/>
  <c r="E27" i="3"/>
  <c r="C27" i="3"/>
  <c r="D27" i="3" s="1"/>
  <c r="A27" i="3"/>
  <c r="E26" i="3"/>
  <c r="F26" i="3" s="1"/>
  <c r="C26" i="3"/>
  <c r="D26" i="3" s="1"/>
  <c r="A26" i="3"/>
  <c r="C25" i="3"/>
  <c r="F25" i="3" s="1"/>
  <c r="P24" i="3"/>
  <c r="C24" i="3"/>
  <c r="A24" i="3"/>
  <c r="P23" i="3"/>
  <c r="D23" i="3"/>
  <c r="C23" i="3"/>
  <c r="H23" i="3" s="1"/>
  <c r="J23" i="3" s="1"/>
  <c r="A23" i="3"/>
  <c r="D22" i="3"/>
  <c r="C22" i="3"/>
  <c r="H22" i="3" s="1"/>
  <c r="J22" i="3" s="1"/>
  <c r="K22" i="3" s="1"/>
  <c r="L22" i="3" s="1"/>
  <c r="A22" i="3"/>
  <c r="D21" i="3"/>
  <c r="C21" i="3"/>
  <c r="H21" i="3" s="1"/>
  <c r="J21" i="3" s="1"/>
  <c r="K21" i="3" s="1"/>
  <c r="L21" i="3" s="1"/>
  <c r="A21" i="3"/>
  <c r="D20" i="3"/>
  <c r="C20" i="3"/>
  <c r="H20" i="3" s="1"/>
  <c r="J20" i="3" s="1"/>
  <c r="K20" i="3" s="1"/>
  <c r="L20" i="3" s="1"/>
  <c r="A20" i="3"/>
  <c r="D19" i="3"/>
  <c r="C19" i="3"/>
  <c r="H19" i="3" s="1"/>
  <c r="J19" i="3" s="1"/>
  <c r="K19" i="3" s="1"/>
  <c r="L19" i="3" s="1"/>
  <c r="A19" i="3"/>
  <c r="N18" i="3"/>
  <c r="C18" i="3"/>
  <c r="A18" i="3"/>
  <c r="C17" i="3"/>
  <c r="D17" i="3" s="1"/>
  <c r="A17" i="3"/>
  <c r="N17" i="3" s="1"/>
  <c r="F16" i="3"/>
  <c r="D16" i="3"/>
  <c r="C16" i="3"/>
  <c r="H16" i="3" s="1"/>
  <c r="J16" i="3" s="1"/>
  <c r="K16" i="3" s="1"/>
  <c r="L16" i="3" s="1"/>
  <c r="A16" i="3"/>
  <c r="N16" i="3" s="1"/>
  <c r="H15" i="3"/>
  <c r="J15" i="3" s="1"/>
  <c r="K15" i="3" s="1"/>
  <c r="L15" i="3" s="1"/>
  <c r="F15" i="3"/>
  <c r="D15" i="3"/>
  <c r="C15" i="3"/>
  <c r="A15" i="3"/>
  <c r="N15" i="3" s="1"/>
  <c r="D21" i="2"/>
  <c r="G24" i="2" l="1"/>
  <c r="G32" i="2"/>
  <c r="G22" i="2"/>
  <c r="B32" i="2"/>
  <c r="E28" i="2"/>
  <c r="I28" i="2" s="1"/>
  <c r="K28" i="2" s="1"/>
  <c r="L28" i="2" s="1"/>
  <c r="O28" i="2" s="1"/>
  <c r="B24" i="2"/>
  <c r="G34" i="2"/>
  <c r="E34" i="2"/>
  <c r="I34" i="2" s="1"/>
  <c r="K34" i="2" s="1"/>
  <c r="L34" i="2" s="1"/>
  <c r="E26" i="2"/>
  <c r="I26" i="2" s="1"/>
  <c r="K26" i="2" s="1"/>
  <c r="L26" i="2" s="1"/>
  <c r="G26" i="2"/>
  <c r="G33" i="2"/>
  <c r="E33" i="2"/>
  <c r="I33" i="2" s="1"/>
  <c r="K33" i="2" s="1"/>
  <c r="L33" i="2" s="1"/>
  <c r="E25" i="2"/>
  <c r="I25" i="2" s="1"/>
  <c r="K25" i="2" s="1"/>
  <c r="L25" i="2" s="1"/>
  <c r="G25" i="2"/>
  <c r="E32" i="2"/>
  <c r="I32" i="2" s="1"/>
  <c r="K32" i="2" s="1"/>
  <c r="L32" i="2" s="1"/>
  <c r="E24" i="2"/>
  <c r="I24" i="2" s="1"/>
  <c r="K24" i="2" s="1"/>
  <c r="L24" i="2" s="1"/>
  <c r="E31" i="2"/>
  <c r="I31" i="2" s="1"/>
  <c r="K31" i="2" s="1"/>
  <c r="L31" i="2" s="1"/>
  <c r="E23" i="2"/>
  <c r="I23" i="2" s="1"/>
  <c r="K23" i="2" s="1"/>
  <c r="L23" i="2" s="1"/>
  <c r="E30" i="2"/>
  <c r="I30" i="2" s="1"/>
  <c r="K30" i="2" s="1"/>
  <c r="L30" i="2" s="1"/>
  <c r="E29" i="2"/>
  <c r="I29" i="2" s="1"/>
  <c r="K29" i="2" s="1"/>
  <c r="L29" i="2" s="1"/>
  <c r="G23" i="2"/>
  <c r="B23" i="2"/>
  <c r="G27" i="2"/>
  <c r="G35" i="2"/>
  <c r="I22" i="2"/>
  <c r="G28" i="2"/>
  <c r="G29" i="2"/>
  <c r="E27" i="2"/>
  <c r="I27" i="2" s="1"/>
  <c r="K27" i="2" s="1"/>
  <c r="L27" i="2" s="1"/>
  <c r="E35" i="2"/>
  <c r="I35" i="2" s="1"/>
  <c r="K35" i="2" s="1"/>
  <c r="L35" i="2" s="1"/>
  <c r="G30" i="2"/>
  <c r="G31" i="2"/>
  <c r="G19" i="1"/>
  <c r="E24" i="1"/>
  <c r="I24" i="1" s="1"/>
  <c r="K24" i="1" s="1"/>
  <c r="L24" i="1" s="1"/>
  <c r="O24" i="1" s="1"/>
  <c r="B19" i="1"/>
  <c r="E25" i="1"/>
  <c r="I25" i="1" s="1"/>
  <c r="K25" i="1" s="1"/>
  <c r="L25" i="1" s="1"/>
  <c r="O25" i="1" s="1"/>
  <c r="E19" i="1"/>
  <c r="I19" i="1" s="1"/>
  <c r="K19" i="1" s="1"/>
  <c r="L19" i="1" s="1"/>
  <c r="E20" i="1"/>
  <c r="I20" i="1" s="1"/>
  <c r="K20" i="1" s="1"/>
  <c r="L20" i="1" s="1"/>
  <c r="G24" i="1"/>
  <c r="E23" i="1"/>
  <c r="I23" i="1" s="1"/>
  <c r="K23" i="1" s="1"/>
  <c r="L23" i="1" s="1"/>
  <c r="M23" i="1" s="1"/>
  <c r="B25" i="1"/>
  <c r="B24" i="1"/>
  <c r="G21" i="1"/>
  <c r="G20" i="1"/>
  <c r="G25" i="1"/>
  <c r="E21" i="1"/>
  <c r="I21" i="1" s="1"/>
  <c r="K21" i="1" s="1"/>
  <c r="L21" i="1" s="1"/>
  <c r="B20" i="1"/>
  <c r="E22" i="1"/>
  <c r="I22" i="1" s="1"/>
  <c r="K22" i="1" s="1"/>
  <c r="L22" i="1" s="1"/>
  <c r="H19" i="4"/>
  <c r="J19" i="4" s="1"/>
  <c r="K19" i="4" s="1"/>
  <c r="L19" i="4" s="1"/>
  <c r="H27" i="4"/>
  <c r="J27" i="4" s="1"/>
  <c r="K27" i="4" s="1"/>
  <c r="L27" i="4" s="1"/>
  <c r="H20" i="4"/>
  <c r="J20" i="4" s="1"/>
  <c r="K20" i="4" s="1"/>
  <c r="L20" i="4" s="1"/>
  <c r="H24" i="4"/>
  <c r="J24" i="4" s="1"/>
  <c r="K24" i="4" s="1"/>
  <c r="L24" i="4" s="1"/>
  <c r="H29" i="4"/>
  <c r="J29" i="4" s="1"/>
  <c r="K29" i="4" s="1"/>
  <c r="L29" i="4" s="1"/>
  <c r="D15" i="4"/>
  <c r="H15" i="4" s="1"/>
  <c r="J15" i="4" s="1"/>
  <c r="K15" i="4" s="1"/>
  <c r="L15" i="4" s="1"/>
  <c r="D16" i="4"/>
  <c r="H16" i="4" s="1"/>
  <c r="J16" i="4" s="1"/>
  <c r="K16" i="4" s="1"/>
  <c r="L16" i="4" s="1"/>
  <c r="D17" i="4"/>
  <c r="H17" i="4" s="1"/>
  <c r="J17" i="4" s="1"/>
  <c r="K17" i="4" s="1"/>
  <c r="L17" i="4" s="1"/>
  <c r="D18" i="4"/>
  <c r="H18" i="4" s="1"/>
  <c r="J18" i="4" s="1"/>
  <c r="K18" i="4" s="1"/>
  <c r="L18" i="4" s="1"/>
  <c r="D19" i="4"/>
  <c r="D20" i="4"/>
  <c r="D21" i="4"/>
  <c r="H21" i="4" s="1"/>
  <c r="J21" i="4" s="1"/>
  <c r="K21" i="4" s="1"/>
  <c r="L21" i="4" s="1"/>
  <c r="D22" i="4"/>
  <c r="H22" i="4" s="1"/>
  <c r="J22" i="4" s="1"/>
  <c r="K22" i="4" s="1"/>
  <c r="L22" i="4" s="1"/>
  <c r="D23" i="4"/>
  <c r="H23" i="4" s="1"/>
  <c r="J23" i="4" s="1"/>
  <c r="K23" i="4" s="1"/>
  <c r="L23" i="4" s="1"/>
  <c r="D24" i="4"/>
  <c r="D25" i="4"/>
  <c r="H25" i="4" s="1"/>
  <c r="J25" i="4" s="1"/>
  <c r="K25" i="4" s="1"/>
  <c r="L25" i="4" s="1"/>
  <c r="D26" i="4"/>
  <c r="H26" i="4" s="1"/>
  <c r="J26" i="4" s="1"/>
  <c r="K26" i="4" s="1"/>
  <c r="L26" i="4" s="1"/>
  <c r="D27" i="4"/>
  <c r="D28" i="4"/>
  <c r="H28" i="4" s="1"/>
  <c r="J28" i="4" s="1"/>
  <c r="K28" i="4" s="1"/>
  <c r="L28" i="4" s="1"/>
  <c r="D29" i="4"/>
  <c r="D30" i="4"/>
  <c r="H30" i="4" s="1"/>
  <c r="J30" i="4" s="1"/>
  <c r="K30" i="4" s="1"/>
  <c r="L30" i="4" s="1"/>
  <c r="D31" i="4"/>
  <c r="H31" i="4" s="1"/>
  <c r="J31" i="4" s="1"/>
  <c r="K31" i="4" s="1"/>
  <c r="L31" i="4" s="1"/>
  <c r="D32" i="4"/>
  <c r="H32" i="4" s="1"/>
  <c r="J32" i="4" s="1"/>
  <c r="K32" i="4" s="1"/>
  <c r="L32" i="4" s="1"/>
  <c r="D33" i="4"/>
  <c r="H33" i="4" s="1"/>
  <c r="J33" i="4" s="1"/>
  <c r="K33" i="4" s="1"/>
  <c r="L33" i="4" s="1"/>
  <c r="D34" i="4"/>
  <c r="H34" i="4" s="1"/>
  <c r="J34" i="4" s="1"/>
  <c r="K34" i="4" s="1"/>
  <c r="L34" i="4" s="1"/>
  <c r="F15" i="4"/>
  <c r="F16" i="4"/>
  <c r="F17" i="4"/>
  <c r="F18" i="4"/>
  <c r="F19" i="4"/>
  <c r="F20" i="4"/>
  <c r="F21" i="4"/>
  <c r="F22" i="4"/>
  <c r="F23" i="4"/>
  <c r="F24" i="4"/>
  <c r="F25" i="4"/>
  <c r="F26" i="4"/>
  <c r="F27" i="4"/>
  <c r="F28" i="4"/>
  <c r="F29" i="4"/>
  <c r="F30" i="4"/>
  <c r="F31" i="4"/>
  <c r="F32" i="4"/>
  <c r="F33" i="4"/>
  <c r="F34" i="4"/>
  <c r="M31" i="3"/>
  <c r="K31" i="3"/>
  <c r="L31" i="3" s="1"/>
  <c r="M41" i="3"/>
  <c r="K41" i="3"/>
  <c r="L41" i="3" s="1"/>
  <c r="H46" i="3"/>
  <c r="J46" i="3" s="1"/>
  <c r="M52" i="3"/>
  <c r="K52" i="3"/>
  <c r="L52" i="3" s="1"/>
  <c r="M70" i="3"/>
  <c r="K70" i="3"/>
  <c r="L70" i="3" s="1"/>
  <c r="M37" i="3"/>
  <c r="K37" i="3"/>
  <c r="L37" i="3" s="1"/>
  <c r="M61" i="3"/>
  <c r="K61" i="3"/>
  <c r="L61" i="3" s="1"/>
  <c r="H67" i="3"/>
  <c r="J67" i="3" s="1"/>
  <c r="M71" i="3"/>
  <c r="K71" i="3"/>
  <c r="L71" i="3" s="1"/>
  <c r="K49" i="3"/>
  <c r="L49" i="3" s="1"/>
  <c r="M49" i="3"/>
  <c r="M56" i="3"/>
  <c r="K56" i="3"/>
  <c r="L56" i="3" s="1"/>
  <c r="M69" i="3"/>
  <c r="K69" i="3"/>
  <c r="L69" i="3" s="1"/>
  <c r="M44" i="3"/>
  <c r="K44" i="3"/>
  <c r="L44" i="3" s="1"/>
  <c r="M34" i="3"/>
  <c r="K34" i="3"/>
  <c r="L34" i="3" s="1"/>
  <c r="M40" i="3"/>
  <c r="K40" i="3"/>
  <c r="L40" i="3" s="1"/>
  <c r="M65" i="3"/>
  <c r="K65" i="3"/>
  <c r="L65" i="3" s="1"/>
  <c r="K23" i="3"/>
  <c r="L23" i="3" s="1"/>
  <c r="M23" i="3"/>
  <c r="M51" i="3"/>
  <c r="K51" i="3"/>
  <c r="L51" i="3" s="1"/>
  <c r="M45" i="3"/>
  <c r="K45" i="3"/>
  <c r="L45" i="3" s="1"/>
  <c r="M48" i="3"/>
  <c r="K48" i="3"/>
  <c r="L48" i="3" s="1"/>
  <c r="M50" i="3"/>
  <c r="K50" i="3"/>
  <c r="L50" i="3" s="1"/>
  <c r="M57" i="3"/>
  <c r="K57" i="3"/>
  <c r="L57" i="3" s="1"/>
  <c r="H43" i="3"/>
  <c r="J43" i="3" s="1"/>
  <c r="H18" i="3"/>
  <c r="J18" i="3" s="1"/>
  <c r="K18" i="3" s="1"/>
  <c r="L18" i="3" s="1"/>
  <c r="H39" i="3"/>
  <c r="J39" i="3" s="1"/>
  <c r="M53" i="3"/>
  <c r="K53" i="3"/>
  <c r="L53" i="3" s="1"/>
  <c r="M30" i="3"/>
  <c r="K30" i="3"/>
  <c r="L30" i="3" s="1"/>
  <c r="M28" i="3"/>
  <c r="K28" i="3"/>
  <c r="L28" i="3" s="1"/>
  <c r="M38" i="3"/>
  <c r="K38" i="3"/>
  <c r="L38" i="3" s="1"/>
  <c r="M60" i="3"/>
  <c r="K60" i="3"/>
  <c r="L60" i="3" s="1"/>
  <c r="H63" i="3"/>
  <c r="J63" i="3" s="1"/>
  <c r="M66" i="3"/>
  <c r="K66" i="3"/>
  <c r="L66" i="3" s="1"/>
  <c r="D72" i="3"/>
  <c r="H72" i="3" s="1"/>
  <c r="J72" i="3" s="1"/>
  <c r="F17" i="3"/>
  <c r="D18" i="3"/>
  <c r="H26" i="3"/>
  <c r="J26" i="3" s="1"/>
  <c r="F31" i="3"/>
  <c r="D32" i="3"/>
  <c r="H32" i="3" s="1"/>
  <c r="J32" i="3" s="1"/>
  <c r="F34" i="3"/>
  <c r="D35" i="3"/>
  <c r="H35" i="3" s="1"/>
  <c r="J35" i="3" s="1"/>
  <c r="F38" i="3"/>
  <c r="D39" i="3"/>
  <c r="D42" i="3"/>
  <c r="H42" i="3" s="1"/>
  <c r="J42" i="3" s="1"/>
  <c r="F45" i="3"/>
  <c r="D46" i="3"/>
  <c r="F49" i="3"/>
  <c r="F53" i="3"/>
  <c r="D54" i="3"/>
  <c r="H54" i="3" s="1"/>
  <c r="J54" i="3" s="1"/>
  <c r="F57" i="3"/>
  <c r="D58" i="3"/>
  <c r="H58" i="3" s="1"/>
  <c r="J58" i="3" s="1"/>
  <c r="F62" i="3"/>
  <c r="D63" i="3"/>
  <c r="F66" i="3"/>
  <c r="D67" i="3"/>
  <c r="F72" i="3"/>
  <c r="D62" i="3"/>
  <c r="H62" i="3" s="1"/>
  <c r="J62" i="3" s="1"/>
  <c r="H17" i="3"/>
  <c r="J17" i="3" s="1"/>
  <c r="K17" i="3" s="1"/>
  <c r="L17" i="3" s="1"/>
  <c r="F18" i="3"/>
  <c r="F27" i="3"/>
  <c r="F19" i="3"/>
  <c r="F20" i="3"/>
  <c r="F21" i="3"/>
  <c r="F22" i="3"/>
  <c r="F23" i="3"/>
  <c r="H27" i="3"/>
  <c r="J27" i="3" s="1"/>
  <c r="D36" i="3"/>
  <c r="H36" i="3" s="1"/>
  <c r="J36" i="3" s="1"/>
  <c r="F42" i="3"/>
  <c r="D43" i="3"/>
  <c r="F46" i="3"/>
  <c r="D47" i="3"/>
  <c r="H47" i="3" s="1"/>
  <c r="J47" i="3" s="1"/>
  <c r="D55" i="3"/>
  <c r="H55" i="3" s="1"/>
  <c r="J55" i="3" s="1"/>
  <c r="A56" i="3"/>
  <c r="D59" i="3"/>
  <c r="H59" i="3" s="1"/>
  <c r="J59" i="3" s="1"/>
  <c r="D64" i="3"/>
  <c r="H64" i="3" s="1"/>
  <c r="J64" i="3" s="1"/>
  <c r="A65" i="3"/>
  <c r="D68" i="3"/>
  <c r="H68" i="3" s="1"/>
  <c r="J68" i="3" s="1"/>
  <c r="F61" i="3"/>
  <c r="D24" i="3"/>
  <c r="H24" i="3" s="1"/>
  <c r="J24" i="3" s="1"/>
  <c r="D29" i="3"/>
  <c r="H29" i="3" s="1"/>
  <c r="J29" i="3" s="1"/>
  <c r="D33" i="3"/>
  <c r="H33" i="3" s="1"/>
  <c r="J33" i="3" s="1"/>
  <c r="A41" i="3"/>
  <c r="F59" i="3"/>
  <c r="A61" i="3"/>
  <c r="F24" i="3"/>
  <c r="D25" i="3"/>
  <c r="H25" i="3" s="1"/>
  <c r="J25" i="3" s="1"/>
  <c r="F29" i="3"/>
  <c r="E21" i="2"/>
  <c r="G21" i="2"/>
  <c r="M25" i="1" l="1"/>
  <c r="M28" i="2"/>
  <c r="K22" i="2"/>
  <c r="M31" i="2"/>
  <c r="O31" i="2"/>
  <c r="M25" i="2"/>
  <c r="O25" i="2"/>
  <c r="M32" i="2"/>
  <c r="O32" i="2"/>
  <c r="O26" i="2"/>
  <c r="M26" i="2"/>
  <c r="M30" i="2"/>
  <c r="O30" i="2"/>
  <c r="O34" i="2"/>
  <c r="M34" i="2"/>
  <c r="M23" i="2"/>
  <c r="O23" i="2"/>
  <c r="M24" i="2"/>
  <c r="O24" i="2"/>
  <c r="O35" i="2"/>
  <c r="M35" i="2"/>
  <c r="O27" i="2"/>
  <c r="M27" i="2"/>
  <c r="O29" i="2"/>
  <c r="M29" i="2"/>
  <c r="M33" i="2"/>
  <c r="O33" i="2"/>
  <c r="I21" i="2"/>
  <c r="K21" i="2" s="1"/>
  <c r="L21" i="2" s="1"/>
  <c r="O23" i="1"/>
  <c r="M19" i="1"/>
  <c r="O19" i="1"/>
  <c r="M20" i="1"/>
  <c r="O20" i="1"/>
  <c r="M24" i="1"/>
  <c r="O22" i="1"/>
  <c r="M22" i="1"/>
  <c r="O21" i="1"/>
  <c r="M21" i="1"/>
  <c r="K47" i="3"/>
  <c r="L47" i="3" s="1"/>
  <c r="M47" i="3"/>
  <c r="K24" i="3"/>
  <c r="L24" i="3" s="1"/>
  <c r="M24" i="3"/>
  <c r="K58" i="3"/>
  <c r="L58" i="3" s="1"/>
  <c r="M58" i="3"/>
  <c r="M72" i="3"/>
  <c r="K72" i="3"/>
  <c r="L72" i="3" s="1"/>
  <c r="K32" i="3"/>
  <c r="L32" i="3" s="1"/>
  <c r="M32" i="3"/>
  <c r="K42" i="3"/>
  <c r="L42" i="3" s="1"/>
  <c r="M42" i="3"/>
  <c r="K36" i="3"/>
  <c r="L36" i="3" s="1"/>
  <c r="M36" i="3"/>
  <c r="M62" i="3"/>
  <c r="K62" i="3"/>
  <c r="L62" i="3" s="1"/>
  <c r="K54" i="3"/>
  <c r="L54" i="3" s="1"/>
  <c r="M54" i="3"/>
  <c r="K35" i="3"/>
  <c r="L35" i="3" s="1"/>
  <c r="M35" i="3"/>
  <c r="K59" i="3"/>
  <c r="L59" i="3" s="1"/>
  <c r="M59" i="3"/>
  <c r="K29" i="3"/>
  <c r="L29" i="3" s="1"/>
  <c r="M29" i="3"/>
  <c r="M55" i="3"/>
  <c r="K55" i="3"/>
  <c r="L55" i="3" s="1"/>
  <c r="M33" i="3"/>
  <c r="K33" i="3"/>
  <c r="L33" i="3" s="1"/>
  <c r="K39" i="3"/>
  <c r="L39" i="3" s="1"/>
  <c r="M39" i="3"/>
  <c r="K43" i="3"/>
  <c r="L43" i="3" s="1"/>
  <c r="M43" i="3"/>
  <c r="K27" i="3"/>
  <c r="L27" i="3" s="1"/>
  <c r="M27" i="3"/>
  <c r="K63" i="3"/>
  <c r="L63" i="3" s="1"/>
  <c r="M63" i="3"/>
  <c r="K46" i="3"/>
  <c r="L46" i="3" s="1"/>
  <c r="M46" i="3"/>
  <c r="M25" i="3"/>
  <c r="K25" i="3"/>
  <c r="L25" i="3" s="1"/>
  <c r="K68" i="3"/>
  <c r="L68" i="3" s="1"/>
  <c r="M68" i="3"/>
  <c r="M26" i="3"/>
  <c r="K26" i="3"/>
  <c r="L26" i="3" s="1"/>
  <c r="K67" i="3"/>
  <c r="L67" i="3" s="1"/>
  <c r="M67" i="3"/>
  <c r="M64" i="3"/>
  <c r="K64" i="3"/>
  <c r="L64" i="3" s="1"/>
  <c r="B18" i="1"/>
  <c r="D18" i="1"/>
  <c r="E18" i="1" s="1"/>
  <c r="I36" i="2" l="1"/>
  <c r="L22" i="2"/>
  <c r="K36" i="2"/>
  <c r="L36" i="2" s="1"/>
  <c r="M36" i="2" s="1"/>
  <c r="M21" i="2"/>
  <c r="O21" i="2"/>
  <c r="G18" i="1"/>
  <c r="I18" i="1"/>
  <c r="I26" i="1" s="1"/>
  <c r="M22" i="2" l="1"/>
  <c r="O22" i="2"/>
  <c r="O36" i="2" s="1"/>
  <c r="K18" i="1"/>
  <c r="L18" i="1" l="1"/>
  <c r="K26" i="1"/>
  <c r="L26" i="1" s="1"/>
  <c r="M26" i="1" s="1"/>
  <c r="M18" i="1" l="1"/>
  <c r="O18" i="1"/>
  <c r="O26" i="1" s="1"/>
</calcChain>
</file>

<file path=xl/sharedStrings.xml><?xml version="1.0" encoding="utf-8"?>
<sst xmlns="http://schemas.openxmlformats.org/spreadsheetml/2006/main" count="246" uniqueCount="109">
  <si>
    <t>LAKE LAWTONKA DISCHARGE RATES</t>
  </si>
  <si>
    <t>SPILLWAY EL. =</t>
  </si>
  <si>
    <t>TOP OF GATE EL. =</t>
  </si>
  <si>
    <t>(CLOSED CONDITION)</t>
  </si>
  <si>
    <t>TOP OF DAM EL. =</t>
  </si>
  <si>
    <t>NORMAL POOL EL. =</t>
  </si>
  <si>
    <t>WHERE, WIDTH OF GATE, L =</t>
  </si>
  <si>
    <t>FT</t>
  </si>
  <si>
    <t>C = COEFFICIENT OF DISCHARGE FOR FLOW UNDER GATES</t>
  </si>
  <si>
    <t>TOP OF GATE EL.</t>
  </si>
  <si>
    <t>LAKE ELEVATION</t>
  </si>
  <si>
    <r>
      <t>H</t>
    </r>
    <r>
      <rPr>
        <b/>
        <vertAlign val="subscript"/>
        <sz val="10"/>
        <rFont val="Arial"/>
        <family val="2"/>
      </rPr>
      <t>1</t>
    </r>
  </si>
  <si>
    <r>
      <t>H</t>
    </r>
    <r>
      <rPr>
        <b/>
        <vertAlign val="subscript"/>
        <sz val="10"/>
        <rFont val="Arial"/>
        <family val="2"/>
      </rPr>
      <t>2</t>
    </r>
  </si>
  <si>
    <t>d</t>
  </si>
  <si>
    <r>
      <t>d/H</t>
    </r>
    <r>
      <rPr>
        <b/>
        <vertAlign val="subscript"/>
        <sz val="10"/>
        <rFont val="Arial"/>
        <family val="2"/>
      </rPr>
      <t>1</t>
    </r>
  </si>
  <si>
    <t>C</t>
  </si>
  <si>
    <t>Q (cfs)</t>
  </si>
  <si>
    <t>No. of Gates</t>
  </si>
  <si>
    <t>TOTAL</t>
  </si>
  <si>
    <t>Gallons</t>
  </si>
  <si>
    <t>Minutes</t>
  </si>
  <si>
    <t>Total</t>
  </si>
  <si>
    <t>(NGVD FT).</t>
  </si>
  <si>
    <t>(NGVD FT)</t>
  </si>
  <si>
    <t>(ft)</t>
  </si>
  <si>
    <t>1 GATE</t>
  </si>
  <si>
    <t>Open</t>
  </si>
  <si>
    <t>per Minute</t>
  </si>
  <si>
    <t>per Day</t>
  </si>
  <si>
    <t>DISCHARGE CALCULATOR FOR CUSTOM NUMBER OF GATES OPEN</t>
  </si>
  <si>
    <r>
      <t>FOR FLOW UNDER GATE : - Q = 2/3</t>
    </r>
    <r>
      <rPr>
        <sz val="12"/>
        <rFont val="Symath"/>
      </rPr>
      <t>S</t>
    </r>
    <r>
      <rPr>
        <sz val="12"/>
        <rFont val="Arial"/>
        <family val="2"/>
      </rPr>
      <t>(2g)CL(H</t>
    </r>
    <r>
      <rPr>
        <vertAlign val="subscript"/>
        <sz val="12"/>
        <rFont val="Arial"/>
        <family val="2"/>
      </rPr>
      <t>1</t>
    </r>
    <r>
      <rPr>
        <vertAlign val="superscript"/>
        <sz val="12"/>
        <rFont val="Arial"/>
        <family val="2"/>
      </rPr>
      <t xml:space="preserve">3/2 </t>
    </r>
    <r>
      <rPr>
        <sz val="12"/>
        <rFont val="Arial"/>
        <family val="2"/>
      </rPr>
      <t>- H</t>
    </r>
    <r>
      <rPr>
        <vertAlign val="subscript"/>
        <sz val="12"/>
        <rFont val="Arial"/>
        <family val="2"/>
      </rPr>
      <t>2</t>
    </r>
    <r>
      <rPr>
        <vertAlign val="superscript"/>
        <sz val="12"/>
        <rFont val="Arial"/>
        <family val="2"/>
      </rPr>
      <t>3/2</t>
    </r>
    <r>
      <rPr>
        <sz val="12"/>
        <rFont val="Arial"/>
        <family val="2"/>
      </rPr>
      <t>) [REFERENCE 'DESIGN OF SMALL DAMS' PAGE 386]</t>
    </r>
  </si>
  <si>
    <t>ENTER INFORMATION IN YELLOW CELLS</t>
  </si>
  <si>
    <t>LAKE ELLSWORTH DISCHARGE RATES</t>
  </si>
  <si>
    <r>
      <t>FOR FLOW UNDER GATE : - Q = 2/3</t>
    </r>
    <r>
      <rPr>
        <sz val="10"/>
        <rFont val="Symath"/>
      </rPr>
      <t>S</t>
    </r>
    <r>
      <rPr>
        <sz val="10"/>
        <rFont val="Arial"/>
        <family val="2"/>
      </rPr>
      <t>(2g)CL(H</t>
    </r>
    <r>
      <rPr>
        <vertAlign val="subscript"/>
        <sz val="10"/>
        <rFont val="Arial"/>
        <family val="2"/>
      </rPr>
      <t>1</t>
    </r>
    <r>
      <rPr>
        <vertAlign val="superscript"/>
        <sz val="10"/>
        <rFont val="Arial"/>
        <family val="2"/>
      </rPr>
      <t xml:space="preserve">3/2 </t>
    </r>
    <r>
      <rPr>
        <sz val="10"/>
        <rFont val="Arial"/>
        <family val="2"/>
      </rPr>
      <t>- H</t>
    </r>
    <r>
      <rPr>
        <vertAlign val="subscript"/>
        <sz val="10"/>
        <rFont val="Arial"/>
        <family val="2"/>
      </rPr>
      <t>2</t>
    </r>
    <r>
      <rPr>
        <vertAlign val="superscript"/>
        <sz val="10"/>
        <rFont val="Arial"/>
        <family val="2"/>
      </rPr>
      <t>3/2</t>
    </r>
    <r>
      <rPr>
        <sz val="10"/>
        <rFont val="Arial"/>
        <family val="2"/>
      </rPr>
      <t>) [REFERENCE 'DESIGN OF SMALL DAMS' PAGE 386]</t>
    </r>
  </si>
  <si>
    <r>
      <t>H</t>
    </r>
    <r>
      <rPr>
        <b/>
        <vertAlign val="subscript"/>
        <sz val="11"/>
        <rFont val="Arial"/>
        <family val="2"/>
      </rPr>
      <t>1</t>
    </r>
  </si>
  <si>
    <r>
      <t>H</t>
    </r>
    <r>
      <rPr>
        <b/>
        <vertAlign val="subscript"/>
        <sz val="11"/>
        <rFont val="Arial"/>
        <family val="2"/>
      </rPr>
      <t>2</t>
    </r>
  </si>
  <si>
    <r>
      <t>d/H</t>
    </r>
    <r>
      <rPr>
        <b/>
        <vertAlign val="subscript"/>
        <sz val="11"/>
        <rFont val="Arial"/>
        <family val="2"/>
      </rPr>
      <t>1</t>
    </r>
  </si>
  <si>
    <t>j/6</t>
  </si>
  <si>
    <t>City of Lawton
Water Treatment Plant</t>
  </si>
  <si>
    <t xml:space="preserve">Medicine Park Water Plant </t>
  </si>
  <si>
    <t>Southeast Water Plant</t>
  </si>
  <si>
    <t>82 East Lake Dr.</t>
  </si>
  <si>
    <r>
      <t>4596 SE 15</t>
    </r>
    <r>
      <rPr>
        <vertAlign val="superscript"/>
        <sz val="10"/>
        <rFont val="Arial"/>
        <family val="2"/>
      </rPr>
      <t>TH</t>
    </r>
  </si>
  <si>
    <t>Medicine Park, OK 73557</t>
  </si>
  <si>
    <t>Lawton, OK 73501</t>
  </si>
  <si>
    <t>Telephone:</t>
  </si>
  <si>
    <t>(580) 529-2703</t>
  </si>
  <si>
    <t>Telephone: (580) 581-3532</t>
  </si>
  <si>
    <t>LAKE LAWTONKA GATE OPERATIONS</t>
  </si>
  <si>
    <t>Elevation</t>
  </si>
  <si>
    <t>Gate Opening
Inches</t>
  </si>
  <si>
    <t>Gate Closing
Inches</t>
  </si>
  <si>
    <t>Comments</t>
  </si>
  <si>
    <t>ALL CLOSED</t>
  </si>
  <si>
    <t>*On rising lake elevations raise gates to openings indicated at elevation indicated.</t>
  </si>
  <si>
    <t>2 gates @ 6" ea.</t>
  </si>
  <si>
    <t>4 gates @ 6" ea.</t>
  </si>
  <si>
    <t>6 gates @ 6" ea.</t>
  </si>
  <si>
    <t>8 gates @ 6" ea.</t>
  </si>
  <si>
    <t>6 gates @ 8" ea.</t>
  </si>
  <si>
    <t>*On falling lake elevations lower gates to openings indicated at elevation indicated</t>
  </si>
  <si>
    <t>*Any gate movement requires at least 2 people in constant communication through either radio or phone.</t>
  </si>
  <si>
    <t>*All gate movements are to be recorded on the (LAKE LAWTONKA GATE OPERATIONS WORKSHEET)</t>
  </si>
  <si>
    <t>4596 SE 15TH</t>
  </si>
  <si>
    <t>Telephone: (580) 529-2703</t>
  </si>
  <si>
    <t>Fax: (580) 529-2551</t>
  </si>
  <si>
    <t>Fax:  (580) 581-3579</t>
  </si>
  <si>
    <t>LAKE ELLSWORTH GATE OPERATIONS</t>
  </si>
  <si>
    <t>LAKE LEVEL RISING</t>
  </si>
  <si>
    <t>LAKE LEVEL FALLING</t>
  </si>
  <si>
    <t>RAISE GATES TO OPENING INDICATED AT ELEVATION INDICATED</t>
  </si>
  <si>
    <t>LOWER GATES TO OPENING INDICATED AT ELEVATION INDICATED</t>
  </si>
  <si>
    <t>Gate Opening Inches</t>
  </si>
  <si>
    <t>Gate Closing Inches</t>
  </si>
  <si>
    <t>3 gates open 6 ea.</t>
  </si>
  <si>
    <t>6 gates open 6 ea.</t>
  </si>
  <si>
    <t>9 gates open 6 ea.</t>
  </si>
  <si>
    <t>12 gates open 6 ea.</t>
  </si>
  <si>
    <t>15 gates open 6 ea.</t>
  </si>
  <si>
    <t>All gates open 7 ea.</t>
  </si>
  <si>
    <t>All gates open 8 ea.</t>
  </si>
  <si>
    <t>Close 3 gates 12 @ 6"</t>
  </si>
  <si>
    <t>Close 3 gates 9 @ 6"</t>
  </si>
  <si>
    <t>Close 3 gates 6 @ 6"</t>
  </si>
  <si>
    <t>Close 3 gates 3 @ 6"</t>
  </si>
  <si>
    <t>All gates closed</t>
  </si>
  <si>
    <t>Green</t>
  </si>
  <si>
    <t>Conservation Level</t>
  </si>
  <si>
    <t>Yellow</t>
  </si>
  <si>
    <t>Amber</t>
  </si>
  <si>
    <t>Red</t>
  </si>
  <si>
    <t>GATE 1</t>
  </si>
  <si>
    <t>GATE 2</t>
  </si>
  <si>
    <t>GATE 3</t>
  </si>
  <si>
    <t>GATE 4</t>
  </si>
  <si>
    <t>GATE 5</t>
  </si>
  <si>
    <t>GATE 6</t>
  </si>
  <si>
    <t>GATE 7</t>
  </si>
  <si>
    <t>GATE 8</t>
  </si>
  <si>
    <t>TOTALS</t>
  </si>
  <si>
    <t>GATE</t>
  </si>
  <si>
    <t>GATE 9</t>
  </si>
  <si>
    <t>GATE 10</t>
  </si>
  <si>
    <t>GATE 11</t>
  </si>
  <si>
    <t>GATE 12</t>
  </si>
  <si>
    <t>GATE 13</t>
  </si>
  <si>
    <t>GATE 14</t>
  </si>
  <si>
    <t>GATE 15</t>
  </si>
  <si>
    <t>FOR FLOW UNDER GATE : - Q = 2/3S(2g)CL(H13/2 - H23/2) [REFERENCE 'DESIGN OF SMALL DAMS' PAGE 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</si>
</sst>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0000"/>
  </numFmts>
  <fonts count="36" x14ac:knownFonts="1">
    <font>
      <sz val="11"/>
      <color theme="1"/>
      <name val="Calibri"/>
      <family val="2"/>
      <scheme val="minor"/>
    </font>
    <font>
      <b/>
      <sz val="11"/>
      <color theme="1"/>
      <name val="Calibri"/>
      <family val="2"/>
      <scheme val="minor"/>
    </font>
    <font>
      <b/>
      <sz val="18"/>
      <name val="Arial"/>
      <family val="2"/>
    </font>
    <font>
      <sz val="11"/>
      <name val="Calibri"/>
      <family val="2"/>
      <scheme val="minor"/>
    </font>
    <font>
      <b/>
      <vertAlign val="subscript"/>
      <sz val="10"/>
      <name val="Arial"/>
      <family val="2"/>
    </font>
    <font>
      <b/>
      <sz val="18"/>
      <color theme="1"/>
      <name val="Calibri"/>
      <family val="2"/>
      <scheme val="minor"/>
    </font>
    <font>
      <sz val="12"/>
      <color theme="1"/>
      <name val="Calibri"/>
      <family val="2"/>
      <scheme val="minor"/>
    </font>
    <font>
      <sz val="14"/>
      <color theme="1"/>
      <name val="Calibri"/>
      <family val="2"/>
      <scheme val="minor"/>
    </font>
    <font>
      <sz val="12"/>
      <name val="Symath"/>
    </font>
    <font>
      <sz val="12"/>
      <name val="Arial"/>
      <family val="2"/>
    </font>
    <font>
      <vertAlign val="subscript"/>
      <sz val="12"/>
      <name val="Arial"/>
      <family val="2"/>
    </font>
    <font>
      <vertAlign val="superscript"/>
      <sz val="12"/>
      <name val="Arial"/>
      <family val="2"/>
    </font>
    <font>
      <sz val="11"/>
      <color theme="0"/>
      <name val="Calibri"/>
      <family val="2"/>
      <scheme val="minor"/>
    </font>
    <font>
      <sz val="10"/>
      <name val="Symath"/>
    </font>
    <font>
      <sz val="10"/>
      <name val="Arial"/>
      <family val="2"/>
    </font>
    <font>
      <vertAlign val="subscript"/>
      <sz val="10"/>
      <name val="Arial"/>
      <family val="2"/>
    </font>
    <font>
      <vertAlign val="superscript"/>
      <sz val="10"/>
      <name val="Arial"/>
      <family val="2"/>
    </font>
    <font>
      <b/>
      <sz val="11"/>
      <name val="Arial"/>
      <family val="2"/>
    </font>
    <font>
      <b/>
      <vertAlign val="subscript"/>
      <sz val="11"/>
      <name val="Arial"/>
      <family val="2"/>
    </font>
    <font>
      <sz val="11"/>
      <name val="Arial"/>
      <family val="2"/>
    </font>
    <font>
      <sz val="14"/>
      <name val="Arial"/>
      <family val="2"/>
    </font>
    <font>
      <sz val="14"/>
      <color theme="1"/>
      <name val="Arial"/>
      <family val="2"/>
    </font>
    <font>
      <sz val="10"/>
      <color theme="0"/>
      <name val="Arial"/>
      <family val="2"/>
    </font>
    <font>
      <b/>
      <sz val="14"/>
      <name val="Arial"/>
      <family val="2"/>
    </font>
    <font>
      <b/>
      <i/>
      <sz val="8"/>
      <name val="Arial"/>
      <family val="2"/>
    </font>
    <font>
      <b/>
      <i/>
      <sz val="10"/>
      <name val="Arial"/>
      <family val="2"/>
    </font>
    <font>
      <sz val="8"/>
      <name val="Arial"/>
      <family val="2"/>
    </font>
    <font>
      <i/>
      <sz val="10"/>
      <name val="Arial"/>
      <family val="2"/>
    </font>
    <font>
      <b/>
      <sz val="16"/>
      <name val="Arial"/>
      <family val="2"/>
    </font>
    <font>
      <sz val="16"/>
      <name val="Arial"/>
      <family val="2"/>
    </font>
    <font>
      <b/>
      <sz val="10"/>
      <name val="Arial"/>
      <family val="2"/>
    </font>
    <font>
      <b/>
      <sz val="8"/>
      <name val="Arial"/>
      <family val="2"/>
    </font>
    <font>
      <sz val="8"/>
      <name val="Arial"/>
    </font>
    <font>
      <sz val="10"/>
      <color theme="1"/>
      <name val="Calibri"/>
      <family val="2"/>
      <scheme val="minor"/>
    </font>
    <font>
      <sz val="16"/>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indexed="13"/>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
      <patternFill patternType="darkUp">
        <bgColor theme="0" tint="-0.14996795556505021"/>
      </patternFill>
    </fill>
    <fill>
      <patternFill patternType="solid">
        <fgColor rgb="FFE6E6E6"/>
        <bgColor indexed="64"/>
      </patternFill>
    </fill>
    <fill>
      <patternFill patternType="solid">
        <fgColor theme="8" tint="0.39997558519241921"/>
        <bgColor indexed="64"/>
      </patternFill>
    </fill>
    <fill>
      <patternFill patternType="darkUp">
        <bgColor theme="0" tint="-0.249977111117893"/>
      </patternFill>
    </fill>
    <fill>
      <patternFill patternType="solid">
        <fgColor rgb="FFDDDDDD"/>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79998168889431442"/>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medium">
        <color indexed="64"/>
      </right>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double">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ck">
        <color indexed="64"/>
      </top>
      <bottom/>
      <diagonal/>
    </border>
    <border>
      <left/>
      <right style="thin">
        <color indexed="64"/>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61">
    <xf numFmtId="0" fontId="0" fillId="0" borderId="0" xfId="0"/>
    <xf numFmtId="0" fontId="0" fillId="0" borderId="4" xfId="0" applyBorder="1"/>
    <xf numFmtId="0" fontId="0" fillId="0" borderId="5" xfId="0" applyBorder="1"/>
    <xf numFmtId="0" fontId="0" fillId="0" borderId="23" xfId="0" applyBorder="1"/>
    <xf numFmtId="0" fontId="0" fillId="0" borderId="0" xfId="0" applyAlignment="1">
      <alignment horizontal="right"/>
    </xf>
    <xf numFmtId="2" fontId="0" fillId="0" borderId="0" xfId="0" applyNumberFormat="1" applyAlignment="1">
      <alignment horizontal="center"/>
    </xf>
    <xf numFmtId="0" fontId="0" fillId="0" borderId="0" xfId="0" applyAlignment="1">
      <alignment horizontal="center" vertical="center"/>
    </xf>
    <xf numFmtId="0" fontId="0" fillId="0" borderId="0" xfId="0" quotePrefix="1"/>
    <xf numFmtId="2" fontId="0" fillId="3" borderId="7" xfId="0" applyNumberFormat="1" applyFill="1" applyBorder="1" applyAlignment="1">
      <alignment horizontal="center"/>
    </xf>
    <xf numFmtId="0" fontId="3" fillId="3" borderId="7" xfId="0" applyFont="1" applyFill="1" applyBorder="1" applyAlignment="1">
      <alignment horizontal="center"/>
    </xf>
    <xf numFmtId="0" fontId="1" fillId="4" borderId="9" xfId="0" applyFont="1" applyFill="1" applyBorder="1" applyAlignment="1">
      <alignment horizontal="center"/>
    </xf>
    <xf numFmtId="0" fontId="1" fillId="4" borderId="10" xfId="0" applyFont="1" applyFill="1" applyBorder="1" applyAlignment="1">
      <alignment horizontal="center"/>
    </xf>
    <xf numFmtId="0" fontId="1" fillId="4" borderId="2" xfId="0" applyFont="1" applyFill="1" applyBorder="1" applyAlignment="1">
      <alignment horizontal="center"/>
    </xf>
    <xf numFmtId="0" fontId="1" fillId="4" borderId="11" xfId="0" applyFont="1" applyFill="1" applyBorder="1" applyAlignment="1">
      <alignment horizontal="center"/>
    </xf>
    <xf numFmtId="0" fontId="1" fillId="4" borderId="22" xfId="0" applyFont="1" applyFill="1" applyBorder="1" applyAlignment="1">
      <alignment horizontal="center"/>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1" fillId="4" borderId="17" xfId="0" applyFont="1" applyFill="1" applyBorder="1" applyAlignment="1">
      <alignment horizontal="center"/>
    </xf>
    <xf numFmtId="0" fontId="1" fillId="4" borderId="16" xfId="0" applyFont="1" applyFill="1" applyBorder="1" applyAlignment="1">
      <alignment horizontal="center"/>
    </xf>
    <xf numFmtId="0" fontId="1" fillId="4" borderId="18" xfId="0" applyFont="1" applyFill="1" applyBorder="1" applyAlignment="1">
      <alignment horizontal="center"/>
    </xf>
    <xf numFmtId="0" fontId="0" fillId="2" borderId="7" xfId="0" applyFill="1" applyBorder="1"/>
    <xf numFmtId="0" fontId="0" fillId="0" borderId="0" xfId="0" applyAlignment="1">
      <alignment horizontal="center"/>
    </xf>
    <xf numFmtId="2" fontId="0" fillId="5" borderId="7" xfId="0" applyNumberFormat="1" applyFill="1" applyBorder="1"/>
    <xf numFmtId="0" fontId="0" fillId="5" borderId="7" xfId="0" applyFill="1" applyBorder="1" applyAlignment="1">
      <alignment horizontal="center"/>
    </xf>
    <xf numFmtId="0" fontId="17" fillId="6" borderId="8" xfId="0" applyFont="1" applyFill="1" applyBorder="1" applyAlignment="1">
      <alignment horizontal="center"/>
    </xf>
    <xf numFmtId="0" fontId="17" fillId="6" borderId="9" xfId="0" applyFont="1" applyFill="1" applyBorder="1" applyAlignment="1">
      <alignment horizontal="center"/>
    </xf>
    <xf numFmtId="0" fontId="17" fillId="6" borderId="10" xfId="0" applyFont="1" applyFill="1" applyBorder="1" applyAlignment="1">
      <alignment horizontal="center"/>
    </xf>
    <xf numFmtId="0" fontId="17" fillId="6" borderId="3"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7" fillId="6" borderId="13" xfId="0" applyFont="1" applyFill="1" applyBorder="1" applyAlignment="1">
      <alignment horizontal="center"/>
    </xf>
    <xf numFmtId="0" fontId="17" fillId="6" borderId="14" xfId="0" applyFont="1" applyFill="1" applyBorder="1" applyAlignment="1">
      <alignment horizontal="center"/>
    </xf>
    <xf numFmtId="0" fontId="17" fillId="6" borderId="15" xfId="0" applyFont="1" applyFill="1" applyBorder="1" applyAlignment="1">
      <alignment horizontal="center"/>
    </xf>
    <xf numFmtId="0" fontId="17" fillId="6" borderId="28" xfId="0" applyFont="1" applyFill="1" applyBorder="1" applyAlignment="1">
      <alignment horizontal="center"/>
    </xf>
    <xf numFmtId="0" fontId="1" fillId="6" borderId="16" xfId="0" applyFont="1" applyFill="1" applyBorder="1" applyAlignment="1">
      <alignment horizontal="center"/>
    </xf>
    <xf numFmtId="0" fontId="1" fillId="6" borderId="18" xfId="0" applyFont="1" applyFill="1" applyBorder="1" applyAlignment="1">
      <alignment horizontal="center"/>
    </xf>
    <xf numFmtId="2" fontId="19" fillId="0" borderId="29" xfId="0" applyNumberFormat="1" applyFont="1" applyBorder="1" applyAlignment="1">
      <alignment horizontal="center" vertical="center"/>
    </xf>
    <xf numFmtId="2" fontId="19" fillId="0" borderId="21" xfId="0" applyNumberFormat="1" applyFont="1" applyBorder="1" applyAlignment="1">
      <alignment horizontal="center" vertical="center"/>
    </xf>
    <xf numFmtId="164" fontId="19" fillId="0" borderId="21" xfId="0" applyNumberFormat="1" applyFont="1" applyBorder="1" applyAlignment="1">
      <alignment horizontal="center" vertical="center"/>
    </xf>
    <xf numFmtId="1" fontId="19" fillId="0" borderId="21" xfId="0" applyNumberFormat="1" applyFont="1" applyBorder="1" applyAlignment="1">
      <alignment horizontal="center" vertical="center"/>
    </xf>
    <xf numFmtId="3" fontId="19" fillId="0" borderId="21" xfId="0" applyNumberFormat="1" applyFont="1" applyBorder="1" applyAlignment="1">
      <alignment horizontal="center" vertical="center"/>
    </xf>
    <xf numFmtId="3" fontId="19" fillId="0" borderId="24" xfId="0" applyNumberFormat="1" applyFont="1" applyBorder="1" applyAlignment="1">
      <alignment horizontal="center" vertical="center"/>
    </xf>
    <xf numFmtId="2" fontId="19" fillId="7" borderId="19" xfId="0" applyNumberFormat="1" applyFont="1" applyFill="1" applyBorder="1" applyAlignment="1">
      <alignment horizontal="center" vertical="center"/>
    </xf>
    <xf numFmtId="2" fontId="19" fillId="7" borderId="7" xfId="0" applyNumberFormat="1" applyFont="1" applyFill="1" applyBorder="1" applyAlignment="1">
      <alignment horizontal="center" vertical="center"/>
    </xf>
    <xf numFmtId="164" fontId="19" fillId="7" borderId="7" xfId="0" applyNumberFormat="1" applyFont="1" applyFill="1" applyBorder="1" applyAlignment="1">
      <alignment horizontal="center" vertical="center"/>
    </xf>
    <xf numFmtId="1" fontId="19" fillId="7" borderId="7" xfId="0" applyNumberFormat="1" applyFont="1" applyFill="1" applyBorder="1" applyAlignment="1">
      <alignment horizontal="center" vertical="center"/>
    </xf>
    <xf numFmtId="3" fontId="19" fillId="7" borderId="7" xfId="0" applyNumberFormat="1" applyFont="1" applyFill="1" applyBorder="1" applyAlignment="1">
      <alignment horizontal="center" vertical="center"/>
    </xf>
    <xf numFmtId="3" fontId="19" fillId="7" borderId="30" xfId="0" applyNumberFormat="1" applyFont="1" applyFill="1" applyBorder="1" applyAlignment="1">
      <alignment horizontal="center" vertical="center"/>
    </xf>
    <xf numFmtId="2" fontId="19" fillId="0" borderId="19" xfId="0" applyNumberFormat="1" applyFont="1" applyBorder="1" applyAlignment="1">
      <alignment horizontal="center" vertical="center"/>
    </xf>
    <xf numFmtId="2" fontId="19" fillId="0" borderId="7" xfId="0" applyNumberFormat="1" applyFont="1" applyBorder="1" applyAlignment="1">
      <alignment horizontal="center" vertical="center"/>
    </xf>
    <xf numFmtId="164" fontId="19" fillId="0" borderId="7" xfId="0" applyNumberFormat="1" applyFont="1" applyBorder="1" applyAlignment="1">
      <alignment horizontal="center" vertical="center"/>
    </xf>
    <xf numFmtId="1" fontId="19" fillId="0" borderId="7" xfId="0" applyNumberFormat="1" applyFont="1" applyBorder="1" applyAlignment="1">
      <alignment horizontal="center" vertical="center"/>
    </xf>
    <xf numFmtId="3" fontId="19" fillId="0" borderId="7" xfId="0" applyNumberFormat="1" applyFont="1" applyBorder="1" applyAlignment="1">
      <alignment horizontal="center" vertical="center"/>
    </xf>
    <xf numFmtId="3" fontId="19" fillId="0" borderId="30" xfId="0" applyNumberFormat="1" applyFont="1" applyBorder="1" applyAlignment="1">
      <alignment horizontal="center" vertical="center"/>
    </xf>
    <xf numFmtId="2" fontId="19" fillId="7" borderId="31" xfId="0" applyNumberFormat="1" applyFont="1" applyFill="1" applyBorder="1" applyAlignment="1">
      <alignment horizontal="center" vertical="center"/>
    </xf>
    <xf numFmtId="2" fontId="19" fillId="7" borderId="32" xfId="0" applyNumberFormat="1" applyFont="1" applyFill="1" applyBorder="1" applyAlignment="1">
      <alignment horizontal="center" vertical="center"/>
    </xf>
    <xf numFmtId="164" fontId="19" fillId="7" borderId="32" xfId="0" applyNumberFormat="1" applyFont="1" applyFill="1" applyBorder="1" applyAlignment="1">
      <alignment horizontal="center" vertical="center"/>
    </xf>
    <xf numFmtId="1" fontId="19" fillId="7" borderId="32" xfId="0" applyNumberFormat="1" applyFont="1" applyFill="1" applyBorder="1" applyAlignment="1">
      <alignment horizontal="center" vertical="center"/>
    </xf>
    <xf numFmtId="3" fontId="19" fillId="7" borderId="32" xfId="0" applyNumberFormat="1" applyFont="1" applyFill="1" applyBorder="1" applyAlignment="1">
      <alignment horizontal="center" vertical="center"/>
    </xf>
    <xf numFmtId="3" fontId="19" fillId="7" borderId="33" xfId="0" applyNumberFormat="1" applyFont="1" applyFill="1" applyBorder="1" applyAlignment="1">
      <alignment horizontal="center" vertical="center"/>
    </xf>
    <xf numFmtId="0" fontId="19" fillId="0" borderId="0" xfId="0" applyFont="1"/>
    <xf numFmtId="2" fontId="19" fillId="0" borderId="0" xfId="0" applyNumberFormat="1" applyFont="1" applyAlignment="1">
      <alignment horizontal="right"/>
    </xf>
    <xf numFmtId="164" fontId="19" fillId="0" borderId="0" xfId="0" applyNumberFormat="1" applyFont="1" applyAlignment="1">
      <alignment horizontal="right"/>
    </xf>
    <xf numFmtId="1" fontId="19" fillId="0" borderId="0" xfId="0" applyNumberFormat="1" applyFont="1" applyAlignment="1">
      <alignment horizontal="right"/>
    </xf>
    <xf numFmtId="2" fontId="0" fillId="0" borderId="0" xfId="0" applyNumberFormat="1" applyAlignment="1">
      <alignment horizontal="right"/>
    </xf>
    <xf numFmtId="164" fontId="0" fillId="0" borderId="0" xfId="0" applyNumberFormat="1" applyAlignment="1">
      <alignment horizontal="right"/>
    </xf>
    <xf numFmtId="1" fontId="0" fillId="0" borderId="0" xfId="0" applyNumberFormat="1" applyAlignment="1">
      <alignment horizontal="right"/>
    </xf>
    <xf numFmtId="2" fontId="0" fillId="0" borderId="0" xfId="0" applyNumberFormat="1"/>
    <xf numFmtId="3" fontId="20" fillId="0" borderId="24" xfId="0" applyNumberFormat="1" applyFont="1" applyBorder="1" applyAlignment="1">
      <alignment horizontal="center"/>
    </xf>
    <xf numFmtId="2" fontId="21" fillId="0" borderId="7" xfId="0" applyNumberFormat="1" applyFont="1" applyBorder="1" applyAlignment="1">
      <alignment horizontal="center"/>
    </xf>
    <xf numFmtId="164" fontId="21" fillId="0" borderId="7" xfId="0" applyNumberFormat="1" applyFont="1" applyBorder="1" applyAlignment="1">
      <alignment horizontal="center"/>
    </xf>
    <xf numFmtId="3" fontId="21" fillId="0" borderId="7" xfId="0" applyNumberFormat="1" applyFont="1" applyBorder="1" applyAlignment="1">
      <alignment horizontal="center" vertical="center"/>
    </xf>
    <xf numFmtId="3" fontId="21" fillId="0" borderId="20" xfId="0" applyNumberFormat="1" applyFont="1" applyBorder="1" applyAlignment="1">
      <alignment horizontal="center" vertical="center"/>
    </xf>
    <xf numFmtId="3" fontId="20" fillId="2" borderId="21" xfId="0" applyNumberFormat="1" applyFont="1" applyFill="1" applyBorder="1" applyAlignment="1" applyProtection="1">
      <alignment horizontal="center"/>
      <protection locked="0"/>
    </xf>
    <xf numFmtId="4" fontId="21" fillId="0" borderId="7" xfId="0" applyNumberFormat="1" applyFont="1" applyBorder="1" applyAlignment="1">
      <alignment horizontal="center" vertical="center"/>
    </xf>
    <xf numFmtId="2" fontId="0" fillId="5" borderId="7" xfId="0" applyNumberFormat="1" applyFill="1" applyBorder="1" applyAlignment="1">
      <alignment horizontal="center"/>
    </xf>
    <xf numFmtId="0" fontId="3" fillId="2" borderId="7"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6" borderId="10" xfId="0" applyFont="1" applyFill="1" applyBorder="1" applyAlignment="1">
      <alignment horizontal="center"/>
    </xf>
    <xf numFmtId="0" fontId="1" fillId="6" borderId="2" xfId="0" applyFont="1" applyFill="1" applyBorder="1" applyAlignment="1">
      <alignment horizontal="center"/>
    </xf>
    <xf numFmtId="0" fontId="1" fillId="6" borderId="13" xfId="0" applyFont="1" applyFill="1" applyBorder="1" applyAlignment="1">
      <alignment horizontal="center"/>
    </xf>
    <xf numFmtId="0" fontId="1" fillId="6" borderId="14" xfId="0" applyFont="1" applyFill="1" applyBorder="1" applyAlignment="1">
      <alignment horizontal="center"/>
    </xf>
    <xf numFmtId="0" fontId="1" fillId="6" borderId="15" xfId="0" applyFont="1" applyFill="1" applyBorder="1" applyAlignment="1">
      <alignment horizontal="center"/>
    </xf>
    <xf numFmtId="0" fontId="1" fillId="6" borderId="17" xfId="0" applyFont="1" applyFill="1" applyBorder="1" applyAlignment="1">
      <alignment horizontal="center"/>
    </xf>
    <xf numFmtId="0" fontId="12" fillId="0" borderId="0" xfId="0" applyFont="1"/>
    <xf numFmtId="2" fontId="0" fillId="0" borderId="19" xfId="0" applyNumberFormat="1" applyBorder="1" applyAlignment="1">
      <alignment horizontal="center" vertical="center"/>
    </xf>
    <xf numFmtId="164" fontId="0" fillId="0" borderId="7" xfId="0" applyNumberFormat="1" applyBorder="1" applyAlignment="1">
      <alignment horizontal="center" vertical="center"/>
    </xf>
    <xf numFmtId="2" fontId="0" fillId="0" borderId="7" xfId="0" applyNumberFormat="1" applyBorder="1" applyAlignment="1">
      <alignment horizontal="center"/>
    </xf>
    <xf numFmtId="164" fontId="0" fillId="0" borderId="7" xfId="0" applyNumberFormat="1" applyBorder="1" applyAlignment="1">
      <alignment horizontal="center"/>
    </xf>
    <xf numFmtId="1" fontId="0" fillId="0" borderId="7" xfId="0" applyNumberFormat="1" applyBorder="1" applyAlignment="1">
      <alignment horizontal="center" vertical="center"/>
    </xf>
    <xf numFmtId="2" fontId="0" fillId="0" borderId="7" xfId="0" applyNumberFormat="1" applyBorder="1" applyAlignment="1">
      <alignment horizontal="center" vertical="center"/>
    </xf>
    <xf numFmtId="3" fontId="0" fillId="0" borderId="7" xfId="0" applyNumberFormat="1" applyBorder="1" applyAlignment="1">
      <alignment horizontal="center" vertical="center"/>
    </xf>
    <xf numFmtId="3" fontId="0" fillId="0" borderId="30" xfId="0" applyNumberFormat="1" applyBorder="1" applyAlignment="1">
      <alignment horizontal="center" vertical="center"/>
    </xf>
    <xf numFmtId="165" fontId="12" fillId="0" borderId="0" xfId="0" applyNumberFormat="1" applyFont="1"/>
    <xf numFmtId="2" fontId="0" fillId="8" borderId="19" xfId="0" applyNumberFormat="1" applyFill="1" applyBorder="1" applyAlignment="1">
      <alignment horizontal="center" vertical="center"/>
    </xf>
    <xf numFmtId="164" fontId="0" fillId="8" borderId="7" xfId="0" applyNumberFormat="1" applyFill="1" applyBorder="1" applyAlignment="1">
      <alignment horizontal="center" vertical="center"/>
    </xf>
    <xf numFmtId="2" fontId="0" fillId="8" borderId="7" xfId="0" applyNumberFormat="1" applyFill="1" applyBorder="1" applyAlignment="1">
      <alignment horizontal="center"/>
    </xf>
    <xf numFmtId="164" fontId="0" fillId="8" borderId="7" xfId="0" applyNumberFormat="1" applyFill="1" applyBorder="1" applyAlignment="1">
      <alignment horizontal="center"/>
    </xf>
    <xf numFmtId="1" fontId="0" fillId="8" borderId="7" xfId="0" applyNumberFormat="1" applyFill="1" applyBorder="1" applyAlignment="1">
      <alignment horizontal="center" vertical="center"/>
    </xf>
    <xf numFmtId="2" fontId="0" fillId="8" borderId="7" xfId="0" applyNumberFormat="1" applyFill="1" applyBorder="1" applyAlignment="1">
      <alignment horizontal="center" vertical="center"/>
    </xf>
    <xf numFmtId="3" fontId="0" fillId="8" borderId="7" xfId="0" applyNumberFormat="1" applyFill="1" applyBorder="1" applyAlignment="1">
      <alignment horizontal="center" vertical="center"/>
    </xf>
    <xf numFmtId="3" fontId="0" fillId="8" borderId="30" xfId="0" applyNumberFormat="1" applyFill="1" applyBorder="1" applyAlignment="1">
      <alignment horizontal="center" vertical="center"/>
    </xf>
    <xf numFmtId="2" fontId="12" fillId="0" borderId="0" xfId="0" applyNumberFormat="1" applyFont="1"/>
    <xf numFmtId="0" fontId="22" fillId="0" borderId="0" xfId="0" applyFont="1"/>
    <xf numFmtId="2" fontId="0" fillId="8" borderId="31" xfId="0" applyNumberFormat="1" applyFill="1" applyBorder="1" applyAlignment="1">
      <alignment horizontal="center" vertical="center"/>
    </xf>
    <xf numFmtId="164" fontId="0" fillId="8" borderId="32" xfId="0" applyNumberFormat="1" applyFill="1" applyBorder="1" applyAlignment="1">
      <alignment horizontal="center" vertical="center"/>
    </xf>
    <xf numFmtId="2" fontId="0" fillId="8" borderId="32" xfId="0" applyNumberFormat="1" applyFill="1" applyBorder="1" applyAlignment="1">
      <alignment horizontal="center"/>
    </xf>
    <xf numFmtId="164" fontId="0" fillId="8" borderId="32" xfId="0" applyNumberFormat="1" applyFill="1" applyBorder="1" applyAlignment="1">
      <alignment horizontal="center"/>
    </xf>
    <xf numFmtId="1" fontId="0" fillId="8" borderId="32" xfId="0" applyNumberFormat="1" applyFill="1" applyBorder="1" applyAlignment="1">
      <alignment horizontal="center" vertical="center"/>
    </xf>
    <xf numFmtId="2" fontId="0" fillId="8" borderId="32" xfId="0" applyNumberFormat="1" applyFill="1" applyBorder="1" applyAlignment="1">
      <alignment horizontal="center" vertical="center"/>
    </xf>
    <xf numFmtId="3" fontId="0" fillId="8" borderId="32" xfId="0" applyNumberFormat="1" applyFill="1" applyBorder="1" applyAlignment="1">
      <alignment horizontal="center" vertical="center"/>
    </xf>
    <xf numFmtId="3" fontId="0" fillId="8" borderId="33" xfId="0" applyNumberFormat="1" applyFill="1" applyBorder="1" applyAlignment="1">
      <alignment horizontal="center" vertical="center"/>
    </xf>
    <xf numFmtId="4" fontId="21" fillId="0" borderId="7" xfId="0" applyNumberFormat="1" applyFont="1" applyBorder="1" applyAlignment="1">
      <alignment horizontal="center"/>
    </xf>
    <xf numFmtId="0" fontId="0" fillId="0" borderId="0" xfId="0" applyAlignment="1">
      <alignment vertical="center"/>
    </xf>
    <xf numFmtId="0" fontId="14" fillId="0" borderId="0" xfId="0" applyFont="1" applyAlignment="1">
      <alignment horizontal="center" vertical="center"/>
    </xf>
    <xf numFmtId="0" fontId="0" fillId="0" borderId="0" xfId="0" applyAlignment="1">
      <alignment horizontal="right" vertical="center"/>
    </xf>
    <xf numFmtId="0" fontId="0" fillId="0" borderId="23" xfId="0" applyBorder="1" applyAlignment="1">
      <alignment horizontal="right" vertical="center"/>
    </xf>
    <xf numFmtId="0" fontId="0" fillId="0" borderId="23" xfId="0" applyBorder="1" applyAlignment="1">
      <alignment vertical="center"/>
    </xf>
    <xf numFmtId="0" fontId="0" fillId="0" borderId="23" xfId="0" applyBorder="1" applyAlignment="1">
      <alignment horizontal="center" vertical="center"/>
    </xf>
    <xf numFmtId="0" fontId="24" fillId="8" borderId="21" xfId="0" applyFont="1" applyFill="1" applyBorder="1" applyAlignment="1">
      <alignment horizontal="center" vertical="center"/>
    </xf>
    <xf numFmtId="0" fontId="24" fillId="8" borderId="21" xfId="0" applyFont="1" applyFill="1" applyBorder="1" applyAlignment="1">
      <alignment horizontal="center" vertical="center" wrapText="1"/>
    </xf>
    <xf numFmtId="0" fontId="24" fillId="10" borderId="21" xfId="0" applyFont="1" applyFill="1" applyBorder="1" applyAlignment="1">
      <alignment horizontal="center" vertical="center" wrapText="1"/>
    </xf>
    <xf numFmtId="0" fontId="26" fillId="0" borderId="0" xfId="0" applyFont="1"/>
    <xf numFmtId="2" fontId="0" fillId="11" borderId="7" xfId="0" applyNumberFormat="1" applyFill="1" applyBorder="1" applyAlignment="1">
      <alignment horizontal="center" vertical="center"/>
    </xf>
    <xf numFmtId="0" fontId="0" fillId="0" borderId="7" xfId="0" applyBorder="1" applyAlignment="1">
      <alignment vertical="center"/>
    </xf>
    <xf numFmtId="0" fontId="0" fillId="10" borderId="7" xfId="0" applyFill="1" applyBorder="1" applyAlignment="1">
      <alignment vertical="center"/>
    </xf>
    <xf numFmtId="0" fontId="0" fillId="0" borderId="7" xfId="0" applyBorder="1" applyAlignment="1">
      <alignment horizontal="center" vertical="center"/>
    </xf>
    <xf numFmtId="0" fontId="26" fillId="0" borderId="7" xfId="0" applyFont="1" applyBorder="1" applyAlignment="1">
      <alignment vertical="center"/>
    </xf>
    <xf numFmtId="0" fontId="26" fillId="10" borderId="20" xfId="0" applyFont="1" applyFill="1" applyBorder="1" applyAlignment="1">
      <alignment vertical="center"/>
    </xf>
    <xf numFmtId="0" fontId="0" fillId="0" borderId="20" xfId="0" applyBorder="1" applyAlignment="1">
      <alignment horizontal="center" vertical="center"/>
    </xf>
    <xf numFmtId="0" fontId="0" fillId="10" borderId="41" xfId="0" applyFill="1" applyBorder="1" applyAlignment="1">
      <alignment horizontal="center" vertical="center"/>
    </xf>
    <xf numFmtId="0" fontId="0" fillId="0" borderId="27" xfId="0" applyBorder="1" applyAlignment="1">
      <alignment vertical="center"/>
    </xf>
    <xf numFmtId="0" fontId="0" fillId="0" borderId="6" xfId="0" applyBorder="1" applyAlignment="1">
      <alignment vertical="center"/>
    </xf>
    <xf numFmtId="0" fontId="0" fillId="0" borderId="0" xfId="0" applyAlignment="1">
      <alignment wrapText="1"/>
    </xf>
    <xf numFmtId="0" fontId="0" fillId="0" borderId="39" xfId="0" applyBorder="1" applyAlignment="1">
      <alignment vertical="center"/>
    </xf>
    <xf numFmtId="0" fontId="0" fillId="0" borderId="40" xfId="0" applyBorder="1" applyAlignment="1">
      <alignment vertical="center"/>
    </xf>
    <xf numFmtId="0" fontId="0" fillId="10" borderId="21" xfId="0" applyFill="1" applyBorder="1" applyAlignment="1">
      <alignment vertical="center"/>
    </xf>
    <xf numFmtId="0" fontId="0" fillId="13" borderId="7" xfId="0" applyFill="1" applyBorder="1" applyAlignment="1">
      <alignment vertical="center"/>
    </xf>
    <xf numFmtId="0" fontId="32" fillId="0" borderId="0" xfId="0" applyFont="1"/>
    <xf numFmtId="2" fontId="0" fillId="14" borderId="7" xfId="0" applyNumberFormat="1" applyFill="1" applyBorder="1" applyAlignment="1">
      <alignment horizontal="center" vertical="center"/>
    </xf>
    <xf numFmtId="0" fontId="32" fillId="0" borderId="7" xfId="0" applyFont="1" applyBorder="1" applyAlignment="1">
      <alignment horizontal="center" vertical="center"/>
    </xf>
    <xf numFmtId="2" fontId="14" fillId="14" borderId="7" xfId="0" applyNumberFormat="1" applyFont="1" applyFill="1" applyBorder="1" applyAlignment="1">
      <alignment horizontal="center" vertical="center"/>
    </xf>
    <xf numFmtId="0" fontId="0" fillId="10" borderId="20" xfId="0" applyFill="1" applyBorder="1" applyAlignment="1">
      <alignment vertical="center"/>
    </xf>
    <xf numFmtId="2" fontId="0" fillId="14" borderId="7" xfId="0" applyNumberFormat="1" applyFill="1" applyBorder="1" applyAlignment="1">
      <alignment vertical="center" wrapText="1"/>
    </xf>
    <xf numFmtId="0" fontId="0" fillId="0" borderId="7" xfId="0" applyBorder="1" applyAlignment="1">
      <alignment horizontal="center"/>
    </xf>
    <xf numFmtId="2" fontId="0" fillId="14" borderId="7" xfId="0" applyNumberFormat="1" applyFill="1" applyBorder="1"/>
    <xf numFmtId="2" fontId="0" fillId="14" borderId="7" xfId="0" applyNumberFormat="1" applyFill="1" applyBorder="1" applyAlignment="1">
      <alignment vertical="center"/>
    </xf>
    <xf numFmtId="0" fontId="14" fillId="0" borderId="0" xfId="0" applyFont="1" applyAlignment="1">
      <alignment horizontal="center"/>
    </xf>
    <xf numFmtId="0" fontId="0" fillId="15" borderId="7" xfId="0" applyFill="1" applyBorder="1" applyAlignment="1">
      <alignment horizontal="center"/>
    </xf>
    <xf numFmtId="0" fontId="14" fillId="0" borderId="0" xfId="0" applyFont="1" applyAlignment="1">
      <alignment horizontal="left"/>
    </xf>
    <xf numFmtId="0" fontId="0" fillId="2" borderId="7" xfId="0" applyFill="1" applyBorder="1" applyAlignment="1">
      <alignment horizontal="center"/>
    </xf>
    <xf numFmtId="0" fontId="0" fillId="16" borderId="7" xfId="0" applyFill="1" applyBorder="1" applyAlignment="1">
      <alignment horizontal="center"/>
    </xf>
    <xf numFmtId="0" fontId="0" fillId="17" borderId="7" xfId="0" applyFill="1" applyBorder="1" applyAlignment="1">
      <alignment horizontal="center" vertical="center"/>
    </xf>
    <xf numFmtId="0" fontId="0" fillId="0" borderId="27" xfId="0" applyBorder="1"/>
    <xf numFmtId="1" fontId="21" fillId="0" borderId="7" xfId="0" applyNumberFormat="1" applyFont="1" applyBorder="1" applyAlignment="1">
      <alignment horizontal="center" vertical="center"/>
    </xf>
    <xf numFmtId="2" fontId="21" fillId="0" borderId="7" xfId="0" applyNumberFormat="1" applyFont="1" applyBorder="1" applyAlignment="1">
      <alignment horizontal="center" vertical="center"/>
    </xf>
    <xf numFmtId="0" fontId="6" fillId="18" borderId="44" xfId="0" applyFont="1" applyFill="1" applyBorder="1" applyAlignment="1">
      <alignment horizontal="center"/>
    </xf>
    <xf numFmtId="0" fontId="6" fillId="18" borderId="19" xfId="0" applyFont="1" applyFill="1" applyBorder="1" applyAlignment="1">
      <alignment horizontal="center"/>
    </xf>
    <xf numFmtId="0" fontId="6" fillId="18" borderId="31" xfId="0" applyFont="1" applyFill="1" applyBorder="1" applyAlignment="1">
      <alignment horizontal="center"/>
    </xf>
    <xf numFmtId="2" fontId="34" fillId="2" borderId="48" xfId="0" applyNumberFormat="1" applyFont="1" applyFill="1" applyBorder="1" applyAlignment="1" applyProtection="1">
      <alignment horizontal="center"/>
      <protection locked="0"/>
    </xf>
    <xf numFmtId="3" fontId="0" fillId="0" borderId="0" xfId="0" applyNumberFormat="1"/>
    <xf numFmtId="2" fontId="21" fillId="0" borderId="50" xfId="0" applyNumberFormat="1" applyFont="1" applyBorder="1" applyAlignment="1">
      <alignment horizontal="center" vertical="center"/>
    </xf>
    <xf numFmtId="2" fontId="21" fillId="0" borderId="50" xfId="0" applyNumberFormat="1" applyFont="1" applyBorder="1" applyAlignment="1">
      <alignment horizontal="center"/>
    </xf>
    <xf numFmtId="164" fontId="21" fillId="0" borderId="50" xfId="0" applyNumberFormat="1" applyFont="1" applyBorder="1" applyAlignment="1">
      <alignment horizontal="center"/>
    </xf>
    <xf numFmtId="4" fontId="21" fillId="0" borderId="50" xfId="0" applyNumberFormat="1" applyFont="1" applyBorder="1" applyAlignment="1">
      <alignment horizontal="center"/>
    </xf>
    <xf numFmtId="1" fontId="21" fillId="0" borderId="50" xfId="0" applyNumberFormat="1" applyFont="1" applyBorder="1" applyAlignment="1">
      <alignment horizontal="center" vertical="center"/>
    </xf>
    <xf numFmtId="4" fontId="21" fillId="0" borderId="50" xfId="0" applyNumberFormat="1" applyFont="1" applyBorder="1" applyAlignment="1">
      <alignment horizontal="center" vertical="center"/>
    </xf>
    <xf numFmtId="3" fontId="21" fillId="0" borderId="50" xfId="0" applyNumberFormat="1" applyFont="1" applyBorder="1" applyAlignment="1">
      <alignment horizontal="center" vertical="center"/>
    </xf>
    <xf numFmtId="3" fontId="21" fillId="0" borderId="51" xfId="0" applyNumberFormat="1" applyFont="1" applyBorder="1" applyAlignment="1">
      <alignment horizontal="center" vertical="center"/>
    </xf>
    <xf numFmtId="3" fontId="20" fillId="2" borderId="50" xfId="0" applyNumberFormat="1" applyFont="1" applyFill="1" applyBorder="1" applyAlignment="1" applyProtection="1">
      <alignment horizontal="center"/>
      <protection locked="0"/>
    </xf>
    <xf numFmtId="3" fontId="20" fillId="0" borderId="52" xfId="0" applyNumberFormat="1" applyFont="1" applyBorder="1" applyAlignment="1">
      <alignment horizontal="center"/>
    </xf>
    <xf numFmtId="2" fontId="20" fillId="0" borderId="7" xfId="0" applyNumberFormat="1" applyFont="1" applyBorder="1" applyAlignment="1" applyProtection="1">
      <alignment horizontal="center" vertical="center"/>
      <protection locked="0"/>
    </xf>
    <xf numFmtId="0" fontId="21" fillId="2" borderId="7" xfId="0" applyFont="1" applyFill="1" applyBorder="1" applyAlignment="1" applyProtection="1">
      <alignment horizontal="center" vertical="center"/>
      <protection locked="0"/>
    </xf>
    <xf numFmtId="2" fontId="20" fillId="0" borderId="50" xfId="0" applyNumberFormat="1" applyFont="1" applyBorder="1" applyAlignment="1" applyProtection="1">
      <alignment horizontal="center" vertical="center"/>
      <protection locked="0"/>
    </xf>
    <xf numFmtId="0" fontId="21" fillId="2" borderId="50" xfId="0" applyFont="1" applyFill="1" applyBorder="1" applyAlignment="1" applyProtection="1">
      <alignment horizontal="center" vertical="center"/>
      <protection locked="0"/>
    </xf>
    <xf numFmtId="0" fontId="0" fillId="0" borderId="56" xfId="0" applyBorder="1"/>
    <xf numFmtId="2" fontId="20" fillId="0" borderId="21" xfId="0" applyNumberFormat="1" applyFont="1" applyBorder="1" applyAlignment="1" applyProtection="1">
      <alignment horizontal="center" vertical="center"/>
      <protection locked="0"/>
    </xf>
    <xf numFmtId="0" fontId="1" fillId="4" borderId="28" xfId="0" applyFont="1" applyFill="1" applyBorder="1" applyAlignment="1">
      <alignment horizontal="center"/>
    </xf>
    <xf numFmtId="0" fontId="21" fillId="2" borderId="21" xfId="0" applyFont="1" applyFill="1" applyBorder="1" applyAlignment="1" applyProtection="1">
      <alignment horizontal="center" vertical="center"/>
      <protection locked="0"/>
    </xf>
    <xf numFmtId="0" fontId="0" fillId="2" borderId="45" xfId="0" applyFill="1" applyBorder="1" applyAlignment="1" applyProtection="1">
      <alignment horizontal="center" vertical="center"/>
      <protection locked="0"/>
    </xf>
    <xf numFmtId="0" fontId="0" fillId="2" borderId="30" xfId="0" applyFill="1" applyBorder="1" applyAlignment="1" applyProtection="1">
      <alignment horizontal="center" vertical="center"/>
      <protection locked="0"/>
    </xf>
    <xf numFmtId="0" fontId="0" fillId="2" borderId="33" xfId="0" applyFill="1" applyBorder="1" applyAlignment="1" applyProtection="1">
      <alignment horizontal="center" vertical="center"/>
      <protection locked="0"/>
    </xf>
    <xf numFmtId="2" fontId="34" fillId="2" borderId="53" xfId="0" applyNumberFormat="1"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58" xfId="0" applyFont="1" applyFill="1" applyBorder="1" applyAlignment="1">
      <alignment horizontal="center"/>
    </xf>
    <xf numFmtId="0" fontId="35" fillId="0" borderId="60" xfId="0" applyFont="1" applyBorder="1" applyAlignment="1">
      <alignment horizontal="center" vertical="center"/>
    </xf>
    <xf numFmtId="2" fontId="20" fillId="0" borderId="40" xfId="0" applyNumberFormat="1" applyFont="1" applyBorder="1" applyAlignment="1">
      <alignment horizontal="center" vertical="center"/>
    </xf>
    <xf numFmtId="2" fontId="20" fillId="0" borderId="21" xfId="0" applyNumberFormat="1" applyFont="1" applyBorder="1" applyAlignment="1">
      <alignment horizontal="center" vertical="center"/>
    </xf>
    <xf numFmtId="164" fontId="20" fillId="0" borderId="21" xfId="0" applyNumberFormat="1" applyFont="1" applyBorder="1" applyAlignment="1">
      <alignment horizontal="center" vertical="center"/>
    </xf>
    <xf numFmtId="4" fontId="20" fillId="0" borderId="21" xfId="0" applyNumberFormat="1" applyFont="1" applyBorder="1" applyAlignment="1">
      <alignment horizontal="center" vertical="center"/>
    </xf>
    <xf numFmtId="3" fontId="20" fillId="0" borderId="21" xfId="0" applyNumberFormat="1" applyFont="1" applyBorder="1" applyAlignment="1">
      <alignment horizontal="center" vertical="center"/>
    </xf>
    <xf numFmtId="3" fontId="20" fillId="0" borderId="39" xfId="0" applyNumberFormat="1" applyFont="1" applyBorder="1" applyAlignment="1">
      <alignment horizontal="center" vertical="center"/>
    </xf>
    <xf numFmtId="0" fontId="35" fillId="0" borderId="30" xfId="0" applyFont="1" applyBorder="1" applyAlignment="1">
      <alignment horizontal="center" vertical="center"/>
    </xf>
    <xf numFmtId="2" fontId="20" fillId="0" borderId="38" xfId="0" applyNumberFormat="1" applyFont="1" applyBorder="1" applyAlignment="1">
      <alignment horizontal="center" vertical="center"/>
    </xf>
    <xf numFmtId="2" fontId="20" fillId="0" borderId="7" xfId="0" applyNumberFormat="1" applyFont="1" applyBorder="1" applyAlignment="1">
      <alignment horizontal="center" vertical="center"/>
    </xf>
    <xf numFmtId="164" fontId="20" fillId="0" borderId="7" xfId="0" applyNumberFormat="1" applyFont="1" applyBorder="1" applyAlignment="1">
      <alignment horizontal="center" vertical="center"/>
    </xf>
    <xf numFmtId="4" fontId="20" fillId="0" borderId="7" xfId="0" applyNumberFormat="1" applyFont="1" applyBorder="1" applyAlignment="1">
      <alignment horizontal="center" vertical="center"/>
    </xf>
    <xf numFmtId="3" fontId="20" fillId="0" borderId="7" xfId="0" applyNumberFormat="1" applyFont="1" applyBorder="1" applyAlignment="1">
      <alignment horizontal="center" vertical="center"/>
    </xf>
    <xf numFmtId="3" fontId="20" fillId="0" borderId="20" xfId="0" applyNumberFormat="1" applyFont="1" applyBorder="1" applyAlignment="1">
      <alignment horizontal="center" vertical="center"/>
    </xf>
    <xf numFmtId="0" fontId="35" fillId="0" borderId="52" xfId="0" applyFont="1" applyBorder="1" applyAlignment="1">
      <alignment horizontal="center" vertical="center"/>
    </xf>
    <xf numFmtId="2" fontId="20" fillId="0" borderId="61" xfId="0" applyNumberFormat="1" applyFont="1" applyBorder="1" applyAlignment="1">
      <alignment horizontal="center" vertical="center"/>
    </xf>
    <xf numFmtId="2" fontId="20" fillId="0" borderId="50" xfId="0" applyNumberFormat="1" applyFont="1" applyBorder="1" applyAlignment="1">
      <alignment horizontal="center" vertical="center"/>
    </xf>
    <xf numFmtId="164" fontId="20" fillId="0" borderId="50" xfId="0" applyNumberFormat="1" applyFont="1" applyBorder="1" applyAlignment="1">
      <alignment horizontal="center" vertical="center"/>
    </xf>
    <xf numFmtId="4" fontId="20" fillId="0" borderId="50" xfId="0" applyNumberFormat="1" applyFont="1" applyBorder="1" applyAlignment="1">
      <alignment horizontal="center" vertical="center"/>
    </xf>
    <xf numFmtId="3" fontId="20" fillId="0" borderId="50" xfId="0" applyNumberFormat="1" applyFont="1" applyBorder="1" applyAlignment="1">
      <alignment horizontal="center" vertical="center"/>
    </xf>
    <xf numFmtId="3" fontId="20" fillId="0" borderId="51" xfId="0" applyNumberFormat="1" applyFont="1" applyBorder="1" applyAlignment="1">
      <alignment horizontal="center" vertical="center"/>
    </xf>
    <xf numFmtId="0" fontId="1" fillId="4" borderId="3" xfId="0" applyFont="1" applyFill="1" applyBorder="1" applyAlignment="1">
      <alignment horizontal="center"/>
    </xf>
    <xf numFmtId="2" fontId="21" fillId="0" borderId="38" xfId="0" applyNumberFormat="1" applyFont="1" applyBorder="1" applyAlignment="1">
      <alignment horizontal="center" vertical="center"/>
    </xf>
    <xf numFmtId="2" fontId="21" fillId="0" borderId="61" xfId="0" applyNumberFormat="1" applyFont="1" applyBorder="1" applyAlignment="1">
      <alignment horizontal="center" vertical="center"/>
    </xf>
    <xf numFmtId="0" fontId="35" fillId="0" borderId="29" xfId="0" applyFont="1" applyBorder="1" applyAlignment="1">
      <alignment horizontal="center" vertical="center"/>
    </xf>
    <xf numFmtId="0" fontId="35" fillId="0" borderId="19" xfId="0" applyFont="1" applyBorder="1" applyAlignment="1">
      <alignment horizontal="center" vertical="center"/>
    </xf>
    <xf numFmtId="0" fontId="35" fillId="0" borderId="49" xfId="0" applyFont="1" applyBorder="1" applyAlignment="1">
      <alignment horizontal="center" vertical="center"/>
    </xf>
    <xf numFmtId="0" fontId="6" fillId="2" borderId="45" xfId="0" applyFont="1" applyFill="1" applyBorder="1" applyAlignment="1" applyProtection="1">
      <alignment horizontal="center" vertical="center"/>
      <protection locked="0"/>
    </xf>
    <xf numFmtId="0" fontId="6" fillId="2" borderId="30" xfId="0" applyFont="1" applyFill="1" applyBorder="1" applyAlignment="1" applyProtection="1">
      <alignment horizontal="center" vertical="center"/>
      <protection locked="0"/>
    </xf>
    <xf numFmtId="0" fontId="6" fillId="2" borderId="33" xfId="0" applyFont="1" applyFill="1" applyBorder="1" applyAlignment="1" applyProtection="1">
      <alignment horizontal="center" vertical="center"/>
      <protection locked="0"/>
    </xf>
    <xf numFmtId="2" fontId="0" fillId="3" borderId="7" xfId="0" applyNumberFormat="1" applyFill="1" applyBorder="1"/>
    <xf numFmtId="0" fontId="0" fillId="3" borderId="7" xfId="0" applyFill="1" applyBorder="1" applyAlignment="1">
      <alignment horizontal="center"/>
    </xf>
    <xf numFmtId="1" fontId="20" fillId="0" borderId="21" xfId="0" applyNumberFormat="1" applyFont="1" applyBorder="1" applyAlignment="1">
      <alignment horizontal="center" vertical="center"/>
    </xf>
    <xf numFmtId="1" fontId="20" fillId="0" borderId="7" xfId="0" applyNumberFormat="1" applyFont="1" applyBorder="1" applyAlignment="1">
      <alignment horizontal="center" vertical="center"/>
    </xf>
    <xf numFmtId="1" fontId="20" fillId="0" borderId="50" xfId="0" applyNumberFormat="1" applyFont="1" applyBorder="1" applyAlignment="1">
      <alignment horizontal="center" vertical="center"/>
    </xf>
    <xf numFmtId="0" fontId="6" fillId="0" borderId="0" xfId="0" applyFont="1" applyAlignment="1">
      <alignment vertical="center"/>
    </xf>
    <xf numFmtId="0" fontId="7" fillId="0" borderId="0" xfId="0" applyFont="1"/>
    <xf numFmtId="0" fontId="0" fillId="0" borderId="20" xfId="0" applyBorder="1" applyAlignment="1">
      <alignment horizontal="center" vertical="center"/>
    </xf>
    <xf numFmtId="0" fontId="0" fillId="0" borderId="38" xfId="0" applyBorder="1" applyAlignment="1">
      <alignment horizontal="center" vertical="center"/>
    </xf>
    <xf numFmtId="2" fontId="0" fillId="11" borderId="20" xfId="0" applyNumberFormat="1" applyFill="1" applyBorder="1" applyAlignment="1">
      <alignment horizontal="center" vertical="center"/>
    </xf>
    <xf numFmtId="2" fontId="0" fillId="11" borderId="38" xfId="0" applyNumberFormat="1" applyFill="1" applyBorder="1" applyAlignment="1">
      <alignment horizontal="center" vertical="center"/>
    </xf>
    <xf numFmtId="0" fontId="27" fillId="4" borderId="34" xfId="0" applyFont="1" applyFill="1" applyBorder="1" applyAlignment="1">
      <alignment horizontal="center" vertical="center" wrapText="1"/>
    </xf>
    <xf numFmtId="0" fontId="27" fillId="4" borderId="36" xfId="0" applyFont="1" applyFill="1" applyBorder="1" applyAlignment="1">
      <alignment horizontal="center" vertical="center" wrapText="1"/>
    </xf>
    <xf numFmtId="0" fontId="27" fillId="4" borderId="27" xfId="0" applyFont="1" applyFill="1" applyBorder="1" applyAlignment="1">
      <alignment horizontal="center" vertical="center" wrapText="1"/>
    </xf>
    <xf numFmtId="0" fontId="27" fillId="4" borderId="6" xfId="0" applyFont="1" applyFill="1" applyBorder="1" applyAlignment="1">
      <alignment horizontal="center" vertical="center" wrapText="1"/>
    </xf>
    <xf numFmtId="0" fontId="27" fillId="4" borderId="39" xfId="0" applyFont="1" applyFill="1" applyBorder="1" applyAlignment="1">
      <alignment horizontal="center" vertical="center" wrapText="1"/>
    </xf>
    <xf numFmtId="0" fontId="27" fillId="4" borderId="40" xfId="0" applyFont="1" applyFill="1" applyBorder="1" applyAlignment="1">
      <alignment horizontal="center" vertical="center" wrapText="1"/>
    </xf>
    <xf numFmtId="0" fontId="0" fillId="4" borderId="3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6" xfId="0" applyFill="1" applyBorder="1" applyAlignment="1">
      <alignment horizontal="center" vertical="center" wrapText="1"/>
    </xf>
    <xf numFmtId="0" fontId="0" fillId="4" borderId="39" xfId="0" applyFill="1" applyBorder="1" applyAlignment="1">
      <alignment horizontal="center" vertical="center" wrapText="1"/>
    </xf>
    <xf numFmtId="0" fontId="0" fillId="4" borderId="40" xfId="0" applyFill="1" applyBorder="1" applyAlignment="1">
      <alignment horizontal="center" vertical="center" wrapText="1"/>
    </xf>
    <xf numFmtId="0" fontId="27" fillId="4" borderId="34" xfId="0" applyFont="1" applyFill="1" applyBorder="1" applyAlignment="1">
      <alignment vertical="center" wrapText="1"/>
    </xf>
    <xf numFmtId="0" fontId="27" fillId="4" borderId="36" xfId="0" applyFont="1" applyFill="1" applyBorder="1" applyAlignment="1">
      <alignment vertical="center" wrapText="1"/>
    </xf>
    <xf numFmtId="0" fontId="27" fillId="4" borderId="27" xfId="0" applyFont="1" applyFill="1" applyBorder="1" applyAlignment="1">
      <alignment vertical="center" wrapText="1"/>
    </xf>
    <xf numFmtId="0" fontId="27" fillId="4" borderId="6" xfId="0" applyFont="1" applyFill="1" applyBorder="1" applyAlignment="1">
      <alignment vertical="center" wrapText="1"/>
    </xf>
    <xf numFmtId="0" fontId="27" fillId="4" borderId="39" xfId="0" applyFont="1" applyFill="1" applyBorder="1" applyAlignment="1">
      <alignment vertical="center" wrapText="1"/>
    </xf>
    <xf numFmtId="0" fontId="27" fillId="4" borderId="40" xfId="0" applyFont="1" applyFill="1" applyBorder="1" applyAlignment="1">
      <alignment vertical="center" wrapText="1"/>
    </xf>
    <xf numFmtId="0" fontId="23" fillId="9" borderId="34" xfId="0" applyFont="1" applyFill="1" applyBorder="1" applyAlignment="1">
      <alignment horizontal="center" vertical="center"/>
    </xf>
    <xf numFmtId="0" fontId="23" fillId="9" borderId="35" xfId="0" applyFont="1" applyFill="1" applyBorder="1" applyAlignment="1">
      <alignment horizontal="center" vertical="center"/>
    </xf>
    <xf numFmtId="0" fontId="23" fillId="9" borderId="36" xfId="0" applyFont="1" applyFill="1" applyBorder="1" applyAlignment="1">
      <alignment horizontal="center" vertical="center"/>
    </xf>
    <xf numFmtId="0" fontId="23" fillId="9" borderId="37" xfId="0" applyFont="1" applyFill="1" applyBorder="1" applyAlignment="1">
      <alignment horizontal="center" vertical="center"/>
    </xf>
    <xf numFmtId="0" fontId="23" fillId="9" borderId="17" xfId="0" applyFont="1" applyFill="1" applyBorder="1" applyAlignment="1">
      <alignment horizontal="center" vertical="center"/>
    </xf>
    <xf numFmtId="0" fontId="23" fillId="9" borderId="15" xfId="0" applyFont="1" applyFill="1" applyBorder="1" applyAlignment="1">
      <alignment horizontal="center" vertical="center"/>
    </xf>
    <xf numFmtId="0" fontId="24" fillId="8" borderId="21" xfId="0" applyFont="1" applyFill="1" applyBorder="1" applyAlignment="1">
      <alignment horizontal="center" vertical="center"/>
    </xf>
    <xf numFmtId="0" fontId="24" fillId="8" borderId="21" xfId="0" applyFont="1" applyFill="1" applyBorder="1" applyAlignment="1">
      <alignment horizontal="center" vertical="center" wrapText="1"/>
    </xf>
    <xf numFmtId="0" fontId="25" fillId="8" borderId="21" xfId="0" applyFont="1" applyFill="1" applyBorder="1" applyAlignment="1">
      <alignment horizontal="center" vertical="center"/>
    </xf>
    <xf numFmtId="2" fontId="0" fillId="11" borderId="7" xfId="0" applyNumberFormat="1" applyFill="1" applyBorder="1" applyAlignment="1">
      <alignment horizontal="center" vertical="center"/>
    </xf>
    <xf numFmtId="0" fontId="0" fillId="0" borderId="7" xfId="0" applyBorder="1" applyAlignment="1">
      <alignment horizontal="center" vertical="center"/>
    </xf>
    <xf numFmtId="0" fontId="23"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3" fontId="20" fillId="19" borderId="59" xfId="0" applyNumberFormat="1" applyFont="1" applyFill="1" applyBorder="1" applyAlignment="1">
      <alignment horizontal="center" vertical="center"/>
    </xf>
    <xf numFmtId="3" fontId="20" fillId="19" borderId="63" xfId="0" applyNumberFormat="1" applyFont="1" applyFill="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1" fontId="20" fillId="1" borderId="54" xfId="0" applyNumberFormat="1" applyFont="1" applyFill="1" applyBorder="1" applyAlignment="1" applyProtection="1">
      <alignment horizontal="center" vertical="center"/>
      <protection locked="0"/>
    </xf>
    <xf numFmtId="1" fontId="20" fillId="1" borderId="57" xfId="0" applyNumberFormat="1" applyFont="1" applyFill="1" applyBorder="1" applyAlignment="1" applyProtection="1">
      <alignment horizontal="center" vertical="center"/>
      <protection locked="0"/>
    </xf>
    <xf numFmtId="0" fontId="6" fillId="0" borderId="4" xfId="0" applyFont="1" applyBorder="1" applyAlignment="1">
      <alignment horizontal="center" vertical="center"/>
    </xf>
    <xf numFmtId="0" fontId="6" fillId="0" borderId="0" xfId="0" applyFont="1" applyAlignment="1">
      <alignment horizontal="center" vertical="center"/>
    </xf>
    <xf numFmtId="0" fontId="35" fillId="0" borderId="62" xfId="0" applyFont="1" applyBorder="1" applyAlignment="1">
      <alignment horizontal="center" vertical="center"/>
    </xf>
    <xf numFmtId="0" fontId="35" fillId="0" borderId="55" xfId="0" applyFont="1" applyBorder="1" applyAlignment="1">
      <alignment horizontal="center" vertical="center"/>
    </xf>
    <xf numFmtId="2" fontId="21" fillId="19" borderId="29" xfId="0" applyNumberFormat="1" applyFont="1" applyFill="1" applyBorder="1" applyAlignment="1">
      <alignment horizontal="center" vertical="center"/>
    </xf>
    <xf numFmtId="2" fontId="21" fillId="19" borderId="21" xfId="0" applyNumberFormat="1" applyFont="1" applyFill="1" applyBorder="1" applyAlignment="1">
      <alignment horizontal="center" vertical="center"/>
    </xf>
    <xf numFmtId="2" fontId="21" fillId="19" borderId="24" xfId="0" applyNumberFormat="1" applyFont="1" applyFill="1" applyBorder="1" applyAlignment="1">
      <alignment horizontal="center" vertical="center"/>
    </xf>
    <xf numFmtId="2" fontId="21" fillId="19" borderId="31" xfId="0" applyNumberFormat="1" applyFont="1" applyFill="1" applyBorder="1" applyAlignment="1">
      <alignment horizontal="center" vertical="center"/>
    </xf>
    <xf numFmtId="2" fontId="21" fillId="19" borderId="32" xfId="0" applyNumberFormat="1" applyFont="1" applyFill="1" applyBorder="1" applyAlignment="1">
      <alignment horizontal="center" vertical="center"/>
    </xf>
    <xf numFmtId="2" fontId="21" fillId="19" borderId="33" xfId="0" applyNumberFormat="1" applyFont="1" applyFill="1" applyBorder="1" applyAlignment="1">
      <alignment horizontal="center" vertical="center"/>
    </xf>
    <xf numFmtId="4" fontId="21" fillId="19" borderId="59" xfId="0" applyNumberFormat="1" applyFont="1" applyFill="1" applyBorder="1" applyAlignment="1">
      <alignment horizontal="center" vertical="center"/>
    </xf>
    <xf numFmtId="4" fontId="21" fillId="19" borderId="63" xfId="0" applyNumberFormat="1" applyFont="1" applyFill="1" applyBorder="1" applyAlignment="1">
      <alignment horizontal="center" vertical="center"/>
    </xf>
    <xf numFmtId="0" fontId="0" fillId="0" borderId="0" xfId="0" applyAlignment="1">
      <alignment horizontal="right"/>
    </xf>
    <xf numFmtId="0" fontId="0" fillId="0" borderId="6" xfId="0" applyBorder="1" applyAlignment="1">
      <alignment horizontal="right"/>
    </xf>
    <xf numFmtId="0" fontId="1" fillId="4" borderId="11" xfId="0" applyFont="1" applyFill="1" applyBorder="1" applyAlignment="1">
      <alignment horizontal="center" vertical="center"/>
    </xf>
    <xf numFmtId="0" fontId="1" fillId="4" borderId="16" xfId="0" applyFont="1" applyFill="1" applyBorder="1" applyAlignment="1">
      <alignment horizontal="center" vertical="center"/>
    </xf>
    <xf numFmtId="0" fontId="33" fillId="0" borderId="27" xfId="0" applyFont="1" applyBorder="1" applyAlignment="1">
      <alignment horizontal="center"/>
    </xf>
    <xf numFmtId="0" fontId="33" fillId="0" borderId="0" xfId="0" applyFont="1" applyAlignment="1">
      <alignment horizontal="center"/>
    </xf>
    <xf numFmtId="0" fontId="34" fillId="18" borderId="46" xfId="0" applyFont="1" applyFill="1" applyBorder="1" applyAlignment="1">
      <alignment horizontal="center"/>
    </xf>
    <xf numFmtId="0" fontId="34" fillId="18" borderId="47" xfId="0" applyFont="1" applyFill="1" applyBorder="1" applyAlignment="1">
      <alignment horizontal="center"/>
    </xf>
    <xf numFmtId="3" fontId="21" fillId="19" borderId="59" xfId="0" applyNumberFormat="1" applyFont="1" applyFill="1" applyBorder="1" applyAlignment="1">
      <alignment horizontal="center" vertical="center"/>
    </xf>
    <xf numFmtId="3" fontId="21" fillId="19" borderId="63" xfId="0" applyNumberFormat="1" applyFont="1" applyFill="1" applyBorder="1" applyAlignment="1">
      <alignment horizontal="center" vertical="center"/>
    </xf>
    <xf numFmtId="0" fontId="1" fillId="6" borderId="11" xfId="0" applyFont="1" applyFill="1" applyBorder="1" applyAlignment="1">
      <alignment horizontal="center" vertical="center"/>
    </xf>
    <xf numFmtId="0" fontId="1" fillId="6" borderId="16" xfId="0" applyFont="1" applyFill="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 fontId="0" fillId="0" borderId="7" xfId="0" applyNumberFormat="1" applyBorder="1" applyAlignment="1">
      <alignment horizontal="center" vertical="center"/>
    </xf>
    <xf numFmtId="0" fontId="32" fillId="4" borderId="20" xfId="0" applyFont="1" applyFill="1" applyBorder="1"/>
    <xf numFmtId="0" fontId="32" fillId="4" borderId="38" xfId="0" applyFont="1" applyFill="1" applyBorder="1"/>
    <xf numFmtId="0" fontId="32" fillId="4" borderId="20" xfId="0" applyFont="1" applyFill="1" applyBorder="1" applyAlignment="1">
      <alignment horizontal="center"/>
    </xf>
    <xf numFmtId="0" fontId="32" fillId="4" borderId="38" xfId="0" applyFont="1" applyFill="1" applyBorder="1" applyAlignment="1">
      <alignment horizontal="center"/>
    </xf>
    <xf numFmtId="0" fontId="0" fillId="0" borderId="20" xfId="0" applyBorder="1" applyAlignment="1">
      <alignment horizontal="center"/>
    </xf>
    <xf numFmtId="0" fontId="0" fillId="0" borderId="38" xfId="0" applyBorder="1"/>
    <xf numFmtId="0" fontId="0" fillId="0" borderId="7" xfId="0" applyBorder="1" applyAlignment="1">
      <alignment horizontal="center"/>
    </xf>
    <xf numFmtId="0" fontId="0" fillId="0" borderId="7" xfId="0" applyBorder="1"/>
    <xf numFmtId="0" fontId="0" fillId="0" borderId="38" xfId="0" applyBorder="1" applyAlignment="1">
      <alignment horizontal="center"/>
    </xf>
    <xf numFmtId="0" fontId="31" fillId="9" borderId="20" xfId="0" applyFont="1" applyFill="1" applyBorder="1" applyAlignment="1">
      <alignment horizontal="center" vertical="center"/>
    </xf>
    <xf numFmtId="0" fontId="31" fillId="9" borderId="41" xfId="0" applyFont="1" applyFill="1" applyBorder="1" applyAlignment="1">
      <alignment horizontal="center" vertical="center"/>
    </xf>
    <xf numFmtId="0" fontId="31" fillId="9" borderId="38" xfId="0" applyFont="1" applyFill="1" applyBorder="1" applyAlignment="1">
      <alignment horizontal="center" vertical="center"/>
    </xf>
    <xf numFmtId="0" fontId="25" fillId="9" borderId="43" xfId="0" applyFont="1" applyFill="1" applyBorder="1" applyAlignment="1">
      <alignment horizontal="center" vertical="center"/>
    </xf>
    <xf numFmtId="0" fontId="25" fillId="9" borderId="21" xfId="0" applyFont="1" applyFill="1" applyBorder="1" applyAlignment="1">
      <alignment horizontal="center" vertical="center"/>
    </xf>
    <xf numFmtId="0" fontId="25" fillId="9" borderId="43" xfId="0" applyFont="1" applyFill="1" applyBorder="1" applyAlignment="1">
      <alignment horizontal="center" vertical="center" wrapText="1"/>
    </xf>
    <xf numFmtId="0" fontId="25" fillId="9" borderId="21" xfId="0" applyFont="1" applyFill="1" applyBorder="1" applyAlignment="1">
      <alignment horizontal="center" vertical="center" wrapText="1"/>
    </xf>
    <xf numFmtId="0" fontId="25" fillId="9" borderId="34" xfId="0" applyFont="1" applyFill="1" applyBorder="1" applyAlignment="1">
      <alignment horizontal="center" vertical="center" wrapText="1"/>
    </xf>
    <xf numFmtId="0" fontId="25" fillId="9" borderId="36"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5" fillId="9" borderId="40" xfId="0" applyFont="1" applyFill="1" applyBorder="1" applyAlignment="1">
      <alignment horizontal="center" vertical="center" wrapText="1"/>
    </xf>
    <xf numFmtId="0" fontId="30" fillId="12" borderId="39" xfId="0" applyFont="1" applyFill="1" applyBorder="1" applyAlignment="1">
      <alignment horizontal="center" vertical="center"/>
    </xf>
    <xf numFmtId="0" fontId="30" fillId="12" borderId="42" xfId="0" applyFont="1" applyFill="1" applyBorder="1" applyAlignment="1">
      <alignment horizontal="center" vertical="center"/>
    </xf>
    <xf numFmtId="0" fontId="30" fillId="12" borderId="40" xfId="0" applyFont="1" applyFill="1" applyBorder="1" applyAlignment="1">
      <alignment horizontal="center" vertical="center"/>
    </xf>
    <xf numFmtId="0" fontId="30" fillId="12" borderId="39" xfId="0" applyFont="1" applyFill="1" applyBorder="1" applyAlignment="1">
      <alignment horizontal="center"/>
    </xf>
    <xf numFmtId="0" fontId="0" fillId="12" borderId="42" xfId="0" applyFill="1" applyBorder="1" applyAlignment="1">
      <alignment horizontal="center"/>
    </xf>
    <xf numFmtId="0" fontId="0" fillId="12" borderId="40" xfId="0" applyFill="1" applyBorder="1"/>
    <xf numFmtId="0" fontId="0" fillId="0" borderId="0" xfId="0"/>
    <xf numFmtId="0" fontId="14" fillId="0" borderId="23" xfId="0" applyFont="1" applyBorder="1" applyAlignment="1">
      <alignment horizontal="center" vertical="center"/>
    </xf>
    <xf numFmtId="0" fontId="0" fillId="0" borderId="23" xfId="0" applyBorder="1" applyAlignment="1">
      <alignment horizontal="center" vertical="center"/>
    </xf>
    <xf numFmtId="0" fontId="28" fillId="9" borderId="34" xfId="0" applyFont="1" applyFill="1" applyBorder="1" applyAlignment="1">
      <alignment horizontal="center" vertical="center"/>
    </xf>
    <xf numFmtId="0" fontId="28" fillId="9" borderId="35" xfId="0" applyFont="1" applyFill="1" applyBorder="1" applyAlignment="1">
      <alignment horizontal="center" vertical="center"/>
    </xf>
    <xf numFmtId="0" fontId="29" fillId="9" borderId="35" xfId="0" applyFont="1" applyFill="1" applyBorder="1"/>
    <xf numFmtId="0" fontId="29" fillId="9" borderId="36" xfId="0" applyFont="1" applyFill="1" applyBorder="1"/>
    <xf numFmtId="0" fontId="28" fillId="9" borderId="37" xfId="0" applyFont="1" applyFill="1" applyBorder="1" applyAlignment="1">
      <alignment horizontal="center" vertical="center"/>
    </xf>
    <xf numFmtId="0" fontId="28" fillId="9" borderId="17" xfId="0" applyFont="1" applyFill="1" applyBorder="1" applyAlignment="1">
      <alignment horizontal="center" vertical="center"/>
    </xf>
    <xf numFmtId="0" fontId="29" fillId="9" borderId="17" xfId="0" applyFont="1" applyFill="1" applyBorder="1"/>
    <xf numFmtId="0" fontId="29" fillId="9" borderId="15" xfId="0" applyFont="1" applyFill="1" applyBorder="1"/>
    <xf numFmtId="2" fontId="20" fillId="19" borderId="54" xfId="0" applyNumberFormat="1" applyFont="1" applyFill="1" applyBorder="1" applyAlignment="1">
      <alignment horizontal="center" vertical="center"/>
    </xf>
    <xf numFmtId="2" fontId="20" fillId="19" borderId="57" xfId="0" applyNumberFormat="1" applyFont="1" applyFill="1" applyBorder="1" applyAlignment="1">
      <alignment horizontal="center" vertical="center"/>
    </xf>
    <xf numFmtId="4" fontId="20" fillId="19" borderId="54" xfId="0" applyNumberFormat="1" applyFont="1" applyFill="1" applyBorder="1" applyAlignment="1">
      <alignment horizontal="center" vertical="center"/>
    </xf>
    <xf numFmtId="4" fontId="20" fillId="19" borderId="57" xfId="0" applyNumberFormat="1" applyFont="1" applyFill="1" applyBorder="1" applyAlignment="1">
      <alignment horizontal="center" vertical="center"/>
    </xf>
    <xf numFmtId="3" fontId="20" fillId="19" borderId="54" xfId="0" applyNumberFormat="1" applyFont="1" applyFill="1" applyBorder="1" applyAlignment="1">
      <alignment horizontal="center" vertical="center"/>
    </xf>
    <xf numFmtId="3" fontId="20" fillId="19" borderId="57" xfId="0" applyNumberFormat="1" applyFont="1" applyFill="1" applyBorder="1" applyAlignment="1">
      <alignment horizontal="center" vertical="center"/>
    </xf>
    <xf numFmtId="2" fontId="21" fillId="19" borderId="4" xfId="0" applyNumberFormat="1" applyFont="1" applyFill="1" applyBorder="1" applyAlignment="1">
      <alignment horizontal="center" vertical="center"/>
    </xf>
    <xf numFmtId="2" fontId="21" fillId="19" borderId="0" xfId="0" applyNumberFormat="1" applyFont="1" applyFill="1" applyAlignment="1">
      <alignment horizontal="center" vertical="center"/>
    </xf>
    <xf numFmtId="2" fontId="21" fillId="19" borderId="5" xfId="0" applyNumberFormat="1" applyFont="1" applyFill="1" applyBorder="1" applyAlignment="1">
      <alignment horizontal="center" vertical="center"/>
    </xf>
    <xf numFmtId="2" fontId="21" fillId="19" borderId="25" xfId="0" applyNumberFormat="1" applyFont="1" applyFill="1" applyBorder="1" applyAlignment="1">
      <alignment horizontal="center" vertical="center"/>
    </xf>
    <xf numFmtId="2" fontId="21" fillId="19" borderId="23" xfId="0" applyNumberFormat="1" applyFont="1" applyFill="1" applyBorder="1" applyAlignment="1">
      <alignment horizontal="center" vertical="center"/>
    </xf>
    <xf numFmtId="2" fontId="21" fillId="19" borderId="26" xfId="0" applyNumberFormat="1" applyFont="1" applyFill="1" applyBorder="1" applyAlignment="1">
      <alignment horizontal="center" vertical="center"/>
    </xf>
    <xf numFmtId="0" fontId="35" fillId="4" borderId="8" xfId="0" applyFont="1" applyFill="1" applyBorder="1" applyAlignment="1">
      <alignment horizontal="center" vertical="center"/>
    </xf>
    <xf numFmtId="0" fontId="35" fillId="4" borderId="58" xfId="0" applyFont="1" applyFill="1" applyBorder="1" applyAlignment="1">
      <alignment horizontal="center" vertical="center"/>
    </xf>
    <xf numFmtId="1" fontId="20" fillId="1" borderId="54" xfId="0" applyNumberFormat="1" applyFont="1" applyFill="1" applyBorder="1" applyAlignment="1">
      <alignment horizontal="center" vertical="center"/>
    </xf>
    <xf numFmtId="1" fontId="20" fillId="1" borderId="57" xfId="0" applyNumberFormat="1" applyFont="1" applyFill="1" applyBorder="1" applyAlignment="1">
      <alignment horizontal="center" vertical="center"/>
    </xf>
    <xf numFmtId="0" fontId="21" fillId="1" borderId="54" xfId="0" applyFont="1" applyFill="1" applyBorder="1" applyAlignment="1">
      <alignment horizontal="center" vertical="center"/>
    </xf>
    <xf numFmtId="0" fontId="21" fillId="1" borderId="5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8" xfId="0" applyFont="1" applyFill="1" applyBorder="1" applyAlignment="1">
      <alignment horizontal="center" vertical="center"/>
    </xf>
    <xf numFmtId="0" fontId="0" fillId="0" borderId="27" xfId="0" applyBorder="1" applyAlignment="1">
      <alignment horizontal="center"/>
    </xf>
    <xf numFmtId="0" fontId="0" fillId="0" borderId="0" xfId="0" applyAlignment="1">
      <alignment horizontal="center"/>
    </xf>
    <xf numFmtId="0" fontId="34" fillId="18" borderId="48" xfId="0" applyFont="1" applyFill="1" applyBorder="1" applyAlignment="1">
      <alignment horizontal="center"/>
    </xf>
    <xf numFmtId="0" fontId="17" fillId="6" borderId="11" xfId="0" applyFont="1" applyFill="1" applyBorder="1" applyAlignment="1">
      <alignment horizontal="center" vertical="center"/>
    </xf>
    <xf numFmtId="0" fontId="17" fillId="6" borderId="1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LAKE LAWTONKA DISCHARGE RATING CURVE</a:t>
            </a:r>
          </a:p>
        </c:rich>
      </c:tx>
      <c:layout>
        <c:manualLayout>
          <c:xMode val="edge"/>
          <c:yMode val="edge"/>
          <c:x val="0.19741134195897794"/>
          <c:y val="3.1630170316301706E-2"/>
        </c:manualLayout>
      </c:layout>
      <c:overlay val="0"/>
      <c:spPr>
        <a:noFill/>
        <a:ln w="25400">
          <a:noFill/>
        </a:ln>
      </c:spPr>
    </c:title>
    <c:autoTitleDeleted val="0"/>
    <c:plotArea>
      <c:layout>
        <c:manualLayout>
          <c:layoutTarget val="inner"/>
          <c:xMode val="edge"/>
          <c:yMode val="edge"/>
          <c:x val="0.16828505556775822"/>
          <c:y val="0.17274980219216229"/>
          <c:w val="0.55178080719813027"/>
          <c:h val="0.6593689632968448"/>
        </c:manualLayout>
      </c:layout>
      <c:scatterChart>
        <c:scatterStyle val="smoothMarker"/>
        <c:varyColors val="0"/>
        <c:ser>
          <c:idx val="0"/>
          <c:order val="0"/>
          <c:tx>
            <c:v>RATING CURVE</c:v>
          </c:tx>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57"/>
              <c:pt idx="0">
                <c:v>0</c:v>
              </c:pt>
              <c:pt idx="1">
                <c:v>321.90778783200017</c:v>
              </c:pt>
              <c:pt idx="2">
                <c:v>324.41500867459007</c:v>
              </c:pt>
              <c:pt idx="3">
                <c:v>649.03811138785534</c:v>
              </c:pt>
              <c:pt idx="4">
                <c:v>654.01249847097938</c:v>
              </c:pt>
              <c:pt idx="5">
                <c:v>981.32841527018365</c:v>
              </c:pt>
              <c:pt idx="6">
                <c:v>988.73133163626994</c:v>
              </c:pt>
              <c:pt idx="7">
                <c:v>1318.7181114795762</c:v>
              </c:pt>
              <c:pt idx="8">
                <c:v>1359.0613766960073</c:v>
              </c:pt>
              <c:pt idx="9">
                <c:v>1579.4350697820205</c:v>
              </c:pt>
              <c:pt idx="10">
                <c:v>1819.5035298567391</c:v>
              </c:pt>
              <c:pt idx="11">
                <c:v>2051.4056144824208</c:v>
              </c:pt>
              <c:pt idx="12">
                <c:v>2285.5839812636018</c:v>
              </c:pt>
              <c:pt idx="13">
                <c:v>2711.6010197899518</c:v>
              </c:pt>
              <c:pt idx="14">
                <c:v>2894.2779167004815</c:v>
              </c:pt>
              <c:pt idx="15">
                <c:v>3139.3996522503612</c:v>
              </c:pt>
              <c:pt idx="16">
                <c:v>3370.742451066214</c:v>
              </c:pt>
              <c:pt idx="17">
                <c:v>3605.0036910249937</c:v>
              </c:pt>
              <c:pt idx="18">
                <c:v>3838.3131553440044</c:v>
              </c:pt>
              <c:pt idx="19">
                <c:v>4072.5396500749871</c:v>
              </c:pt>
              <c:pt idx="20">
                <c:v>4310.0309487604663</c:v>
              </c:pt>
              <c:pt idx="21">
                <c:v>4546.1992026562757</c:v>
              </c:pt>
              <c:pt idx="22">
                <c:v>4539.8227200602969</c:v>
              </c:pt>
              <c:pt idx="23">
                <c:v>5210.3769191028005</c:v>
              </c:pt>
              <c:pt idx="24">
                <c:v>5440.1323153555513</c:v>
              </c:pt>
              <c:pt idx="25">
                <c:v>5678.2619405957685</c:v>
              </c:pt>
              <c:pt idx="26">
                <c:v>5911.9191001941272</c:v>
              </c:pt>
              <c:pt idx="27">
                <c:v>6151.5845234214703</c:v>
              </c:pt>
              <c:pt idx="28">
                <c:v>6392.1261336529105</c:v>
              </c:pt>
              <c:pt idx="29">
                <c:v>6627.4764323520112</c:v>
              </c:pt>
              <c:pt idx="30">
                <c:v>6869.5250899471139</c:v>
              </c:pt>
              <c:pt idx="31">
                <c:v>7112.4384661795057</c:v>
              </c:pt>
              <c:pt idx="32">
                <c:v>7349.4248710867405</c:v>
              </c:pt>
              <c:pt idx="33">
                <c:v>7593.8174154141116</c:v>
              </c:pt>
              <c:pt idx="34">
                <c:v>7839.0635873128222</c:v>
              </c:pt>
              <c:pt idx="35">
                <c:v>8089.320353760766</c:v>
              </c:pt>
              <c:pt idx="36">
                <c:v>8312.282083263708</c:v>
              </c:pt>
              <c:pt idx="37">
                <c:v>8559.4650245230841</c:v>
              </c:pt>
              <c:pt idx="38">
                <c:v>8786.421637552352</c:v>
              </c:pt>
              <c:pt idx="39">
                <c:v>9034.6670080803797</c:v>
              </c:pt>
              <c:pt idx="40">
                <c:v>9283.7424611878323</c:v>
              </c:pt>
              <c:pt idx="41">
                <c:v>9293.0995803154256</c:v>
              </c:pt>
              <c:pt idx="42">
                <c:v>9538.4334052661634</c:v>
              </c:pt>
              <c:pt idx="43">
                <c:v>9789.2686285222408</c:v>
              </c:pt>
              <c:pt idx="44">
                <c:v>10026.330707947447</c:v>
              </c:pt>
              <c:pt idx="45">
                <c:v>10283.540398585641</c:v>
              </c:pt>
              <c:pt idx="46">
                <c:v>10536.569778838566</c:v>
              </c:pt>
              <c:pt idx="47">
                <c:v>11304.433533058607</c:v>
              </c:pt>
              <c:pt idx="48">
                <c:v>12176.714734010364</c:v>
              </c:pt>
              <c:pt idx="49">
                <c:v>13034.124654958074</c:v>
              </c:pt>
              <c:pt idx="50">
                <c:v>13841.304162762834</c:v>
              </c:pt>
              <c:pt idx="51">
                <c:v>14619.914840871497</c:v>
              </c:pt>
              <c:pt idx="52">
                <c:v>15443.001363788413</c:v>
              </c:pt>
              <c:pt idx="53">
                <c:v>15415.787342824928</c:v>
              </c:pt>
              <c:pt idx="54">
                <c:v>19650.627125784755</c:v>
              </c:pt>
              <c:pt idx="55">
                <c:v>23375.94890352423</c:v>
              </c:pt>
              <c:pt idx="56">
                <c:v>33012.251618244132</c:v>
              </c:pt>
            </c:numLit>
          </c:xVal>
          <c:yVal>
            <c:numLit>
              <c:formatCode>General</c:formatCode>
              <c:ptCount val="57"/>
              <c:pt idx="0">
                <c:v>1343.47</c:v>
              </c:pt>
              <c:pt idx="1">
                <c:v>1343.4749999999999</c:v>
              </c:pt>
              <c:pt idx="2">
                <c:v>1343.595</c:v>
              </c:pt>
              <c:pt idx="3">
                <c:v>1343.6</c:v>
              </c:pt>
              <c:pt idx="4">
                <c:v>1343.72</c:v>
              </c:pt>
              <c:pt idx="5">
                <c:v>1343.7249999999999</c:v>
              </c:pt>
              <c:pt idx="6">
                <c:v>1343.845</c:v>
              </c:pt>
              <c:pt idx="7">
                <c:v>1343.85</c:v>
              </c:pt>
              <c:pt idx="8">
                <c:v>1344.35</c:v>
              </c:pt>
              <c:pt idx="9">
                <c:v>1344.43</c:v>
              </c:pt>
              <c:pt idx="10">
                <c:v>1344.6</c:v>
              </c:pt>
              <c:pt idx="11">
                <c:v>1344.68</c:v>
              </c:pt>
              <c:pt idx="12">
                <c:v>1344.77</c:v>
              </c:pt>
              <c:pt idx="13">
                <c:v>1344.85</c:v>
              </c:pt>
              <c:pt idx="14">
                <c:v>1344.93</c:v>
              </c:pt>
              <c:pt idx="15">
                <c:v>1345.1</c:v>
              </c:pt>
              <c:pt idx="16">
                <c:v>1345.18</c:v>
              </c:pt>
              <c:pt idx="17">
                <c:v>1345.27</c:v>
              </c:pt>
              <c:pt idx="18">
                <c:v>1345.35</c:v>
              </c:pt>
              <c:pt idx="19">
                <c:v>1345.43</c:v>
              </c:pt>
              <c:pt idx="20">
                <c:v>1345.52</c:v>
              </c:pt>
              <c:pt idx="21">
                <c:v>1345.6</c:v>
              </c:pt>
              <c:pt idx="22">
                <c:v>1345.68</c:v>
              </c:pt>
              <c:pt idx="23">
                <c:v>1345.77</c:v>
              </c:pt>
              <c:pt idx="24">
                <c:v>1345.85</c:v>
              </c:pt>
              <c:pt idx="25">
                <c:v>1345.93</c:v>
              </c:pt>
              <c:pt idx="26">
                <c:v>1346.02</c:v>
              </c:pt>
              <c:pt idx="27">
                <c:v>1346.1</c:v>
              </c:pt>
              <c:pt idx="28">
                <c:v>1346.18</c:v>
              </c:pt>
              <c:pt idx="29">
                <c:v>1346.27</c:v>
              </c:pt>
              <c:pt idx="30">
                <c:v>1346.35</c:v>
              </c:pt>
              <c:pt idx="31">
                <c:v>1346.43</c:v>
              </c:pt>
              <c:pt idx="32">
                <c:v>1346.52</c:v>
              </c:pt>
              <c:pt idx="33">
                <c:v>1346.6</c:v>
              </c:pt>
              <c:pt idx="34">
                <c:v>1346.68</c:v>
              </c:pt>
              <c:pt idx="35">
                <c:v>1346.77</c:v>
              </c:pt>
              <c:pt idx="36">
                <c:v>1346.85</c:v>
              </c:pt>
              <c:pt idx="37">
                <c:v>1346.93</c:v>
              </c:pt>
              <c:pt idx="38">
                <c:v>1347.02</c:v>
              </c:pt>
              <c:pt idx="39">
                <c:v>1347.1</c:v>
              </c:pt>
              <c:pt idx="40">
                <c:v>1347.18</c:v>
              </c:pt>
              <c:pt idx="41">
                <c:v>1347.2</c:v>
              </c:pt>
              <c:pt idx="42">
                <c:v>1347.27</c:v>
              </c:pt>
              <c:pt idx="43">
                <c:v>1347.35</c:v>
              </c:pt>
              <c:pt idx="44">
                <c:v>1347.43</c:v>
              </c:pt>
              <c:pt idx="45">
                <c:v>1347.52</c:v>
              </c:pt>
              <c:pt idx="46">
                <c:v>1347.6</c:v>
              </c:pt>
              <c:pt idx="47">
                <c:v>1347.68</c:v>
              </c:pt>
              <c:pt idx="48">
                <c:v>1347.77</c:v>
              </c:pt>
              <c:pt idx="49">
                <c:v>1347.85</c:v>
              </c:pt>
              <c:pt idx="50">
                <c:v>1347.93</c:v>
              </c:pt>
              <c:pt idx="51">
                <c:v>1348.02</c:v>
              </c:pt>
              <c:pt idx="52">
                <c:v>1348.1</c:v>
              </c:pt>
              <c:pt idx="53">
                <c:v>1348.18</c:v>
              </c:pt>
              <c:pt idx="54">
                <c:v>1348.6</c:v>
              </c:pt>
              <c:pt idx="55">
                <c:v>1349.1</c:v>
              </c:pt>
              <c:pt idx="56">
                <c:v>1355.55</c:v>
              </c:pt>
            </c:numLit>
          </c:yVal>
          <c:smooth val="1"/>
          <c:extLst>
            <c:ext xmlns:c16="http://schemas.microsoft.com/office/drawing/2014/chart" uri="{C3380CC4-5D6E-409C-BE32-E72D297353CC}">
              <c16:uniqueId val="{00000000-3A50-407F-82CD-15ABEBE05A9D}"/>
            </c:ext>
          </c:extLst>
        </c:ser>
        <c:dLbls>
          <c:showLegendKey val="0"/>
          <c:showVal val="0"/>
          <c:showCatName val="0"/>
          <c:showSerName val="0"/>
          <c:showPercent val="0"/>
          <c:showBubbleSize val="0"/>
        </c:dLbls>
        <c:axId val="591022815"/>
        <c:axId val="1"/>
      </c:scatterChart>
      <c:valAx>
        <c:axId val="591022815"/>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DISCHARGE (CFS)</a:t>
                </a:r>
              </a:p>
            </c:rich>
          </c:tx>
          <c:layout>
            <c:manualLayout>
              <c:xMode val="edge"/>
              <c:yMode val="edge"/>
              <c:x val="0.34789692636046832"/>
              <c:y val="0.9075446226156036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LAKE ELEVATION (FT)</a:t>
                </a:r>
              </a:p>
            </c:rich>
          </c:tx>
          <c:layout>
            <c:manualLayout>
              <c:xMode val="edge"/>
              <c:yMode val="edge"/>
              <c:x val="2.5889956711000712E-2"/>
              <c:y val="0.328467919612238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91022815"/>
        <c:crosses val="autoZero"/>
        <c:crossBetween val="midCat"/>
      </c:valAx>
      <c:spPr>
        <a:solidFill>
          <a:srgbClr val="C0C0C0"/>
        </a:solidFill>
        <a:ln w="12700">
          <a:solidFill>
            <a:srgbClr val="808080"/>
          </a:solidFill>
          <a:prstDash val="solid"/>
        </a:ln>
      </c:spPr>
    </c:plotArea>
    <c:legend>
      <c:legendPos val="r"/>
      <c:layout>
        <c:manualLayout>
          <c:xMode val="edge"/>
          <c:yMode val="edge"/>
          <c:x val="0.76860956698942495"/>
          <c:y val="0.47688666653894535"/>
          <c:w val="0.21844698202923718"/>
          <c:h val="5.3527980535279795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28575</xdr:colOff>
      <xdr:row>7</xdr:row>
      <xdr:rowOff>0</xdr:rowOff>
    </xdr:from>
    <xdr:to>
      <xdr:col>10</xdr:col>
      <xdr:colOff>0</xdr:colOff>
      <xdr:row>7</xdr:row>
      <xdr:rowOff>0</xdr:rowOff>
    </xdr:to>
    <xdr:sp macro="" textlink="">
      <xdr:nvSpPr>
        <xdr:cNvPr id="4" name="Rectangle 2">
          <a:extLst>
            <a:ext uri="{FF2B5EF4-FFF2-40B4-BE49-F238E27FC236}">
              <a16:creationId xmlns:a16="http://schemas.microsoft.com/office/drawing/2014/main" id="{B14F501F-0E79-40A9-90A9-DBF6AF01E4AD}"/>
            </a:ext>
          </a:extLst>
        </xdr:cNvPr>
        <xdr:cNvSpPr>
          <a:spLocks noChangeArrowheads="1"/>
        </xdr:cNvSpPr>
      </xdr:nvSpPr>
      <xdr:spPr bwMode="auto">
        <a:xfrm>
          <a:off x="28575" y="1266825"/>
          <a:ext cx="656272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The following results are from analytical testing conducted on the finished water for the Lawton Water Treatment Plants at both the Medicine Park and the Southeast locations.  These results are contaminants detected for the 2011 calender year.  This information should be used to publish your annual Consumer Confidence or Water Quality Report (if required) to comply with EPA 40 CFR 141 and 142.  If you have any questions please call (580) 529-2703.</a:t>
          </a:r>
        </a:p>
      </xdr:txBody>
    </xdr:sp>
    <xdr:clientData/>
  </xdr:twoCellAnchor>
  <xdr:twoCellAnchor>
    <xdr:from>
      <xdr:col>0</xdr:col>
      <xdr:colOff>0</xdr:colOff>
      <xdr:row>0</xdr:row>
      <xdr:rowOff>0</xdr:rowOff>
    </xdr:from>
    <xdr:to>
      <xdr:col>1</xdr:col>
      <xdr:colOff>762000</xdr:colOff>
      <xdr:row>7</xdr:row>
      <xdr:rowOff>104775</xdr:rowOff>
    </xdr:to>
    <xdr:pic>
      <xdr:nvPicPr>
        <xdr:cNvPr id="5" name="Picture 14">
          <a:extLst>
            <a:ext uri="{FF2B5EF4-FFF2-40B4-BE49-F238E27FC236}">
              <a16:creationId xmlns:a16="http://schemas.microsoft.com/office/drawing/2014/main" id="{38D8583A-EF7C-49B1-9F39-562177AD0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521" t="-409" r="-1521" b="-409"/>
        <a:stretch>
          <a:fillRect/>
        </a:stretch>
      </xdr:blipFill>
      <xdr:spPr bwMode="auto">
        <a:xfrm>
          <a:off x="0" y="0"/>
          <a:ext cx="1524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990600</xdr:colOff>
      <xdr:row>75</xdr:row>
      <xdr:rowOff>28575</xdr:rowOff>
    </xdr:from>
    <xdr:to>
      <xdr:col>9</xdr:col>
      <xdr:colOff>209550</xdr:colOff>
      <xdr:row>99</xdr:row>
      <xdr:rowOff>57150</xdr:rowOff>
    </xdr:to>
    <xdr:graphicFrame macro="">
      <xdr:nvGraphicFramePr>
        <xdr:cNvPr id="2" name="Chart 1">
          <a:extLst>
            <a:ext uri="{FF2B5EF4-FFF2-40B4-BE49-F238E27FC236}">
              <a16:creationId xmlns:a16="http://schemas.microsoft.com/office/drawing/2014/main" id="{D2ABBEE9-4F19-4C4D-AF44-505E321A5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8</xdr:row>
      <xdr:rowOff>0</xdr:rowOff>
    </xdr:from>
    <xdr:to>
      <xdr:col>9</xdr:col>
      <xdr:colOff>0</xdr:colOff>
      <xdr:row>8</xdr:row>
      <xdr:rowOff>0</xdr:rowOff>
    </xdr:to>
    <xdr:sp macro="" textlink="">
      <xdr:nvSpPr>
        <xdr:cNvPr id="4" name="Rectangle 2">
          <a:extLst>
            <a:ext uri="{FF2B5EF4-FFF2-40B4-BE49-F238E27FC236}">
              <a16:creationId xmlns:a16="http://schemas.microsoft.com/office/drawing/2014/main" id="{08D04440-E8C7-4323-BCF4-DD04D9FEC009}"/>
            </a:ext>
          </a:extLst>
        </xdr:cNvPr>
        <xdr:cNvSpPr>
          <a:spLocks noChangeArrowheads="1"/>
        </xdr:cNvSpPr>
      </xdr:nvSpPr>
      <xdr:spPr bwMode="auto">
        <a:xfrm>
          <a:off x="28575" y="1409700"/>
          <a:ext cx="5667375" cy="0"/>
        </a:xfrm>
        <a:prstGeom prst="rect">
          <a:avLst/>
        </a:prstGeom>
        <a:solidFill>
          <a:srgbClr val="FFFFFF"/>
        </a:solid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The following results are from analytical testing conducted on the finished water for the Lawton Water Treatment Plants at both the Medicine Park and the Southeast locations.  These results are contaminants detected for the 2011 calender year.  This information should be used to publish your annual Consumer Confidence or Water Quality Report (if required) to comply with EPA 40 CFR 141 and 142.  If you have any questions please call (580) 529-2703.</a:t>
          </a:r>
        </a:p>
      </xdr:txBody>
    </xdr:sp>
    <xdr:clientData/>
  </xdr:twoCellAnchor>
  <xdr:twoCellAnchor>
    <xdr:from>
      <xdr:col>0</xdr:col>
      <xdr:colOff>200025</xdr:colOff>
      <xdr:row>1</xdr:row>
      <xdr:rowOff>28575</xdr:rowOff>
    </xdr:from>
    <xdr:to>
      <xdr:col>1</xdr:col>
      <xdr:colOff>790575</xdr:colOff>
      <xdr:row>6</xdr:row>
      <xdr:rowOff>123825</xdr:rowOff>
    </xdr:to>
    <xdr:pic>
      <xdr:nvPicPr>
        <xdr:cNvPr id="5" name="Picture 14">
          <a:extLst>
            <a:ext uri="{FF2B5EF4-FFF2-40B4-BE49-F238E27FC236}">
              <a16:creationId xmlns:a16="http://schemas.microsoft.com/office/drawing/2014/main" id="{7EC07AB9-4FBC-4951-9CE3-7AC513F45A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521" t="-409" r="-1521" b="-409"/>
        <a:stretch>
          <a:fillRect/>
        </a:stretch>
      </xdr:blipFill>
      <xdr:spPr bwMode="auto">
        <a:xfrm>
          <a:off x="200025" y="190500"/>
          <a:ext cx="12382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DEE5-8437-4308-B68E-680C3692A809}">
  <sheetPr>
    <tabColor theme="9" tint="0.79998168889431442"/>
  </sheetPr>
  <dimension ref="A1:M43"/>
  <sheetViews>
    <sheetView workbookViewId="0">
      <selection activeCell="M12" sqref="M12"/>
    </sheetView>
  </sheetViews>
  <sheetFormatPr defaultRowHeight="15" x14ac:dyDescent="0.25"/>
  <cols>
    <col min="1" max="1" width="11.42578125" style="6" customWidth="1"/>
    <col min="2" max="2" width="12.5703125" style="116" customWidth="1"/>
    <col min="3" max="3" width="12.28515625" style="116" customWidth="1"/>
    <col min="4" max="4" width="1.28515625" style="116" customWidth="1"/>
    <col min="5" max="5" width="3.85546875" style="116" customWidth="1"/>
    <col min="6" max="6" width="8.85546875" style="116" customWidth="1"/>
    <col min="7" max="7" width="7.42578125" style="6" customWidth="1"/>
    <col min="8" max="8" width="9.5703125" style="6" customWidth="1"/>
    <col min="9" max="9" width="9.140625" style="116"/>
    <col min="10" max="10" width="22.42578125" style="116" customWidth="1"/>
  </cols>
  <sheetData>
    <row r="1" spans="1:10" x14ac:dyDescent="0.25">
      <c r="C1" s="257" t="s">
        <v>38</v>
      </c>
      <c r="D1" s="257"/>
      <c r="E1" s="258"/>
      <c r="F1" s="258"/>
      <c r="G1" s="258"/>
      <c r="H1" s="258"/>
      <c r="I1" s="258"/>
      <c r="J1" s="258"/>
    </row>
    <row r="2" spans="1:10" ht="21" customHeight="1" x14ac:dyDescent="0.25">
      <c r="C2" s="258"/>
      <c r="D2" s="258"/>
      <c r="E2" s="258"/>
      <c r="F2" s="258"/>
      <c r="G2" s="258"/>
      <c r="H2" s="258"/>
      <c r="I2" s="258"/>
      <c r="J2" s="258"/>
    </row>
    <row r="3" spans="1:10" x14ac:dyDescent="0.25">
      <c r="C3" s="259" t="s">
        <v>39</v>
      </c>
      <c r="D3" s="259"/>
      <c r="E3" s="259"/>
      <c r="F3" s="259"/>
      <c r="H3" s="259" t="s">
        <v>40</v>
      </c>
      <c r="I3" s="259"/>
      <c r="J3" s="259"/>
    </row>
    <row r="4" spans="1:10" x14ac:dyDescent="0.25">
      <c r="C4" s="260" t="s">
        <v>41</v>
      </c>
      <c r="D4" s="259"/>
      <c r="E4" s="259"/>
      <c r="F4" s="259"/>
      <c r="H4" s="259" t="s">
        <v>42</v>
      </c>
      <c r="I4" s="259"/>
      <c r="J4" s="259"/>
    </row>
    <row r="5" spans="1:10" x14ac:dyDescent="0.25">
      <c r="C5" s="259" t="s">
        <v>43</v>
      </c>
      <c r="D5" s="259"/>
      <c r="E5" s="259"/>
      <c r="F5" s="259"/>
      <c r="H5" s="259" t="s">
        <v>44</v>
      </c>
      <c r="I5" s="259"/>
      <c r="J5" s="259"/>
    </row>
    <row r="6" spans="1:10" x14ac:dyDescent="0.25">
      <c r="C6" s="118" t="s">
        <v>45</v>
      </c>
      <c r="D6" s="118"/>
      <c r="E6" s="116" t="s">
        <v>46</v>
      </c>
      <c r="I6" s="116" t="s">
        <v>47</v>
      </c>
    </row>
    <row r="7" spans="1:10" ht="15.75" thickBot="1" x14ac:dyDescent="0.3">
      <c r="C7" s="119"/>
      <c r="D7" s="119"/>
      <c r="E7" s="120"/>
      <c r="F7" s="120"/>
      <c r="G7" s="121"/>
      <c r="H7" s="121"/>
      <c r="I7" s="120"/>
      <c r="J7" s="120"/>
    </row>
    <row r="9" spans="1:10" x14ac:dyDescent="0.25">
      <c r="A9" s="246" t="s">
        <v>48</v>
      </c>
      <c r="B9" s="247"/>
      <c r="C9" s="247"/>
      <c r="D9" s="247"/>
      <c r="E9" s="247"/>
      <c r="F9" s="247"/>
      <c r="G9" s="247"/>
      <c r="H9" s="247"/>
      <c r="I9" s="247"/>
      <c r="J9" s="248"/>
    </row>
    <row r="10" spans="1:10" ht="15.75" thickBot="1" x14ac:dyDescent="0.3">
      <c r="A10" s="249"/>
      <c r="B10" s="250"/>
      <c r="C10" s="250"/>
      <c r="D10" s="250"/>
      <c r="E10" s="250"/>
      <c r="F10" s="250"/>
      <c r="G10" s="250"/>
      <c r="H10" s="250"/>
      <c r="I10" s="250"/>
      <c r="J10" s="251"/>
    </row>
    <row r="11" spans="1:10" s="125" customFormat="1" ht="21.75" thickTop="1" x14ac:dyDescent="0.2">
      <c r="A11" s="122" t="s">
        <v>49</v>
      </c>
      <c r="B11" s="123" t="s">
        <v>50</v>
      </c>
      <c r="C11" s="123" t="s">
        <v>51</v>
      </c>
      <c r="D11" s="124"/>
      <c r="E11" s="252" t="s">
        <v>49</v>
      </c>
      <c r="F11" s="252"/>
      <c r="G11" s="253" t="s">
        <v>50</v>
      </c>
      <c r="H11" s="254"/>
      <c r="I11" s="252" t="s">
        <v>52</v>
      </c>
      <c r="J11" s="252"/>
    </row>
    <row r="12" spans="1:10" ht="15" customHeight="1" x14ac:dyDescent="0.25">
      <c r="A12" s="126">
        <v>1343.35</v>
      </c>
      <c r="B12" s="127" t="s">
        <v>53</v>
      </c>
      <c r="C12" s="127" t="s">
        <v>53</v>
      </c>
      <c r="D12" s="128"/>
      <c r="E12" s="255">
        <v>1346.6</v>
      </c>
      <c r="F12" s="255"/>
      <c r="G12" s="256">
        <v>33</v>
      </c>
      <c r="H12" s="256"/>
      <c r="I12" s="240" t="s">
        <v>54</v>
      </c>
      <c r="J12" s="241"/>
    </row>
    <row r="13" spans="1:10" ht="15" customHeight="1" x14ac:dyDescent="0.25">
      <c r="A13" s="126">
        <v>1343.47</v>
      </c>
      <c r="B13" s="130" t="s">
        <v>55</v>
      </c>
      <c r="C13" s="130" t="s">
        <v>55</v>
      </c>
      <c r="D13" s="131"/>
      <c r="E13" s="227">
        <v>1346.68</v>
      </c>
      <c r="F13" s="228"/>
      <c r="G13" s="225">
        <v>34</v>
      </c>
      <c r="H13" s="226"/>
      <c r="I13" s="242"/>
      <c r="J13" s="243"/>
    </row>
    <row r="14" spans="1:10" ht="15" customHeight="1" x14ac:dyDescent="0.25">
      <c r="A14" s="126">
        <v>1343.6</v>
      </c>
      <c r="B14" s="130" t="s">
        <v>56</v>
      </c>
      <c r="C14" s="130" t="s">
        <v>55</v>
      </c>
      <c r="D14" s="131"/>
      <c r="E14" s="227">
        <v>1346.77</v>
      </c>
      <c r="F14" s="228"/>
      <c r="G14" s="225">
        <v>35</v>
      </c>
      <c r="H14" s="226"/>
      <c r="I14" s="242"/>
      <c r="J14" s="243"/>
    </row>
    <row r="15" spans="1:10" ht="15" customHeight="1" x14ac:dyDescent="0.25">
      <c r="A15" s="126">
        <v>1343.72</v>
      </c>
      <c r="B15" s="130" t="s">
        <v>57</v>
      </c>
      <c r="C15" s="130" t="s">
        <v>56</v>
      </c>
      <c r="D15" s="131"/>
      <c r="E15" s="227">
        <v>1346.85</v>
      </c>
      <c r="F15" s="228"/>
      <c r="G15" s="225">
        <v>36</v>
      </c>
      <c r="H15" s="226"/>
      <c r="I15" s="242"/>
      <c r="J15" s="243"/>
    </row>
    <row r="16" spans="1:10" ht="15" customHeight="1" x14ac:dyDescent="0.25">
      <c r="A16" s="126">
        <v>1343.85</v>
      </c>
      <c r="B16" s="130" t="s">
        <v>58</v>
      </c>
      <c r="C16" s="130" t="s">
        <v>59</v>
      </c>
      <c r="D16" s="131"/>
      <c r="E16" s="227">
        <v>1346.93</v>
      </c>
      <c r="F16" s="228"/>
      <c r="G16" s="225">
        <v>37</v>
      </c>
      <c r="H16" s="226"/>
      <c r="I16" s="244"/>
      <c r="J16" s="245"/>
    </row>
    <row r="17" spans="1:13" ht="15" customHeight="1" x14ac:dyDescent="0.25">
      <c r="A17" s="126">
        <v>1344.35</v>
      </c>
      <c r="B17" s="225">
        <v>6</v>
      </c>
      <c r="C17" s="226"/>
      <c r="D17" s="133"/>
      <c r="E17" s="227">
        <v>1347.02</v>
      </c>
      <c r="F17" s="228"/>
      <c r="G17" s="225">
        <v>38</v>
      </c>
      <c r="H17" s="226"/>
      <c r="I17" s="134"/>
      <c r="J17" s="135"/>
    </row>
    <row r="18" spans="1:13" ht="15" customHeight="1" x14ac:dyDescent="0.25">
      <c r="A18" s="126">
        <v>1344.43</v>
      </c>
      <c r="B18" s="225">
        <v>7</v>
      </c>
      <c r="C18" s="226"/>
      <c r="D18" s="133"/>
      <c r="E18" s="227">
        <v>1347.1</v>
      </c>
      <c r="F18" s="228"/>
      <c r="G18" s="225">
        <v>39</v>
      </c>
      <c r="H18" s="226"/>
      <c r="I18" s="240" t="s">
        <v>60</v>
      </c>
      <c r="J18" s="241"/>
      <c r="M18" s="136"/>
    </row>
    <row r="19" spans="1:13" ht="15" customHeight="1" x14ac:dyDescent="0.25">
      <c r="A19" s="126">
        <v>1344.52</v>
      </c>
      <c r="B19" s="225">
        <v>8</v>
      </c>
      <c r="C19" s="226"/>
      <c r="D19" s="133"/>
      <c r="E19" s="227">
        <v>1347.18</v>
      </c>
      <c r="F19" s="228"/>
      <c r="G19" s="225">
        <v>40</v>
      </c>
      <c r="H19" s="226"/>
      <c r="I19" s="242"/>
      <c r="J19" s="243"/>
    </row>
    <row r="20" spans="1:13" ht="15" customHeight="1" x14ac:dyDescent="0.25">
      <c r="A20" s="126">
        <v>1344.6</v>
      </c>
      <c r="B20" s="225">
        <v>9</v>
      </c>
      <c r="C20" s="226"/>
      <c r="D20" s="133"/>
      <c r="E20" s="227">
        <v>1347.27</v>
      </c>
      <c r="F20" s="228"/>
      <c r="G20" s="225">
        <v>41</v>
      </c>
      <c r="H20" s="226"/>
      <c r="I20" s="242"/>
      <c r="J20" s="243"/>
    </row>
    <row r="21" spans="1:13" ht="15" customHeight="1" x14ac:dyDescent="0.25">
      <c r="A21" s="126">
        <v>1344.68</v>
      </c>
      <c r="B21" s="225">
        <v>10</v>
      </c>
      <c r="C21" s="226"/>
      <c r="D21" s="133"/>
      <c r="E21" s="227">
        <v>1347.35</v>
      </c>
      <c r="F21" s="228"/>
      <c r="G21" s="225">
        <v>42</v>
      </c>
      <c r="H21" s="226"/>
      <c r="I21" s="242"/>
      <c r="J21" s="243"/>
    </row>
    <row r="22" spans="1:13" ht="15" customHeight="1" x14ac:dyDescent="0.25">
      <c r="A22" s="126">
        <v>1344.77</v>
      </c>
      <c r="B22" s="225">
        <v>11</v>
      </c>
      <c r="C22" s="226"/>
      <c r="D22" s="133"/>
      <c r="E22" s="227">
        <v>1347.43</v>
      </c>
      <c r="F22" s="228"/>
      <c r="G22" s="225">
        <v>43</v>
      </c>
      <c r="H22" s="226"/>
      <c r="I22" s="244"/>
      <c r="J22" s="245"/>
    </row>
    <row r="23" spans="1:13" ht="15" customHeight="1" x14ac:dyDescent="0.25">
      <c r="A23" s="126">
        <v>1344.85</v>
      </c>
      <c r="B23" s="225">
        <v>12</v>
      </c>
      <c r="C23" s="226"/>
      <c r="D23" s="133"/>
      <c r="E23" s="227">
        <v>1347.52</v>
      </c>
      <c r="F23" s="228"/>
      <c r="G23" s="225">
        <v>44</v>
      </c>
      <c r="H23" s="226"/>
      <c r="I23" s="134"/>
      <c r="J23" s="135"/>
    </row>
    <row r="24" spans="1:13" ht="15" customHeight="1" x14ac:dyDescent="0.25">
      <c r="A24" s="126">
        <v>1344.93</v>
      </c>
      <c r="B24" s="225">
        <v>13</v>
      </c>
      <c r="C24" s="226"/>
      <c r="D24" s="133"/>
      <c r="E24" s="227">
        <v>1347.6</v>
      </c>
      <c r="F24" s="228"/>
      <c r="G24" s="225">
        <v>45</v>
      </c>
      <c r="H24" s="226"/>
      <c r="I24" s="229" t="s">
        <v>61</v>
      </c>
      <c r="J24" s="235"/>
    </row>
    <row r="25" spans="1:13" ht="15" customHeight="1" x14ac:dyDescent="0.25">
      <c r="A25" s="126">
        <v>1345.02</v>
      </c>
      <c r="B25" s="225">
        <v>14</v>
      </c>
      <c r="C25" s="226"/>
      <c r="D25" s="133"/>
      <c r="E25" s="227">
        <v>1347.68</v>
      </c>
      <c r="F25" s="228"/>
      <c r="G25" s="225">
        <v>49</v>
      </c>
      <c r="H25" s="226"/>
      <c r="I25" s="236"/>
      <c r="J25" s="237"/>
    </row>
    <row r="26" spans="1:13" ht="15" customHeight="1" x14ac:dyDescent="0.25">
      <c r="A26" s="126">
        <v>1345.1</v>
      </c>
      <c r="B26" s="225">
        <v>15</v>
      </c>
      <c r="C26" s="226"/>
      <c r="D26" s="133"/>
      <c r="E26" s="227">
        <v>1347.77</v>
      </c>
      <c r="F26" s="228"/>
      <c r="G26" s="225">
        <v>53</v>
      </c>
      <c r="H26" s="226"/>
      <c r="I26" s="236"/>
      <c r="J26" s="237"/>
    </row>
    <row r="27" spans="1:13" ht="15" customHeight="1" x14ac:dyDescent="0.25">
      <c r="A27" s="126">
        <v>1345.18</v>
      </c>
      <c r="B27" s="225">
        <v>16</v>
      </c>
      <c r="C27" s="226"/>
      <c r="D27" s="133"/>
      <c r="E27" s="227">
        <v>1347.85</v>
      </c>
      <c r="F27" s="228"/>
      <c r="G27" s="225">
        <v>57</v>
      </c>
      <c r="H27" s="226"/>
      <c r="I27" s="236"/>
      <c r="J27" s="237"/>
    </row>
    <row r="28" spans="1:13" ht="15" customHeight="1" x14ac:dyDescent="0.25">
      <c r="A28" s="126">
        <v>1345.27</v>
      </c>
      <c r="B28" s="225">
        <v>17</v>
      </c>
      <c r="C28" s="226"/>
      <c r="D28" s="133"/>
      <c r="E28" s="227">
        <v>1347.93</v>
      </c>
      <c r="F28" s="228"/>
      <c r="G28" s="225">
        <v>61</v>
      </c>
      <c r="H28" s="226"/>
      <c r="I28" s="238"/>
      <c r="J28" s="239"/>
    </row>
    <row r="29" spans="1:13" ht="15" customHeight="1" x14ac:dyDescent="0.25">
      <c r="A29" s="126">
        <v>1345.35</v>
      </c>
      <c r="B29" s="225">
        <v>18</v>
      </c>
      <c r="C29" s="226"/>
      <c r="D29" s="133"/>
      <c r="E29" s="227">
        <v>1348.02</v>
      </c>
      <c r="F29" s="228"/>
      <c r="G29" s="225">
        <v>65</v>
      </c>
      <c r="H29" s="226"/>
      <c r="I29" s="134"/>
      <c r="J29" s="135"/>
    </row>
    <row r="30" spans="1:13" ht="15" customHeight="1" x14ac:dyDescent="0.25">
      <c r="A30" s="126">
        <v>1345.43</v>
      </c>
      <c r="B30" s="225">
        <v>19</v>
      </c>
      <c r="C30" s="226"/>
      <c r="D30" s="133"/>
      <c r="E30" s="227">
        <v>1348.1</v>
      </c>
      <c r="F30" s="228"/>
      <c r="G30" s="225">
        <v>69</v>
      </c>
      <c r="H30" s="226"/>
      <c r="I30" s="229" t="s">
        <v>62</v>
      </c>
      <c r="J30" s="230"/>
    </row>
    <row r="31" spans="1:13" ht="15" customHeight="1" x14ac:dyDescent="0.25">
      <c r="A31" s="126">
        <v>1345.52</v>
      </c>
      <c r="B31" s="225">
        <v>20</v>
      </c>
      <c r="C31" s="226"/>
      <c r="D31" s="133"/>
      <c r="E31" s="227">
        <v>1348.18</v>
      </c>
      <c r="F31" s="228"/>
      <c r="G31" s="225">
        <v>73</v>
      </c>
      <c r="H31" s="226"/>
      <c r="I31" s="231"/>
      <c r="J31" s="232"/>
    </row>
    <row r="32" spans="1:13" ht="15" customHeight="1" x14ac:dyDescent="0.25">
      <c r="A32" s="126">
        <v>1345.6</v>
      </c>
      <c r="B32" s="225">
        <v>21</v>
      </c>
      <c r="C32" s="226"/>
      <c r="D32" s="133"/>
      <c r="E32" s="227">
        <v>1348.27</v>
      </c>
      <c r="F32" s="228"/>
      <c r="G32" s="225">
        <v>77</v>
      </c>
      <c r="H32" s="226"/>
      <c r="I32" s="231"/>
      <c r="J32" s="232"/>
    </row>
    <row r="33" spans="1:10" ht="15" customHeight="1" x14ac:dyDescent="0.25">
      <c r="A33" s="126">
        <v>1345.68</v>
      </c>
      <c r="B33" s="225">
        <v>22</v>
      </c>
      <c r="C33" s="226"/>
      <c r="D33" s="133"/>
      <c r="E33" s="227">
        <v>1348.35</v>
      </c>
      <c r="F33" s="228"/>
      <c r="G33" s="225">
        <v>81</v>
      </c>
      <c r="H33" s="226"/>
      <c r="I33" s="231"/>
      <c r="J33" s="232"/>
    </row>
    <row r="34" spans="1:10" ht="15" customHeight="1" x14ac:dyDescent="0.25">
      <c r="A34" s="126">
        <v>1345.77</v>
      </c>
      <c r="B34" s="225">
        <v>23</v>
      </c>
      <c r="C34" s="226"/>
      <c r="D34" s="133"/>
      <c r="E34" s="227">
        <v>1348.43</v>
      </c>
      <c r="F34" s="228"/>
      <c r="G34" s="225">
        <v>85</v>
      </c>
      <c r="H34" s="226"/>
      <c r="I34" s="233"/>
      <c r="J34" s="234"/>
    </row>
    <row r="35" spans="1:10" ht="15" customHeight="1" x14ac:dyDescent="0.25">
      <c r="A35" s="126">
        <v>1345.85</v>
      </c>
      <c r="B35" s="225">
        <v>24</v>
      </c>
      <c r="C35" s="226"/>
      <c r="D35" s="133"/>
      <c r="E35" s="227">
        <v>1348.52</v>
      </c>
      <c r="F35" s="228"/>
      <c r="G35" s="225">
        <v>89</v>
      </c>
      <c r="H35" s="226"/>
      <c r="I35" s="134"/>
      <c r="J35" s="135"/>
    </row>
    <row r="36" spans="1:10" ht="15" customHeight="1" x14ac:dyDescent="0.25">
      <c r="A36" s="126">
        <v>1345.93</v>
      </c>
      <c r="B36" s="225">
        <v>25</v>
      </c>
      <c r="C36" s="226"/>
      <c r="D36" s="133"/>
      <c r="E36" s="227">
        <v>1348.6</v>
      </c>
      <c r="F36" s="228"/>
      <c r="G36" s="225">
        <v>93</v>
      </c>
      <c r="H36" s="226"/>
      <c r="I36" s="134"/>
      <c r="J36" s="135"/>
    </row>
    <row r="37" spans="1:10" ht="15" customHeight="1" x14ac:dyDescent="0.25">
      <c r="A37" s="126">
        <v>1346.02</v>
      </c>
      <c r="B37" s="225">
        <v>26</v>
      </c>
      <c r="C37" s="226"/>
      <c r="D37" s="133"/>
      <c r="E37" s="227">
        <v>1348.68</v>
      </c>
      <c r="F37" s="228"/>
      <c r="G37" s="225">
        <v>97</v>
      </c>
      <c r="H37" s="226"/>
      <c r="I37" s="134"/>
      <c r="J37" s="135"/>
    </row>
    <row r="38" spans="1:10" ht="15" customHeight="1" x14ac:dyDescent="0.25">
      <c r="A38" s="126">
        <v>1346.1</v>
      </c>
      <c r="B38" s="225">
        <v>27</v>
      </c>
      <c r="C38" s="226"/>
      <c r="D38" s="133"/>
      <c r="E38" s="227">
        <v>1348.77</v>
      </c>
      <c r="F38" s="228"/>
      <c r="G38" s="225">
        <v>101</v>
      </c>
      <c r="H38" s="226"/>
      <c r="I38" s="134"/>
      <c r="J38" s="135"/>
    </row>
    <row r="39" spans="1:10" ht="15" customHeight="1" x14ac:dyDescent="0.25">
      <c r="A39" s="126">
        <v>1346.18</v>
      </c>
      <c r="B39" s="225">
        <v>28</v>
      </c>
      <c r="C39" s="226"/>
      <c r="D39" s="133"/>
      <c r="E39" s="227">
        <v>1348.85</v>
      </c>
      <c r="F39" s="228"/>
      <c r="G39" s="225">
        <v>105</v>
      </c>
      <c r="H39" s="226"/>
      <c r="I39" s="134"/>
      <c r="J39" s="135"/>
    </row>
    <row r="40" spans="1:10" ht="15" customHeight="1" x14ac:dyDescent="0.25">
      <c r="A40" s="126">
        <v>1346.27</v>
      </c>
      <c r="B40" s="225">
        <v>29</v>
      </c>
      <c r="C40" s="226"/>
      <c r="D40" s="133"/>
      <c r="E40" s="227">
        <v>1348.93</v>
      </c>
      <c r="F40" s="228"/>
      <c r="G40" s="225">
        <v>109</v>
      </c>
      <c r="H40" s="226"/>
      <c r="I40" s="134"/>
      <c r="J40" s="135"/>
    </row>
    <row r="41" spans="1:10" ht="15" customHeight="1" x14ac:dyDescent="0.25">
      <c r="A41" s="126">
        <v>1346.35</v>
      </c>
      <c r="B41" s="225">
        <v>30</v>
      </c>
      <c r="C41" s="226"/>
      <c r="D41" s="133"/>
      <c r="E41" s="227">
        <v>1349.02</v>
      </c>
      <c r="F41" s="228"/>
      <c r="G41" s="225">
        <v>113</v>
      </c>
      <c r="H41" s="226"/>
      <c r="I41" s="134"/>
      <c r="J41" s="135"/>
    </row>
    <row r="42" spans="1:10" ht="15" customHeight="1" x14ac:dyDescent="0.25">
      <c r="A42" s="126">
        <v>1346.43</v>
      </c>
      <c r="B42" s="225">
        <v>31</v>
      </c>
      <c r="C42" s="226"/>
      <c r="D42" s="133"/>
      <c r="E42" s="227">
        <v>1349.1</v>
      </c>
      <c r="F42" s="228"/>
      <c r="G42" s="225">
        <v>117</v>
      </c>
      <c r="H42" s="226"/>
      <c r="I42" s="134"/>
      <c r="J42" s="135"/>
    </row>
    <row r="43" spans="1:10" ht="15" customHeight="1" x14ac:dyDescent="0.25">
      <c r="A43" s="126">
        <v>1346.52</v>
      </c>
      <c r="B43" s="225">
        <v>32</v>
      </c>
      <c r="C43" s="226"/>
      <c r="D43" s="133"/>
      <c r="E43" s="227">
        <v>1349.18</v>
      </c>
      <c r="F43" s="228"/>
      <c r="G43" s="225">
        <v>120</v>
      </c>
      <c r="H43" s="226"/>
      <c r="I43" s="137"/>
      <c r="J43" s="138"/>
    </row>
  </sheetData>
  <mergeCells count="106">
    <mergeCell ref="C1:J2"/>
    <mergeCell ref="C3:F3"/>
    <mergeCell ref="H3:J3"/>
    <mergeCell ref="C4:F4"/>
    <mergeCell ref="H4:J4"/>
    <mergeCell ref="C5:F5"/>
    <mergeCell ref="H5:J5"/>
    <mergeCell ref="G14:H14"/>
    <mergeCell ref="E15:F15"/>
    <mergeCell ref="G15:H15"/>
    <mergeCell ref="E16:F16"/>
    <mergeCell ref="G16:H16"/>
    <mergeCell ref="B17:C17"/>
    <mergeCell ref="E17:F17"/>
    <mergeCell ref="G17:H17"/>
    <mergeCell ref="A9:J10"/>
    <mergeCell ref="E11:F11"/>
    <mergeCell ref="G11:H11"/>
    <mergeCell ref="I11:J11"/>
    <mergeCell ref="E12:F12"/>
    <mergeCell ref="G12:H12"/>
    <mergeCell ref="I12:J16"/>
    <mergeCell ref="E13:F13"/>
    <mergeCell ref="G13:H13"/>
    <mergeCell ref="E14:F14"/>
    <mergeCell ref="B18:C18"/>
    <mergeCell ref="E18:F18"/>
    <mergeCell ref="G18:H18"/>
    <mergeCell ref="I18:J22"/>
    <mergeCell ref="B19:C19"/>
    <mergeCell ref="E19:F19"/>
    <mergeCell ref="G19:H19"/>
    <mergeCell ref="B20:C20"/>
    <mergeCell ref="E20:F20"/>
    <mergeCell ref="G20:H20"/>
    <mergeCell ref="B23:C23"/>
    <mergeCell ref="E23:F23"/>
    <mergeCell ref="G23:H23"/>
    <mergeCell ref="B24:C24"/>
    <mergeCell ref="E24:F24"/>
    <mergeCell ref="G24:H24"/>
    <mergeCell ref="B21:C21"/>
    <mergeCell ref="E21:F21"/>
    <mergeCell ref="G21:H21"/>
    <mergeCell ref="B22:C22"/>
    <mergeCell ref="E22:F22"/>
    <mergeCell ref="G22:H22"/>
    <mergeCell ref="B28:C28"/>
    <mergeCell ref="E28:F28"/>
    <mergeCell ref="G28:H28"/>
    <mergeCell ref="B29:C29"/>
    <mergeCell ref="E29:F29"/>
    <mergeCell ref="G29:H29"/>
    <mergeCell ref="I24:J28"/>
    <mergeCell ref="B25:C25"/>
    <mergeCell ref="E25:F25"/>
    <mergeCell ref="G25:H25"/>
    <mergeCell ref="B26:C26"/>
    <mergeCell ref="E26:F26"/>
    <mergeCell ref="G26:H26"/>
    <mergeCell ref="B27:C27"/>
    <mergeCell ref="E27:F27"/>
    <mergeCell ref="G27:H27"/>
    <mergeCell ref="B30:C30"/>
    <mergeCell ref="E30:F30"/>
    <mergeCell ref="G30:H30"/>
    <mergeCell ref="I30:J34"/>
    <mergeCell ref="B31:C31"/>
    <mergeCell ref="E31:F31"/>
    <mergeCell ref="G31:H31"/>
    <mergeCell ref="B32:C32"/>
    <mergeCell ref="E32:F32"/>
    <mergeCell ref="G32:H32"/>
    <mergeCell ref="B35:C35"/>
    <mergeCell ref="E35:F35"/>
    <mergeCell ref="G35:H35"/>
    <mergeCell ref="B36:C36"/>
    <mergeCell ref="E36:F36"/>
    <mergeCell ref="G36:H36"/>
    <mergeCell ref="B33:C33"/>
    <mergeCell ref="E33:F33"/>
    <mergeCell ref="G33:H33"/>
    <mergeCell ref="B34:C34"/>
    <mergeCell ref="E34:F34"/>
    <mergeCell ref="G34:H34"/>
    <mergeCell ref="B39:C39"/>
    <mergeCell ref="E39:F39"/>
    <mergeCell ref="G39:H39"/>
    <mergeCell ref="B40:C40"/>
    <mergeCell ref="E40:F40"/>
    <mergeCell ref="G40:H40"/>
    <mergeCell ref="B37:C37"/>
    <mergeCell ref="E37:F37"/>
    <mergeCell ref="G37:H37"/>
    <mergeCell ref="B38:C38"/>
    <mergeCell ref="E38:F38"/>
    <mergeCell ref="G38:H38"/>
    <mergeCell ref="B43:C43"/>
    <mergeCell ref="E43:F43"/>
    <mergeCell ref="G43:H43"/>
    <mergeCell ref="B41:C41"/>
    <mergeCell ref="E41:F41"/>
    <mergeCell ref="G41:H41"/>
    <mergeCell ref="B42:C42"/>
    <mergeCell ref="E42:F42"/>
    <mergeCell ref="G42:H4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C5A4F-C605-4738-82F5-29CE2860D16F}">
  <sheetPr>
    <tabColor theme="9" tint="0.59999389629810485"/>
  </sheetPr>
  <dimension ref="A1:O28"/>
  <sheetViews>
    <sheetView zoomScale="85" zoomScaleNormal="85" workbookViewId="0">
      <selection activeCell="L13" sqref="L13"/>
    </sheetView>
  </sheetViews>
  <sheetFormatPr defaultRowHeight="15" x14ac:dyDescent="0.25"/>
  <cols>
    <col min="2" max="3" width="15.7109375" customWidth="1"/>
    <col min="4" max="4" width="9.42578125" bestFit="1" customWidth="1"/>
    <col min="5" max="5" width="12.140625" customWidth="1"/>
    <col min="6" max="8" width="9.42578125" bestFit="1" customWidth="1"/>
    <col min="9" max="9" width="14" customWidth="1"/>
    <col min="10" max="10" width="16" customWidth="1"/>
    <col min="11" max="11" width="13.85546875" customWidth="1"/>
    <col min="12" max="12" width="15.85546875" customWidth="1"/>
    <col min="13" max="13" width="21.28515625" customWidth="1"/>
    <col min="14" max="14" width="12.42578125" customWidth="1"/>
    <col min="15" max="15" width="20.7109375" customWidth="1"/>
  </cols>
  <sheetData>
    <row r="1" spans="1:15" ht="39.75" customHeight="1" x14ac:dyDescent="0.25">
      <c r="A1" s="263" t="s">
        <v>29</v>
      </c>
      <c r="B1" s="264"/>
      <c r="C1" s="264"/>
      <c r="D1" s="264"/>
      <c r="E1" s="264"/>
      <c r="F1" s="264"/>
      <c r="G1" s="264"/>
      <c r="H1" s="264"/>
      <c r="I1" s="264"/>
      <c r="J1" s="264"/>
      <c r="K1" s="264"/>
      <c r="L1" s="264"/>
      <c r="M1" s="264"/>
      <c r="N1" s="264"/>
      <c r="O1" s="265"/>
    </row>
    <row r="2" spans="1:15" ht="24" thickBot="1" x14ac:dyDescent="0.4">
      <c r="A2" s="266" t="s">
        <v>0</v>
      </c>
      <c r="B2" s="267"/>
      <c r="C2" s="267"/>
      <c r="D2" s="267"/>
      <c r="E2" s="267"/>
      <c r="F2" s="267"/>
      <c r="G2" s="267"/>
      <c r="H2" s="267"/>
      <c r="I2" s="267"/>
      <c r="J2" s="267"/>
      <c r="K2" s="267"/>
      <c r="L2" s="267"/>
      <c r="M2" s="267"/>
      <c r="N2" s="267"/>
      <c r="O2" s="268"/>
    </row>
    <row r="3" spans="1:15" ht="15.75" x14ac:dyDescent="0.25">
      <c r="A3" s="1"/>
      <c r="M3" s="159" t="s">
        <v>91</v>
      </c>
      <c r="N3" s="215">
        <v>0</v>
      </c>
      <c r="O3" s="2"/>
    </row>
    <row r="4" spans="1:15" ht="15.75" x14ac:dyDescent="0.25">
      <c r="A4" s="1"/>
      <c r="C4" s="283" t="s">
        <v>1</v>
      </c>
      <c r="D4" s="284"/>
      <c r="E4" s="8">
        <v>1335.55</v>
      </c>
      <c r="M4" s="160" t="s">
        <v>92</v>
      </c>
      <c r="N4" s="216">
        <v>0</v>
      </c>
      <c r="O4" s="2"/>
    </row>
    <row r="5" spans="1:15" ht="15.75" x14ac:dyDescent="0.25">
      <c r="A5" s="1"/>
      <c r="C5" s="283" t="s">
        <v>2</v>
      </c>
      <c r="D5" s="284"/>
      <c r="E5" s="8">
        <v>1345.55</v>
      </c>
      <c r="F5" t="s">
        <v>3</v>
      </c>
      <c r="I5" s="22"/>
      <c r="J5" s="287" t="s">
        <v>31</v>
      </c>
      <c r="K5" s="288"/>
      <c r="L5" s="156"/>
      <c r="M5" s="160" t="s">
        <v>93</v>
      </c>
      <c r="N5" s="216">
        <v>0</v>
      </c>
      <c r="O5" s="2"/>
    </row>
    <row r="6" spans="1:15" ht="15.75" x14ac:dyDescent="0.25">
      <c r="A6" s="1"/>
      <c r="C6" s="283" t="s">
        <v>4</v>
      </c>
      <c r="D6" s="284"/>
      <c r="E6" s="8">
        <v>1355.55</v>
      </c>
      <c r="M6" s="160" t="s">
        <v>94</v>
      </c>
      <c r="N6" s="216">
        <v>0</v>
      </c>
      <c r="O6" s="2"/>
    </row>
    <row r="7" spans="1:15" ht="15.75" x14ac:dyDescent="0.25">
      <c r="A7" s="1"/>
      <c r="C7" s="283" t="s">
        <v>5</v>
      </c>
      <c r="D7" s="284"/>
      <c r="E7" s="8">
        <v>1343.35</v>
      </c>
      <c r="M7" s="160" t="s">
        <v>95</v>
      </c>
      <c r="N7" s="216">
        <v>0</v>
      </c>
      <c r="O7" s="2"/>
    </row>
    <row r="8" spans="1:15" ht="15.75" x14ac:dyDescent="0.25">
      <c r="A8" s="1"/>
      <c r="C8" s="4"/>
      <c r="D8" s="4"/>
      <c r="E8" s="5"/>
      <c r="M8" s="160" t="s">
        <v>96</v>
      </c>
      <c r="N8" s="216">
        <v>0</v>
      </c>
      <c r="O8" s="2"/>
    </row>
    <row r="9" spans="1:15" ht="15.75" x14ac:dyDescent="0.25">
      <c r="A9" s="1"/>
      <c r="C9" s="4"/>
      <c r="D9" s="4"/>
      <c r="E9" s="5"/>
      <c r="M9" s="160" t="s">
        <v>97</v>
      </c>
      <c r="N9" s="216">
        <v>0</v>
      </c>
      <c r="O9" s="2"/>
    </row>
    <row r="10" spans="1:15" ht="16.5" thickBot="1" x14ac:dyDescent="0.3">
      <c r="A10" s="1"/>
      <c r="C10" s="4"/>
      <c r="D10" s="4"/>
      <c r="E10" s="5"/>
      <c r="M10" s="161" t="s">
        <v>98</v>
      </c>
      <c r="N10" s="217">
        <v>0</v>
      </c>
      <c r="O10" s="2"/>
    </row>
    <row r="11" spans="1:15" ht="30.75" customHeight="1" x14ac:dyDescent="0.25">
      <c r="A11" s="271" t="s">
        <v>30</v>
      </c>
      <c r="B11" s="272"/>
      <c r="C11" s="272"/>
      <c r="D11" s="272"/>
      <c r="E11" s="272"/>
      <c r="F11" s="272"/>
      <c r="G11" s="272"/>
      <c r="H11" s="272"/>
      <c r="I11" s="272"/>
      <c r="J11" s="272"/>
      <c r="K11" s="272"/>
      <c r="L11" s="223"/>
      <c r="M11" s="223"/>
      <c r="N11" s="223"/>
      <c r="O11" s="2"/>
    </row>
    <row r="12" spans="1:15" ht="15.75" thickBot="1" x14ac:dyDescent="0.3">
      <c r="A12" s="1"/>
      <c r="C12" s="283" t="s">
        <v>6</v>
      </c>
      <c r="D12" s="283"/>
      <c r="E12" s="284"/>
      <c r="F12" s="9">
        <v>20</v>
      </c>
      <c r="G12" s="7" t="s">
        <v>7</v>
      </c>
      <c r="O12" s="2"/>
    </row>
    <row r="13" spans="1:15" ht="21.75" thickBot="1" x14ac:dyDescent="0.4">
      <c r="A13" s="1"/>
      <c r="F13" s="6"/>
      <c r="G13" s="7"/>
      <c r="I13" s="289" t="s">
        <v>10</v>
      </c>
      <c r="J13" s="290"/>
      <c r="K13" s="162">
        <v>1343.26</v>
      </c>
      <c r="L13" s="224"/>
      <c r="O13" s="2"/>
    </row>
    <row r="14" spans="1:15" x14ac:dyDescent="0.25">
      <c r="A14" s="1"/>
      <c r="C14" t="s">
        <v>8</v>
      </c>
      <c r="G14" s="7"/>
      <c r="O14" s="2"/>
    </row>
    <row r="15" spans="1:15" ht="15.75" thickBot="1" x14ac:dyDescent="0.3">
      <c r="A15" s="1"/>
      <c r="M15" s="3"/>
      <c r="O15" s="2"/>
    </row>
    <row r="16" spans="1:15" x14ac:dyDescent="0.25">
      <c r="A16" s="273" t="s">
        <v>100</v>
      </c>
      <c r="B16" s="209" t="s">
        <v>9</v>
      </c>
      <c r="C16" s="10" t="s">
        <v>10</v>
      </c>
      <c r="D16" s="11" t="s">
        <v>11</v>
      </c>
      <c r="E16" s="11" t="s">
        <v>12</v>
      </c>
      <c r="F16" s="11" t="s">
        <v>13</v>
      </c>
      <c r="G16" s="285" t="s">
        <v>14</v>
      </c>
      <c r="H16" s="285" t="s">
        <v>15</v>
      </c>
      <c r="I16" s="11" t="s">
        <v>16</v>
      </c>
      <c r="J16" s="11" t="s">
        <v>17</v>
      </c>
      <c r="K16" s="12" t="s">
        <v>18</v>
      </c>
      <c r="L16" s="13" t="s">
        <v>19</v>
      </c>
      <c r="M16" s="14" t="s">
        <v>19</v>
      </c>
      <c r="N16" s="15" t="s">
        <v>20</v>
      </c>
      <c r="O16" s="15" t="s">
        <v>21</v>
      </c>
    </row>
    <row r="17" spans="1:15" ht="15.75" thickBot="1" x14ac:dyDescent="0.3">
      <c r="A17" s="274"/>
      <c r="B17" s="180" t="s">
        <v>22</v>
      </c>
      <c r="C17" s="17" t="s">
        <v>23</v>
      </c>
      <c r="D17" s="18" t="s">
        <v>24</v>
      </c>
      <c r="E17" s="18" t="s">
        <v>24</v>
      </c>
      <c r="F17" s="18" t="s">
        <v>24</v>
      </c>
      <c r="G17" s="286"/>
      <c r="H17" s="286"/>
      <c r="I17" s="18" t="s">
        <v>25</v>
      </c>
      <c r="J17" s="18" t="s">
        <v>26</v>
      </c>
      <c r="K17" s="19" t="s">
        <v>16</v>
      </c>
      <c r="L17" s="20" t="s">
        <v>27</v>
      </c>
      <c r="M17" s="21" t="s">
        <v>28</v>
      </c>
      <c r="N17" s="16" t="s">
        <v>26</v>
      </c>
      <c r="O17" s="21" t="s">
        <v>19</v>
      </c>
    </row>
    <row r="18" spans="1:15" ht="19.5" thickTop="1" x14ac:dyDescent="0.25">
      <c r="A18" s="212">
        <v>1</v>
      </c>
      <c r="B18" s="210">
        <f t="shared" ref="B18:B25" si="0">$E$4+10+F18</f>
        <v>1345.55</v>
      </c>
      <c r="C18" s="158">
        <f t="shared" ref="C18:C25" si="1">$K$13</f>
        <v>1343.26</v>
      </c>
      <c r="D18" s="71">
        <f>C18-$E$4</f>
        <v>7.7100000000000364</v>
      </c>
      <c r="E18" s="71">
        <f>D18-F18</f>
        <v>7.7100000000000364</v>
      </c>
      <c r="F18" s="71">
        <f>(N3*0.0833)</f>
        <v>0</v>
      </c>
      <c r="G18" s="71">
        <f t="shared" ref="G18:G25" si="2">F18/D18</f>
        <v>0</v>
      </c>
      <c r="H18" s="72">
        <v>0.74</v>
      </c>
      <c r="I18" s="115">
        <f>(2/3)*((2*32.2)^0.5)*H18*$F$12*(((D18)^1.5) - (E18)^1.5)</f>
        <v>0</v>
      </c>
      <c r="J18" s="157">
        <v>1</v>
      </c>
      <c r="K18" s="76">
        <f t="shared" ref="K18:K25" si="3">J18*I18</f>
        <v>0</v>
      </c>
      <c r="L18" s="73">
        <f t="shared" ref="L18:L26" si="4">(K18*7.48)*60</f>
        <v>0</v>
      </c>
      <c r="M18" s="74">
        <f t="shared" ref="M18:M26" si="5">(L18*1440)</f>
        <v>0</v>
      </c>
      <c r="N18" s="75">
        <v>60</v>
      </c>
      <c r="O18" s="70">
        <f>L18*N18</f>
        <v>0</v>
      </c>
    </row>
    <row r="19" spans="1:15" ht="18.75" x14ac:dyDescent="0.25">
      <c r="A19" s="213">
        <v>2</v>
      </c>
      <c r="B19" s="210">
        <f t="shared" si="0"/>
        <v>1345.55</v>
      </c>
      <c r="C19" s="158">
        <f t="shared" si="1"/>
        <v>1343.26</v>
      </c>
      <c r="D19" s="71">
        <f t="shared" ref="D19:D25" si="6">C19-$E$4</f>
        <v>7.7100000000000364</v>
      </c>
      <c r="E19" s="71">
        <f t="shared" ref="E19:E25" si="7">D19-F19</f>
        <v>7.7100000000000364</v>
      </c>
      <c r="F19" s="71">
        <f>(N4*0.0833)</f>
        <v>0</v>
      </c>
      <c r="G19" s="71">
        <f t="shared" si="2"/>
        <v>0</v>
      </c>
      <c r="H19" s="72">
        <v>0.74</v>
      </c>
      <c r="I19" s="115">
        <f t="shared" ref="I19:I25" si="8">(2/3)*((2*32.2)^0.5)*H19*$F$12*(((D19)^1.5) - (E19)^1.5)</f>
        <v>0</v>
      </c>
      <c r="J19" s="157">
        <v>1</v>
      </c>
      <c r="K19" s="76">
        <f t="shared" si="3"/>
        <v>0</v>
      </c>
      <c r="L19" s="73">
        <f t="shared" si="4"/>
        <v>0</v>
      </c>
      <c r="M19" s="74">
        <f t="shared" si="5"/>
        <v>0</v>
      </c>
      <c r="N19" s="75">
        <v>60</v>
      </c>
      <c r="O19" s="70">
        <f t="shared" ref="O19:O25" si="9">L19*N19</f>
        <v>0</v>
      </c>
    </row>
    <row r="20" spans="1:15" ht="18.75" x14ac:dyDescent="0.25">
      <c r="A20" s="213">
        <v>3</v>
      </c>
      <c r="B20" s="210">
        <f t="shared" si="0"/>
        <v>1345.55</v>
      </c>
      <c r="C20" s="158">
        <f t="shared" si="1"/>
        <v>1343.26</v>
      </c>
      <c r="D20" s="71">
        <f t="shared" si="6"/>
        <v>7.7100000000000364</v>
      </c>
      <c r="E20" s="71">
        <f t="shared" si="7"/>
        <v>7.7100000000000364</v>
      </c>
      <c r="F20" s="71">
        <f t="shared" ref="F20:F25" si="10">(N5*0.0833)</f>
        <v>0</v>
      </c>
      <c r="G20" s="71">
        <f t="shared" si="2"/>
        <v>0</v>
      </c>
      <c r="H20" s="72">
        <v>0.74</v>
      </c>
      <c r="I20" s="115">
        <f t="shared" si="8"/>
        <v>0</v>
      </c>
      <c r="J20" s="157">
        <v>1</v>
      </c>
      <c r="K20" s="76">
        <f t="shared" si="3"/>
        <v>0</v>
      </c>
      <c r="L20" s="73">
        <f t="shared" si="4"/>
        <v>0</v>
      </c>
      <c r="M20" s="74">
        <f t="shared" si="5"/>
        <v>0</v>
      </c>
      <c r="N20" s="75">
        <v>60</v>
      </c>
      <c r="O20" s="70">
        <f t="shared" si="9"/>
        <v>0</v>
      </c>
    </row>
    <row r="21" spans="1:15" ht="18.75" x14ac:dyDescent="0.25">
      <c r="A21" s="213">
        <v>4</v>
      </c>
      <c r="B21" s="210">
        <f t="shared" si="0"/>
        <v>1345.55</v>
      </c>
      <c r="C21" s="158">
        <f t="shared" si="1"/>
        <v>1343.26</v>
      </c>
      <c r="D21" s="71">
        <f t="shared" si="6"/>
        <v>7.7100000000000364</v>
      </c>
      <c r="E21" s="71">
        <f t="shared" si="7"/>
        <v>7.7100000000000364</v>
      </c>
      <c r="F21" s="71">
        <f t="shared" si="10"/>
        <v>0</v>
      </c>
      <c r="G21" s="71">
        <f t="shared" si="2"/>
        <v>0</v>
      </c>
      <c r="H21" s="72">
        <v>0.74</v>
      </c>
      <c r="I21" s="115">
        <f t="shared" si="8"/>
        <v>0</v>
      </c>
      <c r="J21" s="157">
        <v>1</v>
      </c>
      <c r="K21" s="76">
        <f t="shared" si="3"/>
        <v>0</v>
      </c>
      <c r="L21" s="73">
        <f t="shared" si="4"/>
        <v>0</v>
      </c>
      <c r="M21" s="74">
        <f t="shared" si="5"/>
        <v>0</v>
      </c>
      <c r="N21" s="75">
        <v>60</v>
      </c>
      <c r="O21" s="70">
        <f t="shared" si="9"/>
        <v>0</v>
      </c>
    </row>
    <row r="22" spans="1:15" ht="18.75" x14ac:dyDescent="0.25">
      <c r="A22" s="213">
        <v>5</v>
      </c>
      <c r="B22" s="210">
        <f t="shared" si="0"/>
        <v>1345.55</v>
      </c>
      <c r="C22" s="158">
        <f t="shared" si="1"/>
        <v>1343.26</v>
      </c>
      <c r="D22" s="71">
        <f t="shared" si="6"/>
        <v>7.7100000000000364</v>
      </c>
      <c r="E22" s="71">
        <f t="shared" si="7"/>
        <v>7.7100000000000364</v>
      </c>
      <c r="F22" s="71">
        <f t="shared" si="10"/>
        <v>0</v>
      </c>
      <c r="G22" s="71">
        <f t="shared" si="2"/>
        <v>0</v>
      </c>
      <c r="H22" s="72">
        <v>0.74</v>
      </c>
      <c r="I22" s="115">
        <f t="shared" si="8"/>
        <v>0</v>
      </c>
      <c r="J22" s="157">
        <v>1</v>
      </c>
      <c r="K22" s="76">
        <f t="shared" si="3"/>
        <v>0</v>
      </c>
      <c r="L22" s="73">
        <f t="shared" si="4"/>
        <v>0</v>
      </c>
      <c r="M22" s="74">
        <f t="shared" si="5"/>
        <v>0</v>
      </c>
      <c r="N22" s="75">
        <v>60</v>
      </c>
      <c r="O22" s="70">
        <f t="shared" si="9"/>
        <v>0</v>
      </c>
    </row>
    <row r="23" spans="1:15" ht="18.75" x14ac:dyDescent="0.25">
      <c r="A23" s="213">
        <v>6</v>
      </c>
      <c r="B23" s="210">
        <f t="shared" si="0"/>
        <v>1345.55</v>
      </c>
      <c r="C23" s="158">
        <f t="shared" si="1"/>
        <v>1343.26</v>
      </c>
      <c r="D23" s="71">
        <f t="shared" si="6"/>
        <v>7.7100000000000364</v>
      </c>
      <c r="E23" s="71">
        <f t="shared" si="7"/>
        <v>7.7100000000000364</v>
      </c>
      <c r="F23" s="71">
        <f t="shared" si="10"/>
        <v>0</v>
      </c>
      <c r="G23" s="71">
        <f t="shared" si="2"/>
        <v>0</v>
      </c>
      <c r="H23" s="72">
        <v>0.74</v>
      </c>
      <c r="I23" s="115">
        <f t="shared" si="8"/>
        <v>0</v>
      </c>
      <c r="J23" s="157">
        <v>1</v>
      </c>
      <c r="K23" s="76">
        <f t="shared" si="3"/>
        <v>0</v>
      </c>
      <c r="L23" s="73">
        <f t="shared" si="4"/>
        <v>0</v>
      </c>
      <c r="M23" s="74">
        <f t="shared" si="5"/>
        <v>0</v>
      </c>
      <c r="N23" s="75">
        <v>60</v>
      </c>
      <c r="O23" s="70">
        <f t="shared" si="9"/>
        <v>0</v>
      </c>
    </row>
    <row r="24" spans="1:15" ht="18.75" x14ac:dyDescent="0.25">
      <c r="A24" s="213">
        <v>7</v>
      </c>
      <c r="B24" s="210">
        <f t="shared" si="0"/>
        <v>1345.55</v>
      </c>
      <c r="C24" s="158">
        <f t="shared" si="1"/>
        <v>1343.26</v>
      </c>
      <c r="D24" s="71">
        <f t="shared" si="6"/>
        <v>7.7100000000000364</v>
      </c>
      <c r="E24" s="71">
        <f t="shared" si="7"/>
        <v>7.7100000000000364</v>
      </c>
      <c r="F24" s="71">
        <f t="shared" si="10"/>
        <v>0</v>
      </c>
      <c r="G24" s="71">
        <f t="shared" si="2"/>
        <v>0</v>
      </c>
      <c r="H24" s="72">
        <v>0.74</v>
      </c>
      <c r="I24" s="115">
        <f t="shared" si="8"/>
        <v>0</v>
      </c>
      <c r="J24" s="157">
        <v>1</v>
      </c>
      <c r="K24" s="76">
        <f t="shared" si="3"/>
        <v>0</v>
      </c>
      <c r="L24" s="73">
        <f t="shared" si="4"/>
        <v>0</v>
      </c>
      <c r="M24" s="74">
        <f t="shared" si="5"/>
        <v>0</v>
      </c>
      <c r="N24" s="75">
        <v>60</v>
      </c>
      <c r="O24" s="70">
        <f t="shared" si="9"/>
        <v>0</v>
      </c>
    </row>
    <row r="25" spans="1:15" ht="19.5" thickBot="1" x14ac:dyDescent="0.3">
      <c r="A25" s="214">
        <v>8</v>
      </c>
      <c r="B25" s="211">
        <f t="shared" si="0"/>
        <v>1345.55</v>
      </c>
      <c r="C25" s="164">
        <f t="shared" si="1"/>
        <v>1343.26</v>
      </c>
      <c r="D25" s="165">
        <f t="shared" si="6"/>
        <v>7.7100000000000364</v>
      </c>
      <c r="E25" s="165">
        <f t="shared" si="7"/>
        <v>7.7100000000000364</v>
      </c>
      <c r="F25" s="165">
        <f t="shared" si="10"/>
        <v>0</v>
      </c>
      <c r="G25" s="165">
        <f t="shared" si="2"/>
        <v>0</v>
      </c>
      <c r="H25" s="166">
        <v>0.74</v>
      </c>
      <c r="I25" s="167">
        <f t="shared" si="8"/>
        <v>0</v>
      </c>
      <c r="J25" s="168">
        <v>1</v>
      </c>
      <c r="K25" s="169">
        <f t="shared" si="3"/>
        <v>0</v>
      </c>
      <c r="L25" s="170">
        <f t="shared" si="4"/>
        <v>0</v>
      </c>
      <c r="M25" s="171">
        <f t="shared" si="5"/>
        <v>0</v>
      </c>
      <c r="N25" s="172">
        <v>60</v>
      </c>
      <c r="O25" s="173">
        <f t="shared" si="9"/>
        <v>0</v>
      </c>
    </row>
    <row r="26" spans="1:15" ht="18.75" customHeight="1" thickTop="1" x14ac:dyDescent="0.25">
      <c r="A26" s="275" t="s">
        <v>99</v>
      </c>
      <c r="B26" s="276"/>
      <c r="C26" s="276"/>
      <c r="D26" s="276"/>
      <c r="E26" s="276"/>
      <c r="F26" s="276"/>
      <c r="G26" s="276"/>
      <c r="H26" s="277"/>
      <c r="I26" s="281">
        <f>SUM(I18:I25)</f>
        <v>0</v>
      </c>
      <c r="J26" s="269"/>
      <c r="K26" s="281">
        <f>SUM(K18:K25)</f>
        <v>0</v>
      </c>
      <c r="L26" s="291">
        <f t="shared" si="4"/>
        <v>0</v>
      </c>
      <c r="M26" s="291">
        <f t="shared" si="5"/>
        <v>0</v>
      </c>
      <c r="N26" s="269"/>
      <c r="O26" s="261">
        <f>SUM(O18:O25)</f>
        <v>0</v>
      </c>
    </row>
    <row r="27" spans="1:15" ht="15.75" customHeight="1" thickBot="1" x14ac:dyDescent="0.3">
      <c r="A27" s="278"/>
      <c r="B27" s="279"/>
      <c r="C27" s="279"/>
      <c r="D27" s="279"/>
      <c r="E27" s="279"/>
      <c r="F27" s="279"/>
      <c r="G27" s="279"/>
      <c r="H27" s="280"/>
      <c r="I27" s="282"/>
      <c r="J27" s="270"/>
      <c r="K27" s="282"/>
      <c r="L27" s="292"/>
      <c r="M27" s="292"/>
      <c r="N27" s="270"/>
      <c r="O27" s="262"/>
    </row>
    <row r="28" spans="1:15" x14ac:dyDescent="0.25">
      <c r="M28" s="163"/>
    </row>
  </sheetData>
  <sheetProtection selectLockedCells="1"/>
  <mergeCells count="21">
    <mergeCell ref="J5:K5"/>
    <mergeCell ref="I13:J13"/>
    <mergeCell ref="L26:L27"/>
    <mergeCell ref="M26:M27"/>
    <mergeCell ref="N26:N27"/>
    <mergeCell ref="O26:O27"/>
    <mergeCell ref="A1:O1"/>
    <mergeCell ref="A2:O2"/>
    <mergeCell ref="J26:J27"/>
    <mergeCell ref="A11:K11"/>
    <mergeCell ref="A16:A17"/>
    <mergeCell ref="A26:H27"/>
    <mergeCell ref="I26:I27"/>
    <mergeCell ref="K26:K27"/>
    <mergeCell ref="C12:E12"/>
    <mergeCell ref="G16:G17"/>
    <mergeCell ref="H16:H17"/>
    <mergeCell ref="C4:D4"/>
    <mergeCell ref="C5:D5"/>
    <mergeCell ref="C6:D6"/>
    <mergeCell ref="C7:D7"/>
  </mergeCells>
  <printOptions verticalCentered="1"/>
  <pageMargins left="0.35" right="0.2" top="0.25" bottom="0.25" header="0.3" footer="0.3"/>
  <pageSetup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738EE-61F6-4A04-B166-F786F619D749}">
  <sheetPr>
    <tabColor theme="9" tint="0.39997558519241921"/>
  </sheetPr>
  <dimension ref="A1:R81"/>
  <sheetViews>
    <sheetView tabSelected="1" workbookViewId="0">
      <selection activeCell="D15" sqref="D15"/>
    </sheetView>
  </sheetViews>
  <sheetFormatPr defaultRowHeight="15" x14ac:dyDescent="0.25"/>
  <cols>
    <col min="1" max="2" width="15.7109375" customWidth="1"/>
    <col min="9" max="9" width="12.7109375" customWidth="1"/>
    <col min="10" max="10" width="10.7109375" customWidth="1"/>
    <col min="11" max="12" width="16" customWidth="1"/>
    <col min="14" max="14" width="16.7109375" bestFit="1" customWidth="1"/>
    <col min="18" max="18" width="16.7109375" bestFit="1" customWidth="1"/>
    <col min="259" max="259" width="15.7109375" customWidth="1"/>
    <col min="260" max="260" width="16.7109375" customWidth="1"/>
    <col min="267" max="267" width="12.7109375" customWidth="1"/>
    <col min="268" max="268" width="10.7109375" customWidth="1"/>
    <col min="270" max="270" width="16.7109375" bestFit="1" customWidth="1"/>
    <col min="274" max="274" width="16.7109375" bestFit="1" customWidth="1"/>
    <col min="515" max="515" width="15.7109375" customWidth="1"/>
    <col min="516" max="516" width="16.7109375" customWidth="1"/>
    <col min="523" max="523" width="12.7109375" customWidth="1"/>
    <col min="524" max="524" width="10.7109375" customWidth="1"/>
    <col min="526" max="526" width="16.7109375" bestFit="1" customWidth="1"/>
    <col min="530" max="530" width="16.7109375" bestFit="1" customWidth="1"/>
    <col min="771" max="771" width="15.7109375" customWidth="1"/>
    <col min="772" max="772" width="16.7109375" customWidth="1"/>
    <col min="779" max="779" width="12.7109375" customWidth="1"/>
    <col min="780" max="780" width="10.7109375" customWidth="1"/>
    <col min="782" max="782" width="16.7109375" bestFit="1" customWidth="1"/>
    <col min="786" max="786" width="16.7109375" bestFit="1" customWidth="1"/>
    <col min="1027" max="1027" width="15.7109375" customWidth="1"/>
    <col min="1028" max="1028" width="16.7109375" customWidth="1"/>
    <col min="1035" max="1035" width="12.7109375" customWidth="1"/>
    <col min="1036" max="1036" width="10.7109375" customWidth="1"/>
    <col min="1038" max="1038" width="16.7109375" bestFit="1" customWidth="1"/>
    <col min="1042" max="1042" width="16.7109375" bestFit="1" customWidth="1"/>
    <col min="1283" max="1283" width="15.7109375" customWidth="1"/>
    <col min="1284" max="1284" width="16.7109375" customWidth="1"/>
    <col min="1291" max="1291" width="12.7109375" customWidth="1"/>
    <col min="1292" max="1292" width="10.7109375" customWidth="1"/>
    <col min="1294" max="1294" width="16.7109375" bestFit="1" customWidth="1"/>
    <col min="1298" max="1298" width="16.7109375" bestFit="1" customWidth="1"/>
    <col min="1539" max="1539" width="15.7109375" customWidth="1"/>
    <col min="1540" max="1540" width="16.7109375" customWidth="1"/>
    <col min="1547" max="1547" width="12.7109375" customWidth="1"/>
    <col min="1548" max="1548" width="10.7109375" customWidth="1"/>
    <col min="1550" max="1550" width="16.7109375" bestFit="1" customWidth="1"/>
    <col min="1554" max="1554" width="16.7109375" bestFit="1" customWidth="1"/>
    <col min="1795" max="1795" width="15.7109375" customWidth="1"/>
    <col min="1796" max="1796" width="16.7109375" customWidth="1"/>
    <col min="1803" max="1803" width="12.7109375" customWidth="1"/>
    <col min="1804" max="1804" width="10.7109375" customWidth="1"/>
    <col min="1806" max="1806" width="16.7109375" bestFit="1" customWidth="1"/>
    <col min="1810" max="1810" width="16.7109375" bestFit="1" customWidth="1"/>
    <col min="2051" max="2051" width="15.7109375" customWidth="1"/>
    <col min="2052" max="2052" width="16.7109375" customWidth="1"/>
    <col min="2059" max="2059" width="12.7109375" customWidth="1"/>
    <col min="2060" max="2060" width="10.7109375" customWidth="1"/>
    <col min="2062" max="2062" width="16.7109375" bestFit="1" customWidth="1"/>
    <col min="2066" max="2066" width="16.7109375" bestFit="1" customWidth="1"/>
    <col min="2307" max="2307" width="15.7109375" customWidth="1"/>
    <col min="2308" max="2308" width="16.7109375" customWidth="1"/>
    <col min="2315" max="2315" width="12.7109375" customWidth="1"/>
    <col min="2316" max="2316" width="10.7109375" customWidth="1"/>
    <col min="2318" max="2318" width="16.7109375" bestFit="1" customWidth="1"/>
    <col min="2322" max="2322" width="16.7109375" bestFit="1" customWidth="1"/>
    <col min="2563" max="2563" width="15.7109375" customWidth="1"/>
    <col min="2564" max="2564" width="16.7109375" customWidth="1"/>
    <col min="2571" max="2571" width="12.7109375" customWidth="1"/>
    <col min="2572" max="2572" width="10.7109375" customWidth="1"/>
    <col min="2574" max="2574" width="16.7109375" bestFit="1" customWidth="1"/>
    <col min="2578" max="2578" width="16.7109375" bestFit="1" customWidth="1"/>
    <col min="2819" max="2819" width="15.7109375" customWidth="1"/>
    <col min="2820" max="2820" width="16.7109375" customWidth="1"/>
    <col min="2827" max="2827" width="12.7109375" customWidth="1"/>
    <col min="2828" max="2828" width="10.7109375" customWidth="1"/>
    <col min="2830" max="2830" width="16.7109375" bestFit="1" customWidth="1"/>
    <col min="2834" max="2834" width="16.7109375" bestFit="1" customWidth="1"/>
    <col min="3075" max="3075" width="15.7109375" customWidth="1"/>
    <col min="3076" max="3076" width="16.7109375" customWidth="1"/>
    <col min="3083" max="3083" width="12.7109375" customWidth="1"/>
    <col min="3084" max="3084" width="10.7109375" customWidth="1"/>
    <col min="3086" max="3086" width="16.7109375" bestFit="1" customWidth="1"/>
    <col min="3090" max="3090" width="16.7109375" bestFit="1" customWidth="1"/>
    <col min="3331" max="3331" width="15.7109375" customWidth="1"/>
    <col min="3332" max="3332" width="16.7109375" customWidth="1"/>
    <col min="3339" max="3339" width="12.7109375" customWidth="1"/>
    <col min="3340" max="3340" width="10.7109375" customWidth="1"/>
    <col min="3342" max="3342" width="16.7109375" bestFit="1" customWidth="1"/>
    <col min="3346" max="3346" width="16.7109375" bestFit="1" customWidth="1"/>
    <col min="3587" max="3587" width="15.7109375" customWidth="1"/>
    <col min="3588" max="3588" width="16.7109375" customWidth="1"/>
    <col min="3595" max="3595" width="12.7109375" customWidth="1"/>
    <col min="3596" max="3596" width="10.7109375" customWidth="1"/>
    <col min="3598" max="3598" width="16.7109375" bestFit="1" customWidth="1"/>
    <col min="3602" max="3602" width="16.7109375" bestFit="1" customWidth="1"/>
    <col min="3843" max="3843" width="15.7109375" customWidth="1"/>
    <col min="3844" max="3844" width="16.7109375" customWidth="1"/>
    <col min="3851" max="3851" width="12.7109375" customWidth="1"/>
    <col min="3852" max="3852" width="10.7109375" customWidth="1"/>
    <col min="3854" max="3854" width="16.7109375" bestFit="1" customWidth="1"/>
    <col min="3858" max="3858" width="16.7109375" bestFit="1" customWidth="1"/>
    <col min="4099" max="4099" width="15.7109375" customWidth="1"/>
    <col min="4100" max="4100" width="16.7109375" customWidth="1"/>
    <col min="4107" max="4107" width="12.7109375" customWidth="1"/>
    <col min="4108" max="4108" width="10.7109375" customWidth="1"/>
    <col min="4110" max="4110" width="16.7109375" bestFit="1" customWidth="1"/>
    <col min="4114" max="4114" width="16.7109375" bestFit="1" customWidth="1"/>
    <col min="4355" max="4355" width="15.7109375" customWidth="1"/>
    <col min="4356" max="4356" width="16.7109375" customWidth="1"/>
    <col min="4363" max="4363" width="12.7109375" customWidth="1"/>
    <col min="4364" max="4364" width="10.7109375" customWidth="1"/>
    <col min="4366" max="4366" width="16.7109375" bestFit="1" customWidth="1"/>
    <col min="4370" max="4370" width="16.7109375" bestFit="1" customWidth="1"/>
    <col min="4611" max="4611" width="15.7109375" customWidth="1"/>
    <col min="4612" max="4612" width="16.7109375" customWidth="1"/>
    <col min="4619" max="4619" width="12.7109375" customWidth="1"/>
    <col min="4620" max="4620" width="10.7109375" customWidth="1"/>
    <col min="4622" max="4622" width="16.7109375" bestFit="1" customWidth="1"/>
    <col min="4626" max="4626" width="16.7109375" bestFit="1" customWidth="1"/>
    <col min="4867" max="4867" width="15.7109375" customWidth="1"/>
    <col min="4868" max="4868" width="16.7109375" customWidth="1"/>
    <col min="4875" max="4875" width="12.7109375" customWidth="1"/>
    <col min="4876" max="4876" width="10.7109375" customWidth="1"/>
    <col min="4878" max="4878" width="16.7109375" bestFit="1" customWidth="1"/>
    <col min="4882" max="4882" width="16.7109375" bestFit="1" customWidth="1"/>
    <col min="5123" max="5123" width="15.7109375" customWidth="1"/>
    <col min="5124" max="5124" width="16.7109375" customWidth="1"/>
    <col min="5131" max="5131" width="12.7109375" customWidth="1"/>
    <col min="5132" max="5132" width="10.7109375" customWidth="1"/>
    <col min="5134" max="5134" width="16.7109375" bestFit="1" customWidth="1"/>
    <col min="5138" max="5138" width="16.7109375" bestFit="1" customWidth="1"/>
    <col min="5379" max="5379" width="15.7109375" customWidth="1"/>
    <col min="5380" max="5380" width="16.7109375" customWidth="1"/>
    <col min="5387" max="5387" width="12.7109375" customWidth="1"/>
    <col min="5388" max="5388" width="10.7109375" customWidth="1"/>
    <col min="5390" max="5390" width="16.7109375" bestFit="1" customWidth="1"/>
    <col min="5394" max="5394" width="16.7109375" bestFit="1" customWidth="1"/>
    <col min="5635" max="5635" width="15.7109375" customWidth="1"/>
    <col min="5636" max="5636" width="16.7109375" customWidth="1"/>
    <col min="5643" max="5643" width="12.7109375" customWidth="1"/>
    <col min="5644" max="5644" width="10.7109375" customWidth="1"/>
    <col min="5646" max="5646" width="16.7109375" bestFit="1" customWidth="1"/>
    <col min="5650" max="5650" width="16.7109375" bestFit="1" customWidth="1"/>
    <col min="5891" max="5891" width="15.7109375" customWidth="1"/>
    <col min="5892" max="5892" width="16.7109375" customWidth="1"/>
    <col min="5899" max="5899" width="12.7109375" customWidth="1"/>
    <col min="5900" max="5900" width="10.7109375" customWidth="1"/>
    <col min="5902" max="5902" width="16.7109375" bestFit="1" customWidth="1"/>
    <col min="5906" max="5906" width="16.7109375" bestFit="1" customWidth="1"/>
    <col min="6147" max="6147" width="15.7109375" customWidth="1"/>
    <col min="6148" max="6148" width="16.7109375" customWidth="1"/>
    <col min="6155" max="6155" width="12.7109375" customWidth="1"/>
    <col min="6156" max="6156" width="10.7109375" customWidth="1"/>
    <col min="6158" max="6158" width="16.7109375" bestFit="1" customWidth="1"/>
    <col min="6162" max="6162" width="16.7109375" bestFit="1" customWidth="1"/>
    <col min="6403" max="6403" width="15.7109375" customWidth="1"/>
    <col min="6404" max="6404" width="16.7109375" customWidth="1"/>
    <col min="6411" max="6411" width="12.7109375" customWidth="1"/>
    <col min="6412" max="6412" width="10.7109375" customWidth="1"/>
    <col min="6414" max="6414" width="16.7109375" bestFit="1" customWidth="1"/>
    <col min="6418" max="6418" width="16.7109375" bestFit="1" customWidth="1"/>
    <col min="6659" max="6659" width="15.7109375" customWidth="1"/>
    <col min="6660" max="6660" width="16.7109375" customWidth="1"/>
    <col min="6667" max="6667" width="12.7109375" customWidth="1"/>
    <col min="6668" max="6668" width="10.7109375" customWidth="1"/>
    <col min="6670" max="6670" width="16.7109375" bestFit="1" customWidth="1"/>
    <col min="6674" max="6674" width="16.7109375" bestFit="1" customWidth="1"/>
    <col min="6915" max="6915" width="15.7109375" customWidth="1"/>
    <col min="6916" max="6916" width="16.7109375" customWidth="1"/>
    <col min="6923" max="6923" width="12.7109375" customWidth="1"/>
    <col min="6924" max="6924" width="10.7109375" customWidth="1"/>
    <col min="6926" max="6926" width="16.7109375" bestFit="1" customWidth="1"/>
    <col min="6930" max="6930" width="16.7109375" bestFit="1" customWidth="1"/>
    <col min="7171" max="7171" width="15.7109375" customWidth="1"/>
    <col min="7172" max="7172" width="16.7109375" customWidth="1"/>
    <col min="7179" max="7179" width="12.7109375" customWidth="1"/>
    <col min="7180" max="7180" width="10.7109375" customWidth="1"/>
    <col min="7182" max="7182" width="16.7109375" bestFit="1" customWidth="1"/>
    <col min="7186" max="7186" width="16.7109375" bestFit="1" customWidth="1"/>
    <col min="7427" max="7427" width="15.7109375" customWidth="1"/>
    <col min="7428" max="7428" width="16.7109375" customWidth="1"/>
    <col min="7435" max="7435" width="12.7109375" customWidth="1"/>
    <col min="7436" max="7436" width="10.7109375" customWidth="1"/>
    <col min="7438" max="7438" width="16.7109375" bestFit="1" customWidth="1"/>
    <col min="7442" max="7442" width="16.7109375" bestFit="1" customWidth="1"/>
    <col min="7683" max="7683" width="15.7109375" customWidth="1"/>
    <col min="7684" max="7684" width="16.7109375" customWidth="1"/>
    <col min="7691" max="7691" width="12.7109375" customWidth="1"/>
    <col min="7692" max="7692" width="10.7109375" customWidth="1"/>
    <col min="7694" max="7694" width="16.7109375" bestFit="1" customWidth="1"/>
    <col min="7698" max="7698" width="16.7109375" bestFit="1" customWidth="1"/>
    <col min="7939" max="7939" width="15.7109375" customWidth="1"/>
    <col min="7940" max="7940" width="16.7109375" customWidth="1"/>
    <col min="7947" max="7947" width="12.7109375" customWidth="1"/>
    <col min="7948" max="7948" width="10.7109375" customWidth="1"/>
    <col min="7950" max="7950" width="16.7109375" bestFit="1" customWidth="1"/>
    <col min="7954" max="7954" width="16.7109375" bestFit="1" customWidth="1"/>
    <col min="8195" max="8195" width="15.7109375" customWidth="1"/>
    <col min="8196" max="8196" width="16.7109375" customWidth="1"/>
    <col min="8203" max="8203" width="12.7109375" customWidth="1"/>
    <col min="8204" max="8204" width="10.7109375" customWidth="1"/>
    <col min="8206" max="8206" width="16.7109375" bestFit="1" customWidth="1"/>
    <col min="8210" max="8210" width="16.7109375" bestFit="1" customWidth="1"/>
    <col min="8451" max="8451" width="15.7109375" customWidth="1"/>
    <col min="8452" max="8452" width="16.7109375" customWidth="1"/>
    <col min="8459" max="8459" width="12.7109375" customWidth="1"/>
    <col min="8460" max="8460" width="10.7109375" customWidth="1"/>
    <col min="8462" max="8462" width="16.7109375" bestFit="1" customWidth="1"/>
    <col min="8466" max="8466" width="16.7109375" bestFit="1" customWidth="1"/>
    <col min="8707" max="8707" width="15.7109375" customWidth="1"/>
    <col min="8708" max="8708" width="16.7109375" customWidth="1"/>
    <col min="8715" max="8715" width="12.7109375" customWidth="1"/>
    <col min="8716" max="8716" width="10.7109375" customWidth="1"/>
    <col min="8718" max="8718" width="16.7109375" bestFit="1" customWidth="1"/>
    <col min="8722" max="8722" width="16.7109375" bestFit="1" customWidth="1"/>
    <col min="8963" max="8963" width="15.7109375" customWidth="1"/>
    <col min="8964" max="8964" width="16.7109375" customWidth="1"/>
    <col min="8971" max="8971" width="12.7109375" customWidth="1"/>
    <col min="8972" max="8972" width="10.7109375" customWidth="1"/>
    <col min="8974" max="8974" width="16.7109375" bestFit="1" customWidth="1"/>
    <col min="8978" max="8978" width="16.7109375" bestFit="1" customWidth="1"/>
    <col min="9219" max="9219" width="15.7109375" customWidth="1"/>
    <col min="9220" max="9220" width="16.7109375" customWidth="1"/>
    <col min="9227" max="9227" width="12.7109375" customWidth="1"/>
    <col min="9228" max="9228" width="10.7109375" customWidth="1"/>
    <col min="9230" max="9230" width="16.7109375" bestFit="1" customWidth="1"/>
    <col min="9234" max="9234" width="16.7109375" bestFit="1" customWidth="1"/>
    <col min="9475" max="9475" width="15.7109375" customWidth="1"/>
    <col min="9476" max="9476" width="16.7109375" customWidth="1"/>
    <col min="9483" max="9483" width="12.7109375" customWidth="1"/>
    <col min="9484" max="9484" width="10.7109375" customWidth="1"/>
    <col min="9486" max="9486" width="16.7109375" bestFit="1" customWidth="1"/>
    <col min="9490" max="9490" width="16.7109375" bestFit="1" customWidth="1"/>
    <col min="9731" max="9731" width="15.7109375" customWidth="1"/>
    <col min="9732" max="9732" width="16.7109375" customWidth="1"/>
    <col min="9739" max="9739" width="12.7109375" customWidth="1"/>
    <col min="9740" max="9740" width="10.7109375" customWidth="1"/>
    <col min="9742" max="9742" width="16.7109375" bestFit="1" customWidth="1"/>
    <col min="9746" max="9746" width="16.7109375" bestFit="1" customWidth="1"/>
    <col min="9987" max="9987" width="15.7109375" customWidth="1"/>
    <col min="9988" max="9988" width="16.7109375" customWidth="1"/>
    <col min="9995" max="9995" width="12.7109375" customWidth="1"/>
    <col min="9996" max="9996" width="10.7109375" customWidth="1"/>
    <col min="9998" max="9998" width="16.7109375" bestFit="1" customWidth="1"/>
    <col min="10002" max="10002" width="16.7109375" bestFit="1" customWidth="1"/>
    <col min="10243" max="10243" width="15.7109375" customWidth="1"/>
    <col min="10244" max="10244" width="16.7109375" customWidth="1"/>
    <col min="10251" max="10251" width="12.7109375" customWidth="1"/>
    <col min="10252" max="10252" width="10.7109375" customWidth="1"/>
    <col min="10254" max="10254" width="16.7109375" bestFit="1" customWidth="1"/>
    <col min="10258" max="10258" width="16.7109375" bestFit="1" customWidth="1"/>
    <col min="10499" max="10499" width="15.7109375" customWidth="1"/>
    <col min="10500" max="10500" width="16.7109375" customWidth="1"/>
    <col min="10507" max="10507" width="12.7109375" customWidth="1"/>
    <col min="10508" max="10508" width="10.7109375" customWidth="1"/>
    <col min="10510" max="10510" width="16.7109375" bestFit="1" customWidth="1"/>
    <col min="10514" max="10514" width="16.7109375" bestFit="1" customWidth="1"/>
    <col min="10755" max="10755" width="15.7109375" customWidth="1"/>
    <col min="10756" max="10756" width="16.7109375" customWidth="1"/>
    <col min="10763" max="10763" width="12.7109375" customWidth="1"/>
    <col min="10764" max="10764" width="10.7109375" customWidth="1"/>
    <col min="10766" max="10766" width="16.7109375" bestFit="1" customWidth="1"/>
    <col min="10770" max="10770" width="16.7109375" bestFit="1" customWidth="1"/>
    <col min="11011" max="11011" width="15.7109375" customWidth="1"/>
    <col min="11012" max="11012" width="16.7109375" customWidth="1"/>
    <col min="11019" max="11019" width="12.7109375" customWidth="1"/>
    <col min="11020" max="11020" width="10.7109375" customWidth="1"/>
    <col min="11022" max="11022" width="16.7109375" bestFit="1" customWidth="1"/>
    <col min="11026" max="11026" width="16.7109375" bestFit="1" customWidth="1"/>
    <col min="11267" max="11267" width="15.7109375" customWidth="1"/>
    <col min="11268" max="11268" width="16.7109375" customWidth="1"/>
    <col min="11275" max="11275" width="12.7109375" customWidth="1"/>
    <col min="11276" max="11276" width="10.7109375" customWidth="1"/>
    <col min="11278" max="11278" width="16.7109375" bestFit="1" customWidth="1"/>
    <col min="11282" max="11282" width="16.7109375" bestFit="1" customWidth="1"/>
    <col min="11523" max="11523" width="15.7109375" customWidth="1"/>
    <col min="11524" max="11524" width="16.7109375" customWidth="1"/>
    <col min="11531" max="11531" width="12.7109375" customWidth="1"/>
    <col min="11532" max="11532" width="10.7109375" customWidth="1"/>
    <col min="11534" max="11534" width="16.7109375" bestFit="1" customWidth="1"/>
    <col min="11538" max="11538" width="16.7109375" bestFit="1" customWidth="1"/>
    <col min="11779" max="11779" width="15.7109375" customWidth="1"/>
    <col min="11780" max="11780" width="16.7109375" customWidth="1"/>
    <col min="11787" max="11787" width="12.7109375" customWidth="1"/>
    <col min="11788" max="11788" width="10.7109375" customWidth="1"/>
    <col min="11790" max="11790" width="16.7109375" bestFit="1" customWidth="1"/>
    <col min="11794" max="11794" width="16.7109375" bestFit="1" customWidth="1"/>
    <col min="12035" max="12035" width="15.7109375" customWidth="1"/>
    <col min="12036" max="12036" width="16.7109375" customWidth="1"/>
    <col min="12043" max="12043" width="12.7109375" customWidth="1"/>
    <col min="12044" max="12044" width="10.7109375" customWidth="1"/>
    <col min="12046" max="12046" width="16.7109375" bestFit="1" customWidth="1"/>
    <col min="12050" max="12050" width="16.7109375" bestFit="1" customWidth="1"/>
    <col min="12291" max="12291" width="15.7109375" customWidth="1"/>
    <col min="12292" max="12292" width="16.7109375" customWidth="1"/>
    <col min="12299" max="12299" width="12.7109375" customWidth="1"/>
    <col min="12300" max="12300" width="10.7109375" customWidth="1"/>
    <col min="12302" max="12302" width="16.7109375" bestFit="1" customWidth="1"/>
    <col min="12306" max="12306" width="16.7109375" bestFit="1" customWidth="1"/>
    <col min="12547" max="12547" width="15.7109375" customWidth="1"/>
    <col min="12548" max="12548" width="16.7109375" customWidth="1"/>
    <col min="12555" max="12555" width="12.7109375" customWidth="1"/>
    <col min="12556" max="12556" width="10.7109375" customWidth="1"/>
    <col min="12558" max="12558" width="16.7109375" bestFit="1" customWidth="1"/>
    <col min="12562" max="12562" width="16.7109375" bestFit="1" customWidth="1"/>
    <col min="12803" max="12803" width="15.7109375" customWidth="1"/>
    <col min="12804" max="12804" width="16.7109375" customWidth="1"/>
    <col min="12811" max="12811" width="12.7109375" customWidth="1"/>
    <col min="12812" max="12812" width="10.7109375" customWidth="1"/>
    <col min="12814" max="12814" width="16.7109375" bestFit="1" customWidth="1"/>
    <col min="12818" max="12818" width="16.7109375" bestFit="1" customWidth="1"/>
    <col min="13059" max="13059" width="15.7109375" customWidth="1"/>
    <col min="13060" max="13060" width="16.7109375" customWidth="1"/>
    <col min="13067" max="13067" width="12.7109375" customWidth="1"/>
    <col min="13068" max="13068" width="10.7109375" customWidth="1"/>
    <col min="13070" max="13070" width="16.7109375" bestFit="1" customWidth="1"/>
    <col min="13074" max="13074" width="16.7109375" bestFit="1" customWidth="1"/>
    <col min="13315" max="13315" width="15.7109375" customWidth="1"/>
    <col min="13316" max="13316" width="16.7109375" customWidth="1"/>
    <col min="13323" max="13323" width="12.7109375" customWidth="1"/>
    <col min="13324" max="13324" width="10.7109375" customWidth="1"/>
    <col min="13326" max="13326" width="16.7109375" bestFit="1" customWidth="1"/>
    <col min="13330" max="13330" width="16.7109375" bestFit="1" customWidth="1"/>
    <col min="13571" max="13571" width="15.7109375" customWidth="1"/>
    <col min="13572" max="13572" width="16.7109375" customWidth="1"/>
    <col min="13579" max="13579" width="12.7109375" customWidth="1"/>
    <col min="13580" max="13580" width="10.7109375" customWidth="1"/>
    <col min="13582" max="13582" width="16.7109375" bestFit="1" customWidth="1"/>
    <col min="13586" max="13586" width="16.7109375" bestFit="1" customWidth="1"/>
    <col min="13827" max="13827" width="15.7109375" customWidth="1"/>
    <col min="13828" max="13828" width="16.7109375" customWidth="1"/>
    <col min="13835" max="13835" width="12.7109375" customWidth="1"/>
    <col min="13836" max="13836" width="10.7109375" customWidth="1"/>
    <col min="13838" max="13838" width="16.7109375" bestFit="1" customWidth="1"/>
    <col min="13842" max="13842" width="16.7109375" bestFit="1" customWidth="1"/>
    <col min="14083" max="14083" width="15.7109375" customWidth="1"/>
    <col min="14084" max="14084" width="16.7109375" customWidth="1"/>
    <col min="14091" max="14091" width="12.7109375" customWidth="1"/>
    <col min="14092" max="14092" width="10.7109375" customWidth="1"/>
    <col min="14094" max="14094" width="16.7109375" bestFit="1" customWidth="1"/>
    <col min="14098" max="14098" width="16.7109375" bestFit="1" customWidth="1"/>
    <col min="14339" max="14339" width="15.7109375" customWidth="1"/>
    <col min="14340" max="14340" width="16.7109375" customWidth="1"/>
    <col min="14347" max="14347" width="12.7109375" customWidth="1"/>
    <col min="14348" max="14348" width="10.7109375" customWidth="1"/>
    <col min="14350" max="14350" width="16.7109375" bestFit="1" customWidth="1"/>
    <col min="14354" max="14354" width="16.7109375" bestFit="1" customWidth="1"/>
    <col min="14595" max="14595" width="15.7109375" customWidth="1"/>
    <col min="14596" max="14596" width="16.7109375" customWidth="1"/>
    <col min="14603" max="14603" width="12.7109375" customWidth="1"/>
    <col min="14604" max="14604" width="10.7109375" customWidth="1"/>
    <col min="14606" max="14606" width="16.7109375" bestFit="1" customWidth="1"/>
    <col min="14610" max="14610" width="16.7109375" bestFit="1" customWidth="1"/>
    <col min="14851" max="14851" width="15.7109375" customWidth="1"/>
    <col min="14852" max="14852" width="16.7109375" customWidth="1"/>
    <col min="14859" max="14859" width="12.7109375" customWidth="1"/>
    <col min="14860" max="14860" width="10.7109375" customWidth="1"/>
    <col min="14862" max="14862" width="16.7109375" bestFit="1" customWidth="1"/>
    <col min="14866" max="14866" width="16.7109375" bestFit="1" customWidth="1"/>
    <col min="15107" max="15107" width="15.7109375" customWidth="1"/>
    <col min="15108" max="15108" width="16.7109375" customWidth="1"/>
    <col min="15115" max="15115" width="12.7109375" customWidth="1"/>
    <col min="15116" max="15116" width="10.7109375" customWidth="1"/>
    <col min="15118" max="15118" width="16.7109375" bestFit="1" customWidth="1"/>
    <col min="15122" max="15122" width="16.7109375" bestFit="1" customWidth="1"/>
    <col min="15363" max="15363" width="15.7109375" customWidth="1"/>
    <col min="15364" max="15364" width="16.7109375" customWidth="1"/>
    <col min="15371" max="15371" width="12.7109375" customWidth="1"/>
    <col min="15372" max="15372" width="10.7109375" customWidth="1"/>
    <col min="15374" max="15374" width="16.7109375" bestFit="1" customWidth="1"/>
    <col min="15378" max="15378" width="16.7109375" bestFit="1" customWidth="1"/>
    <col min="15619" max="15619" width="15.7109375" customWidth="1"/>
    <col min="15620" max="15620" width="16.7109375" customWidth="1"/>
    <col min="15627" max="15627" width="12.7109375" customWidth="1"/>
    <col min="15628" max="15628" width="10.7109375" customWidth="1"/>
    <col min="15630" max="15630" width="16.7109375" bestFit="1" customWidth="1"/>
    <col min="15634" max="15634" width="16.7109375" bestFit="1" customWidth="1"/>
    <col min="15875" max="15875" width="15.7109375" customWidth="1"/>
    <col min="15876" max="15876" width="16.7109375" customWidth="1"/>
    <col min="15883" max="15883" width="12.7109375" customWidth="1"/>
    <col min="15884" max="15884" width="10.7109375" customWidth="1"/>
    <col min="15886" max="15886" width="16.7109375" bestFit="1" customWidth="1"/>
    <col min="15890" max="15890" width="16.7109375" bestFit="1" customWidth="1"/>
    <col min="16131" max="16131" width="15.7109375" customWidth="1"/>
    <col min="16132" max="16132" width="16.7109375" customWidth="1"/>
    <col min="16139" max="16139" width="12.7109375" customWidth="1"/>
    <col min="16140" max="16140" width="10.7109375" customWidth="1"/>
    <col min="16142" max="16142" width="16.7109375" bestFit="1" customWidth="1"/>
    <col min="16146" max="16146" width="16.7109375" bestFit="1" customWidth="1"/>
  </cols>
  <sheetData>
    <row r="1" spans="1:18" ht="24.75" customHeight="1" x14ac:dyDescent="0.35">
      <c r="A1" s="295" t="s">
        <v>0</v>
      </c>
      <c r="B1" s="296"/>
      <c r="C1" s="296"/>
      <c r="D1" s="296"/>
      <c r="E1" s="296"/>
      <c r="F1" s="296"/>
      <c r="G1" s="296"/>
      <c r="H1" s="296"/>
      <c r="I1" s="296"/>
      <c r="J1" s="296"/>
      <c r="K1" s="296"/>
      <c r="L1" s="297"/>
    </row>
    <row r="2" spans="1:18" x14ac:dyDescent="0.25">
      <c r="A2" s="1"/>
      <c r="L2" s="2"/>
    </row>
    <row r="3" spans="1:18" x14ac:dyDescent="0.25">
      <c r="A3" s="1"/>
      <c r="B3" s="283" t="s">
        <v>1</v>
      </c>
      <c r="C3" s="284"/>
      <c r="D3" s="77">
        <v>1335.55</v>
      </c>
      <c r="L3" s="2"/>
    </row>
    <row r="4" spans="1:18" x14ac:dyDescent="0.25">
      <c r="A4" s="1"/>
      <c r="B4" s="283" t="s">
        <v>2</v>
      </c>
      <c r="C4" s="284"/>
      <c r="D4" s="77">
        <v>1345.55</v>
      </c>
      <c r="E4" t="s">
        <v>3</v>
      </c>
      <c r="L4" s="2"/>
    </row>
    <row r="5" spans="1:18" x14ac:dyDescent="0.25">
      <c r="A5" s="1"/>
      <c r="B5" s="283" t="s">
        <v>4</v>
      </c>
      <c r="C5" s="284"/>
      <c r="D5" s="77">
        <v>1355.55</v>
      </c>
      <c r="L5" s="2"/>
    </row>
    <row r="6" spans="1:18" x14ac:dyDescent="0.25">
      <c r="A6" s="1"/>
      <c r="B6" s="283" t="s">
        <v>5</v>
      </c>
      <c r="C6" s="284"/>
      <c r="D6" s="77">
        <v>1343.35</v>
      </c>
      <c r="L6" s="2"/>
    </row>
    <row r="7" spans="1:18" x14ac:dyDescent="0.25">
      <c r="A7" s="1"/>
      <c r="B7" s="4"/>
      <c r="C7" s="4"/>
      <c r="D7" s="5"/>
      <c r="L7" s="2"/>
    </row>
    <row r="8" spans="1:18" ht="36.75" customHeight="1" x14ac:dyDescent="0.25">
      <c r="A8" s="1"/>
      <c r="B8" s="259" t="s">
        <v>33</v>
      </c>
      <c r="C8" s="259"/>
      <c r="D8" s="259"/>
      <c r="E8" s="259"/>
      <c r="F8" s="259"/>
      <c r="G8" s="259"/>
      <c r="H8" s="259"/>
      <c r="I8" s="259"/>
      <c r="J8" s="259"/>
      <c r="L8" s="2"/>
    </row>
    <row r="9" spans="1:18" x14ac:dyDescent="0.25">
      <c r="A9" s="1"/>
      <c r="B9" s="283" t="s">
        <v>6</v>
      </c>
      <c r="C9" s="283"/>
      <c r="D9" s="284"/>
      <c r="E9" s="78">
        <v>20</v>
      </c>
      <c r="F9" s="7" t="s">
        <v>7</v>
      </c>
      <c r="L9" s="2"/>
    </row>
    <row r="10" spans="1:18" x14ac:dyDescent="0.25">
      <c r="A10" s="1"/>
      <c r="E10" s="6"/>
      <c r="F10" s="7"/>
      <c r="L10" s="2"/>
    </row>
    <row r="11" spans="1:18" x14ac:dyDescent="0.25">
      <c r="A11" s="1"/>
      <c r="B11" t="s">
        <v>8</v>
      </c>
      <c r="F11" s="7"/>
      <c r="L11" s="2"/>
    </row>
    <row r="12" spans="1:18" ht="15.75" thickBot="1" x14ac:dyDescent="0.3">
      <c r="A12" s="1"/>
      <c r="L12" s="2"/>
    </row>
    <row r="13" spans="1:18" ht="15.75" customHeight="1" x14ac:dyDescent="0.25">
      <c r="A13" s="79" t="s">
        <v>9</v>
      </c>
      <c r="B13" s="80" t="s">
        <v>10</v>
      </c>
      <c r="C13" s="81" t="s">
        <v>11</v>
      </c>
      <c r="D13" s="81" t="s">
        <v>12</v>
      </c>
      <c r="E13" s="81" t="s">
        <v>13</v>
      </c>
      <c r="F13" s="293" t="s">
        <v>14</v>
      </c>
      <c r="G13" s="293" t="s">
        <v>15</v>
      </c>
      <c r="H13" s="81" t="s">
        <v>16</v>
      </c>
      <c r="I13" s="81" t="s">
        <v>17</v>
      </c>
      <c r="J13" s="82" t="s">
        <v>18</v>
      </c>
      <c r="K13" s="30" t="s">
        <v>19</v>
      </c>
      <c r="L13" s="31" t="s">
        <v>19</v>
      </c>
    </row>
    <row r="14" spans="1:18" ht="15.75" thickBot="1" x14ac:dyDescent="0.3">
      <c r="A14" s="83" t="s">
        <v>22</v>
      </c>
      <c r="B14" s="84" t="s">
        <v>23</v>
      </c>
      <c r="C14" s="85" t="s">
        <v>24</v>
      </c>
      <c r="D14" s="85" t="s">
        <v>24</v>
      </c>
      <c r="E14" s="85" t="s">
        <v>24</v>
      </c>
      <c r="F14" s="294"/>
      <c r="G14" s="294"/>
      <c r="H14" s="85" t="s">
        <v>25</v>
      </c>
      <c r="I14" s="85" t="s">
        <v>26</v>
      </c>
      <c r="J14" s="86" t="s">
        <v>16</v>
      </c>
      <c r="K14" s="36" t="s">
        <v>27</v>
      </c>
      <c r="L14" s="37" t="s">
        <v>28</v>
      </c>
      <c r="M14" s="87"/>
      <c r="N14" s="87"/>
      <c r="O14" s="87"/>
      <c r="P14" s="87"/>
      <c r="Q14" s="87"/>
      <c r="R14" s="87"/>
    </row>
    <row r="15" spans="1:18" ht="15.75" thickTop="1" x14ac:dyDescent="0.25">
      <c r="A15" s="88">
        <f t="shared" ref="A15:A24" si="0">$D$3+10+E15</f>
        <v>1345.55</v>
      </c>
      <c r="B15" s="89">
        <v>1343.35</v>
      </c>
      <c r="C15" s="90">
        <f>B15-$D$3</f>
        <v>7.7999999999999545</v>
      </c>
      <c r="D15" s="90">
        <f t="shared" ref="D15:D40" si="1">C15-E15</f>
        <v>7.7999999999999545</v>
      </c>
      <c r="E15" s="90">
        <v>0</v>
      </c>
      <c r="F15" s="90">
        <f t="shared" ref="F15:F40" si="2">E15/C15</f>
        <v>0</v>
      </c>
      <c r="G15" s="91">
        <v>0.74</v>
      </c>
      <c r="H15" s="90">
        <f>(2/3)*((2*32.2)^0.5)*G15*$E$9*(((C15)^1.5) - (D15)^1.5)</f>
        <v>0</v>
      </c>
      <c r="I15" s="92">
        <v>0</v>
      </c>
      <c r="J15" s="93">
        <f t="shared" ref="J15:J72" si="3">I15*H15</f>
        <v>0</v>
      </c>
      <c r="K15" s="94">
        <f>(J15*7.48)*60</f>
        <v>0</v>
      </c>
      <c r="L15" s="95">
        <f>(K15*1440)</f>
        <v>0</v>
      </c>
      <c r="M15" s="87"/>
      <c r="N15" s="96">
        <f>A15-B15</f>
        <v>2.2000000000000455</v>
      </c>
      <c r="O15" s="87"/>
      <c r="P15" s="87"/>
      <c r="Q15" s="87"/>
      <c r="R15" s="87"/>
    </row>
    <row r="16" spans="1:18" x14ac:dyDescent="0.25">
      <c r="A16" s="97">
        <f t="shared" si="0"/>
        <v>1345.55</v>
      </c>
      <c r="B16" s="98">
        <v>1343.47</v>
      </c>
      <c r="C16" s="99">
        <f>B16-$D$3</f>
        <v>7.9200000000000728</v>
      </c>
      <c r="D16" s="99">
        <f t="shared" si="1"/>
        <v>7.9200000000000728</v>
      </c>
      <c r="E16" s="99">
        <v>0</v>
      </c>
      <c r="F16" s="99">
        <f t="shared" si="2"/>
        <v>0</v>
      </c>
      <c r="G16" s="100">
        <v>0.72399999999999998</v>
      </c>
      <c r="H16" s="99">
        <f t="shared" ref="H16:H70" si="4">(2/3)*((2*32.2)^0.5)*G16*$E$9*(((C16)^1.5) - (D16)^1.5)</f>
        <v>0</v>
      </c>
      <c r="I16" s="101">
        <v>0</v>
      </c>
      <c r="J16" s="102">
        <f t="shared" si="3"/>
        <v>0</v>
      </c>
      <c r="K16" s="103">
        <f>(J16*7.48)*60</f>
        <v>0</v>
      </c>
      <c r="L16" s="104">
        <f>(K16*1440)</f>
        <v>0</v>
      </c>
      <c r="M16" s="87"/>
      <c r="N16" s="96">
        <f>A16-B16</f>
        <v>2.0799999999999272</v>
      </c>
      <c r="O16" s="87"/>
      <c r="P16" s="87"/>
      <c r="Q16" s="87"/>
      <c r="R16" s="87"/>
    </row>
    <row r="17" spans="1:18" x14ac:dyDescent="0.25">
      <c r="A17" s="88">
        <f t="shared" si="0"/>
        <v>1346.05</v>
      </c>
      <c r="B17" s="89">
        <v>1343.4749999999999</v>
      </c>
      <c r="C17" s="90">
        <f t="shared" ref="C17:C71" si="5">B17-$D$3</f>
        <v>7.9249999999999545</v>
      </c>
      <c r="D17" s="90">
        <f t="shared" si="1"/>
        <v>7.4249999999999545</v>
      </c>
      <c r="E17" s="90">
        <v>0.5</v>
      </c>
      <c r="F17" s="90">
        <f t="shared" si="2"/>
        <v>6.3091482649842628E-2</v>
      </c>
      <c r="G17" s="91">
        <v>0.72399999999999998</v>
      </c>
      <c r="H17" s="90">
        <f t="shared" si="4"/>
        <v>160.95389391600008</v>
      </c>
      <c r="I17" s="92">
        <v>2</v>
      </c>
      <c r="J17" s="93">
        <f t="shared" si="3"/>
        <v>321.90778783200017</v>
      </c>
      <c r="K17" s="94">
        <f>(J17*7.48)*60</f>
        <v>144472.21517900168</v>
      </c>
      <c r="L17" s="95">
        <f>(K17*1440)</f>
        <v>208039989.85776243</v>
      </c>
      <c r="M17" s="87"/>
      <c r="N17" s="96">
        <f>A17-B17</f>
        <v>2.5750000000000455</v>
      </c>
      <c r="O17" s="87"/>
      <c r="P17" s="87"/>
      <c r="Q17" s="87"/>
      <c r="R17" s="87"/>
    </row>
    <row r="18" spans="1:18" x14ac:dyDescent="0.25">
      <c r="A18" s="97">
        <f t="shared" si="0"/>
        <v>1346.05</v>
      </c>
      <c r="B18" s="98">
        <v>1343.595</v>
      </c>
      <c r="C18" s="99">
        <f t="shared" si="5"/>
        <v>8.0450000000000728</v>
      </c>
      <c r="D18" s="99">
        <f t="shared" si="1"/>
        <v>7.5450000000000728</v>
      </c>
      <c r="E18" s="99">
        <v>0.5</v>
      </c>
      <c r="F18" s="99">
        <f t="shared" si="2"/>
        <v>6.2150403977625293E-2</v>
      </c>
      <c r="G18" s="100">
        <v>0.72399999999999998</v>
      </c>
      <c r="H18" s="99">
        <f t="shared" si="4"/>
        <v>162.20750433729503</v>
      </c>
      <c r="I18" s="101">
        <v>2</v>
      </c>
      <c r="J18" s="102">
        <f t="shared" si="3"/>
        <v>324.41500867459007</v>
      </c>
      <c r="K18" s="103">
        <f t="shared" ref="K18:K72" si="6">(J18*7.48)*60</f>
        <v>145597.45589315603</v>
      </c>
      <c r="L18" s="104">
        <f t="shared" ref="L18:L72" si="7">(K18*1440)</f>
        <v>209660336.48614469</v>
      </c>
      <c r="M18" s="87"/>
      <c r="N18" s="96">
        <f>A18-B18</f>
        <v>2.4549999999999272</v>
      </c>
      <c r="O18" s="87"/>
      <c r="P18" s="87"/>
      <c r="Q18" s="87"/>
      <c r="R18" s="87"/>
    </row>
    <row r="19" spans="1:18" x14ac:dyDescent="0.25">
      <c r="A19" s="88">
        <f t="shared" si="0"/>
        <v>1346.05</v>
      </c>
      <c r="B19" s="89">
        <v>1343.6</v>
      </c>
      <c r="C19" s="90">
        <f t="shared" si="5"/>
        <v>8.0499999999999545</v>
      </c>
      <c r="D19" s="90">
        <f t="shared" si="1"/>
        <v>7.5499999999999545</v>
      </c>
      <c r="E19" s="90">
        <v>0.5</v>
      </c>
      <c r="F19" s="90">
        <f t="shared" si="2"/>
        <v>6.2111801242236378E-2</v>
      </c>
      <c r="G19" s="91">
        <v>0.72399999999999998</v>
      </c>
      <c r="H19" s="90">
        <f t="shared" si="4"/>
        <v>162.25952784696383</v>
      </c>
      <c r="I19" s="92">
        <v>4</v>
      </c>
      <c r="J19" s="93">
        <f t="shared" si="3"/>
        <v>649.03811138785534</v>
      </c>
      <c r="K19" s="94">
        <f t="shared" si="6"/>
        <v>291288.30439086951</v>
      </c>
      <c r="L19" s="95">
        <f t="shared" si="7"/>
        <v>419455158.32285208</v>
      </c>
      <c r="M19" s="87"/>
      <c r="N19" s="87"/>
      <c r="O19" s="87"/>
      <c r="P19" s="87"/>
      <c r="Q19" s="87"/>
      <c r="R19" s="87"/>
    </row>
    <row r="20" spans="1:18" x14ac:dyDescent="0.25">
      <c r="A20" s="97">
        <f t="shared" si="0"/>
        <v>1346.05</v>
      </c>
      <c r="B20" s="98">
        <v>1343.72</v>
      </c>
      <c r="C20" s="99">
        <f t="shared" si="5"/>
        <v>8.1700000000000728</v>
      </c>
      <c r="D20" s="99">
        <f t="shared" si="1"/>
        <v>7.6700000000000728</v>
      </c>
      <c r="E20" s="99">
        <v>0.5</v>
      </c>
      <c r="F20" s="99">
        <f t="shared" si="2"/>
        <v>6.1199510403916225E-2</v>
      </c>
      <c r="G20" s="100">
        <v>0.72399999999999998</v>
      </c>
      <c r="H20" s="99">
        <f t="shared" si="4"/>
        <v>163.50312461774485</v>
      </c>
      <c r="I20" s="101">
        <v>4</v>
      </c>
      <c r="J20" s="102">
        <f t="shared" si="3"/>
        <v>654.01249847097938</v>
      </c>
      <c r="K20" s="103">
        <f t="shared" si="6"/>
        <v>293520.80931377556</v>
      </c>
      <c r="L20" s="104">
        <f t="shared" si="7"/>
        <v>422669965.4118368</v>
      </c>
      <c r="M20" s="87"/>
      <c r="N20" s="87"/>
      <c r="O20" s="87"/>
      <c r="P20" s="87"/>
      <c r="Q20" s="87"/>
      <c r="R20" s="87"/>
    </row>
    <row r="21" spans="1:18" x14ac:dyDescent="0.25">
      <c r="A21" s="88">
        <f t="shared" si="0"/>
        <v>1346.05</v>
      </c>
      <c r="B21" s="89">
        <v>1343.7249999999999</v>
      </c>
      <c r="C21" s="90">
        <f t="shared" si="5"/>
        <v>8.1749999999999545</v>
      </c>
      <c r="D21" s="90">
        <f t="shared" si="1"/>
        <v>7.6749999999999545</v>
      </c>
      <c r="E21" s="90">
        <v>0.5</v>
      </c>
      <c r="F21" s="90">
        <f t="shared" si="2"/>
        <v>6.1162079510703703E-2</v>
      </c>
      <c r="G21" s="91">
        <v>0.72399999999999998</v>
      </c>
      <c r="H21" s="90">
        <f t="shared" si="4"/>
        <v>163.55473587836394</v>
      </c>
      <c r="I21" s="92">
        <v>6</v>
      </c>
      <c r="J21" s="93">
        <f t="shared" si="3"/>
        <v>981.32841527018365</v>
      </c>
      <c r="K21" s="94">
        <f t="shared" si="6"/>
        <v>440420.19277325843</v>
      </c>
      <c r="L21" s="95">
        <f t="shared" si="7"/>
        <v>634205077.59349215</v>
      </c>
      <c r="M21" s="87"/>
      <c r="N21" s="87"/>
      <c r="O21" s="87"/>
      <c r="P21" s="87"/>
      <c r="Q21" s="87"/>
      <c r="R21" s="87"/>
    </row>
    <row r="22" spans="1:18" x14ac:dyDescent="0.25">
      <c r="A22" s="97">
        <f t="shared" si="0"/>
        <v>1346.05</v>
      </c>
      <c r="B22" s="98">
        <v>1343.845</v>
      </c>
      <c r="C22" s="99">
        <f t="shared" si="5"/>
        <v>8.2950000000000728</v>
      </c>
      <c r="D22" s="99">
        <f t="shared" si="1"/>
        <v>7.7950000000000728</v>
      </c>
      <c r="E22" s="99">
        <v>0.5</v>
      </c>
      <c r="F22" s="99">
        <f t="shared" si="2"/>
        <v>6.0277275467148353E-2</v>
      </c>
      <c r="G22" s="100">
        <v>0.72399999999999998</v>
      </c>
      <c r="H22" s="99">
        <f t="shared" si="4"/>
        <v>164.78855527271165</v>
      </c>
      <c r="I22" s="101">
        <v>6</v>
      </c>
      <c r="J22" s="102">
        <f t="shared" si="3"/>
        <v>988.73133163626994</v>
      </c>
      <c r="K22" s="103">
        <f t="shared" si="6"/>
        <v>443742.62163835799</v>
      </c>
      <c r="L22" s="104">
        <f t="shared" si="7"/>
        <v>638989375.15923548</v>
      </c>
      <c r="M22" s="87" t="s">
        <v>37</v>
      </c>
      <c r="N22" s="87"/>
      <c r="O22" s="87"/>
      <c r="P22" s="87"/>
      <c r="Q22" s="87"/>
      <c r="R22" s="87"/>
    </row>
    <row r="23" spans="1:18" x14ac:dyDescent="0.25">
      <c r="A23" s="88">
        <f t="shared" si="0"/>
        <v>1346.05</v>
      </c>
      <c r="B23" s="89">
        <v>1343.85</v>
      </c>
      <c r="C23" s="90">
        <f t="shared" si="5"/>
        <v>8.2999999999999545</v>
      </c>
      <c r="D23" s="90">
        <f t="shared" si="1"/>
        <v>7.7999999999999545</v>
      </c>
      <c r="E23" s="90">
        <v>0.5</v>
      </c>
      <c r="F23" s="90">
        <f t="shared" si="2"/>
        <v>6.0240963855422019E-2</v>
      </c>
      <c r="G23" s="91">
        <v>0.72399999999999998</v>
      </c>
      <c r="H23" s="90">
        <f t="shared" si="4"/>
        <v>164.83976393494703</v>
      </c>
      <c r="I23" s="92">
        <v>8</v>
      </c>
      <c r="J23" s="93">
        <f t="shared" si="3"/>
        <v>1318.7181114795762</v>
      </c>
      <c r="K23" s="94">
        <f t="shared" si="6"/>
        <v>591840.68843203387</v>
      </c>
      <c r="L23" s="95">
        <f t="shared" si="7"/>
        <v>852250591.34212875</v>
      </c>
      <c r="M23" s="87">
        <f t="shared" ref="M23:M72" si="8">J23/6</f>
        <v>219.78635191326271</v>
      </c>
      <c r="N23" s="87">
        <v>8.5</v>
      </c>
      <c r="O23" s="87"/>
      <c r="P23" s="87">
        <f>1318/6</f>
        <v>219.66666666666666</v>
      </c>
      <c r="Q23" s="87"/>
      <c r="R23" s="87"/>
    </row>
    <row r="24" spans="1:18" x14ac:dyDescent="0.25">
      <c r="A24" s="97">
        <f t="shared" si="0"/>
        <v>1346.05</v>
      </c>
      <c r="B24" s="98">
        <v>1344.35</v>
      </c>
      <c r="C24" s="99">
        <f t="shared" si="5"/>
        <v>8.7999999999999545</v>
      </c>
      <c r="D24" s="99">
        <f t="shared" si="1"/>
        <v>8.2999999999999545</v>
      </c>
      <c r="E24" s="99">
        <v>0.5</v>
      </c>
      <c r="F24" s="99">
        <f t="shared" si="2"/>
        <v>5.6818181818182115E-2</v>
      </c>
      <c r="G24" s="100">
        <v>0.72399999999999998</v>
      </c>
      <c r="H24" s="99">
        <f t="shared" si="4"/>
        <v>169.88267208700091</v>
      </c>
      <c r="I24" s="101">
        <v>8</v>
      </c>
      <c r="J24" s="102">
        <f t="shared" si="3"/>
        <v>1359.0613766960073</v>
      </c>
      <c r="K24" s="103">
        <f t="shared" si="6"/>
        <v>609946.74586116814</v>
      </c>
      <c r="L24" s="104">
        <f t="shared" si="7"/>
        <v>878323314.0400821</v>
      </c>
      <c r="M24" s="87">
        <f t="shared" si="8"/>
        <v>226.51022944933456</v>
      </c>
      <c r="N24" s="87">
        <v>9</v>
      </c>
      <c r="O24" s="87"/>
      <c r="P24" s="87">
        <f>(169+338)/2</f>
        <v>253.5</v>
      </c>
      <c r="Q24" s="87"/>
      <c r="R24" s="87"/>
    </row>
    <row r="25" spans="1:18" x14ac:dyDescent="0.25">
      <c r="A25" s="88">
        <v>1346.3</v>
      </c>
      <c r="B25" s="89">
        <v>1344.43</v>
      </c>
      <c r="C25" s="90">
        <f t="shared" si="5"/>
        <v>8.8800000000001091</v>
      </c>
      <c r="D25" s="90">
        <f t="shared" si="1"/>
        <v>8.297000000000109</v>
      </c>
      <c r="E25" s="90">
        <v>0.58299999999999996</v>
      </c>
      <c r="F25" s="90">
        <f t="shared" si="2"/>
        <v>6.5653153153152344E-2</v>
      </c>
      <c r="G25" s="91">
        <v>0.72</v>
      </c>
      <c r="H25" s="90">
        <f t="shared" si="4"/>
        <v>197.42938372275256</v>
      </c>
      <c r="I25" s="92">
        <v>8</v>
      </c>
      <c r="J25" s="93">
        <f t="shared" si="3"/>
        <v>1579.4350697820205</v>
      </c>
      <c r="K25" s="94">
        <f t="shared" si="6"/>
        <v>708850.45931817091</v>
      </c>
      <c r="L25" s="95">
        <f t="shared" si="7"/>
        <v>1020744661.4181662</v>
      </c>
      <c r="M25" s="87">
        <f t="shared" si="8"/>
        <v>263.23917829700343</v>
      </c>
      <c r="N25" s="87">
        <v>10</v>
      </c>
      <c r="O25" s="87"/>
      <c r="P25" s="87"/>
      <c r="Q25" s="87"/>
      <c r="R25" s="87"/>
    </row>
    <row r="26" spans="1:18" x14ac:dyDescent="0.25">
      <c r="A26" s="97">
        <f>B25+1.9</f>
        <v>1346.3300000000002</v>
      </c>
      <c r="B26" s="98">
        <v>1344.6</v>
      </c>
      <c r="C26" s="99">
        <f t="shared" si="5"/>
        <v>9.0499999999999545</v>
      </c>
      <c r="D26" s="99">
        <f t="shared" si="1"/>
        <v>8.3833333333332885</v>
      </c>
      <c r="E26" s="99">
        <f>8/12</f>
        <v>0.66666666666666663</v>
      </c>
      <c r="F26" s="99">
        <f t="shared" si="2"/>
        <v>7.3664825046040883E-2</v>
      </c>
      <c r="G26" s="100">
        <v>0.72</v>
      </c>
      <c r="H26" s="99">
        <f t="shared" si="4"/>
        <v>227.43794123209238</v>
      </c>
      <c r="I26" s="101">
        <v>8</v>
      </c>
      <c r="J26" s="102">
        <f t="shared" si="3"/>
        <v>1819.5035298567391</v>
      </c>
      <c r="K26" s="103">
        <f t="shared" si="6"/>
        <v>816593.18419970456</v>
      </c>
      <c r="L26" s="104">
        <f t="shared" si="7"/>
        <v>1175894185.2475746</v>
      </c>
      <c r="M26" s="87">
        <f t="shared" si="8"/>
        <v>303.25058830945653</v>
      </c>
      <c r="N26" s="87">
        <v>11.5</v>
      </c>
      <c r="O26" s="87"/>
      <c r="P26" s="87"/>
      <c r="Q26" s="87"/>
      <c r="R26" s="87"/>
    </row>
    <row r="27" spans="1:18" x14ac:dyDescent="0.25">
      <c r="A27" s="88">
        <f>B26+1.8</f>
        <v>1346.3999999999999</v>
      </c>
      <c r="B27" s="89">
        <v>1344.68</v>
      </c>
      <c r="C27" s="90">
        <f t="shared" si="5"/>
        <v>9.1300000000001091</v>
      </c>
      <c r="D27" s="90">
        <f t="shared" si="1"/>
        <v>8.3800000000001091</v>
      </c>
      <c r="E27" s="90">
        <f>9/12</f>
        <v>0.75</v>
      </c>
      <c r="F27" s="90">
        <f t="shared" si="2"/>
        <v>8.214676889375587E-2</v>
      </c>
      <c r="G27" s="91">
        <v>0.72</v>
      </c>
      <c r="H27" s="90">
        <f t="shared" si="4"/>
        <v>256.4257018103026</v>
      </c>
      <c r="I27" s="92">
        <v>8</v>
      </c>
      <c r="J27" s="93">
        <f t="shared" si="3"/>
        <v>2051.4056144824208</v>
      </c>
      <c r="K27" s="94">
        <f t="shared" si="6"/>
        <v>920670.83977971051</v>
      </c>
      <c r="L27" s="95">
        <f t="shared" si="7"/>
        <v>1325766009.282783</v>
      </c>
      <c r="M27" s="87">
        <f t="shared" si="8"/>
        <v>341.90093574707015</v>
      </c>
      <c r="N27" s="87">
        <v>12.5</v>
      </c>
      <c r="O27" s="87"/>
      <c r="P27" s="87"/>
      <c r="Q27" s="87"/>
      <c r="R27" s="87"/>
    </row>
    <row r="28" spans="1:18" x14ac:dyDescent="0.25">
      <c r="A28" s="97">
        <f>B27+1.8</f>
        <v>1346.48</v>
      </c>
      <c r="B28" s="98">
        <v>1344.77</v>
      </c>
      <c r="C28" s="99">
        <f t="shared" si="5"/>
        <v>9.2200000000000273</v>
      </c>
      <c r="D28" s="99">
        <f t="shared" si="1"/>
        <v>8.3866666666666934</v>
      </c>
      <c r="E28" s="99">
        <f>10/12</f>
        <v>0.83333333333333337</v>
      </c>
      <c r="F28" s="99">
        <f t="shared" si="2"/>
        <v>9.0383224873463217E-2</v>
      </c>
      <c r="G28" s="100">
        <v>0.72</v>
      </c>
      <c r="H28" s="99">
        <f t="shared" si="4"/>
        <v>285.69799765795022</v>
      </c>
      <c r="I28" s="101">
        <v>8</v>
      </c>
      <c r="J28" s="102">
        <f t="shared" si="3"/>
        <v>2285.5839812636018</v>
      </c>
      <c r="K28" s="103">
        <f t="shared" si="6"/>
        <v>1025770.0907911045</v>
      </c>
      <c r="L28" s="104">
        <f t="shared" si="7"/>
        <v>1477108930.7391903</v>
      </c>
      <c r="M28" s="87">
        <f t="shared" si="8"/>
        <v>380.93066354393363</v>
      </c>
      <c r="N28" s="87">
        <v>14.5</v>
      </c>
      <c r="O28" s="87"/>
      <c r="P28" s="87"/>
      <c r="Q28" s="87"/>
      <c r="R28" s="87"/>
    </row>
    <row r="29" spans="1:18" x14ac:dyDescent="0.25">
      <c r="A29" s="88">
        <f>$D$3+10+E29</f>
        <v>1346.55</v>
      </c>
      <c r="B29" s="89">
        <v>1344.85</v>
      </c>
      <c r="C29" s="90">
        <f t="shared" si="5"/>
        <v>9.2999999999999545</v>
      </c>
      <c r="D29" s="90">
        <f t="shared" si="1"/>
        <v>8.2999999999999545</v>
      </c>
      <c r="E29" s="90">
        <v>1</v>
      </c>
      <c r="F29" s="90">
        <f t="shared" si="2"/>
        <v>0.10752688172043064</v>
      </c>
      <c r="G29" s="91">
        <v>0.71199999999999997</v>
      </c>
      <c r="H29" s="90">
        <f t="shared" si="4"/>
        <v>338.95012747374398</v>
      </c>
      <c r="I29" s="92">
        <v>8</v>
      </c>
      <c r="J29" s="93">
        <f t="shared" si="3"/>
        <v>2711.6010197899518</v>
      </c>
      <c r="K29" s="94">
        <f t="shared" si="6"/>
        <v>1216966.5376817305</v>
      </c>
      <c r="L29" s="95">
        <f t="shared" si="7"/>
        <v>1752431814.2616918</v>
      </c>
      <c r="M29" s="105">
        <f t="shared" si="8"/>
        <v>451.93350329832532</v>
      </c>
      <c r="N29" s="105">
        <v>17</v>
      </c>
      <c r="O29" s="87"/>
      <c r="P29" s="87"/>
      <c r="Q29" s="87"/>
      <c r="R29" s="87"/>
    </row>
    <row r="30" spans="1:18" x14ac:dyDescent="0.25">
      <c r="A30" s="97">
        <f t="shared" ref="A30:A49" si="9">$D$3+10+E30</f>
        <v>1346.6333333333332</v>
      </c>
      <c r="B30" s="98">
        <v>1344.93</v>
      </c>
      <c r="C30" s="99">
        <f t="shared" si="5"/>
        <v>9.3800000000001091</v>
      </c>
      <c r="D30" s="99">
        <f t="shared" si="1"/>
        <v>8.2966666666667752</v>
      </c>
      <c r="E30" s="99">
        <f>13/12</f>
        <v>1.0833333333333333</v>
      </c>
      <c r="F30" s="99">
        <f t="shared" si="2"/>
        <v>0.11549395877753951</v>
      </c>
      <c r="G30" s="100">
        <v>0.7</v>
      </c>
      <c r="H30" s="99">
        <f t="shared" si="4"/>
        <v>361.78473958756018</v>
      </c>
      <c r="I30" s="101">
        <v>8</v>
      </c>
      <c r="J30" s="102">
        <f t="shared" si="3"/>
        <v>2894.2779167004815</v>
      </c>
      <c r="K30" s="103">
        <f t="shared" si="6"/>
        <v>1298951.9290151761</v>
      </c>
      <c r="L30" s="104">
        <f t="shared" si="7"/>
        <v>1870490777.7818537</v>
      </c>
      <c r="M30" s="105">
        <f t="shared" si="8"/>
        <v>482.37965278341358</v>
      </c>
      <c r="N30" s="105">
        <v>18</v>
      </c>
      <c r="O30" s="87"/>
      <c r="P30" s="87"/>
      <c r="Q30" s="87"/>
      <c r="R30" s="87"/>
    </row>
    <row r="31" spans="1:18" x14ac:dyDescent="0.25">
      <c r="A31" s="88">
        <f t="shared" si="9"/>
        <v>1346.7166666666667</v>
      </c>
      <c r="B31" s="89">
        <v>1345.1</v>
      </c>
      <c r="C31" s="90">
        <f t="shared" si="5"/>
        <v>9.5499999999999545</v>
      </c>
      <c r="D31" s="90">
        <f t="shared" si="1"/>
        <v>8.3833333333332885</v>
      </c>
      <c r="E31" s="90">
        <f>14/12</f>
        <v>1.1666666666666667</v>
      </c>
      <c r="F31" s="90">
        <f t="shared" si="2"/>
        <v>0.12216404886562014</v>
      </c>
      <c r="G31" s="91">
        <v>0.7</v>
      </c>
      <c r="H31" s="90">
        <f t="shared" si="4"/>
        <v>392.42495653129515</v>
      </c>
      <c r="I31" s="92">
        <v>8</v>
      </c>
      <c r="J31" s="93">
        <f t="shared" si="3"/>
        <v>3139.3996522503612</v>
      </c>
      <c r="K31" s="94">
        <f t="shared" si="6"/>
        <v>1408962.5639299622</v>
      </c>
      <c r="L31" s="95">
        <f t="shared" si="7"/>
        <v>2028906092.0591457</v>
      </c>
      <c r="M31" s="105">
        <f t="shared" si="8"/>
        <v>523.2332753750602</v>
      </c>
      <c r="N31" s="105">
        <v>19.5</v>
      </c>
      <c r="O31" s="87"/>
      <c r="P31" s="87"/>
      <c r="Q31" s="87"/>
      <c r="R31" s="87"/>
    </row>
    <row r="32" spans="1:18" x14ac:dyDescent="0.25">
      <c r="A32" s="97">
        <f t="shared" si="9"/>
        <v>1346.8</v>
      </c>
      <c r="B32" s="98">
        <v>1345.18</v>
      </c>
      <c r="C32" s="99">
        <f t="shared" si="5"/>
        <v>9.6300000000001091</v>
      </c>
      <c r="D32" s="99">
        <f t="shared" si="1"/>
        <v>8.3800000000001091</v>
      </c>
      <c r="E32" s="99">
        <f>15/12</f>
        <v>1.25</v>
      </c>
      <c r="F32" s="99">
        <f t="shared" si="2"/>
        <v>0.12980269989615636</v>
      </c>
      <c r="G32" s="100">
        <v>0.7</v>
      </c>
      <c r="H32" s="99">
        <f t="shared" si="4"/>
        <v>421.34280638327675</v>
      </c>
      <c r="I32" s="101">
        <v>8</v>
      </c>
      <c r="J32" s="102">
        <f t="shared" si="3"/>
        <v>3370.742451066214</v>
      </c>
      <c r="K32" s="103">
        <f t="shared" si="6"/>
        <v>1512789.2120385168</v>
      </c>
      <c r="L32" s="104">
        <f t="shared" si="7"/>
        <v>2178416465.335464</v>
      </c>
      <c r="M32" s="105">
        <f t="shared" si="8"/>
        <v>561.79040851103571</v>
      </c>
      <c r="N32" s="105">
        <v>21</v>
      </c>
      <c r="O32" s="87"/>
      <c r="P32" s="87"/>
      <c r="Q32" s="87"/>
      <c r="R32" s="87">
        <f>1345.55-1343.35</f>
        <v>2.2000000000000455</v>
      </c>
    </row>
    <row r="33" spans="1:18" x14ac:dyDescent="0.25">
      <c r="A33" s="88">
        <f t="shared" si="9"/>
        <v>1346.8833333333332</v>
      </c>
      <c r="B33" s="89">
        <v>1345.27</v>
      </c>
      <c r="C33" s="90">
        <f t="shared" si="5"/>
        <v>9.7200000000000273</v>
      </c>
      <c r="D33" s="90">
        <f t="shared" si="1"/>
        <v>8.3866666666666934</v>
      </c>
      <c r="E33" s="90">
        <f>16/12</f>
        <v>1.3333333333333333</v>
      </c>
      <c r="F33" s="90">
        <f t="shared" si="2"/>
        <v>0.13717421124828494</v>
      </c>
      <c r="G33" s="91">
        <v>0.7</v>
      </c>
      <c r="H33" s="90">
        <f t="shared" si="4"/>
        <v>450.62546137812421</v>
      </c>
      <c r="I33" s="92">
        <v>8</v>
      </c>
      <c r="J33" s="93">
        <f t="shared" si="3"/>
        <v>3605.0036910249937</v>
      </c>
      <c r="K33" s="94">
        <f t="shared" si="6"/>
        <v>1617925.6565320173</v>
      </c>
      <c r="L33" s="95">
        <f t="shared" si="7"/>
        <v>2329812945.406105</v>
      </c>
      <c r="M33" s="105">
        <f t="shared" si="8"/>
        <v>600.83394850416562</v>
      </c>
      <c r="N33" s="105">
        <v>23</v>
      </c>
      <c r="O33" s="87"/>
      <c r="P33" s="87"/>
      <c r="Q33" s="87"/>
      <c r="R33" s="96">
        <f>A29-B29</f>
        <v>1.7000000000000455</v>
      </c>
    </row>
    <row r="34" spans="1:18" x14ac:dyDescent="0.25">
      <c r="A34" s="97">
        <f t="shared" si="9"/>
        <v>1346.9666666666667</v>
      </c>
      <c r="B34" s="98">
        <v>1345.35</v>
      </c>
      <c r="C34" s="99">
        <f t="shared" si="5"/>
        <v>9.7999999999999545</v>
      </c>
      <c r="D34" s="99">
        <f t="shared" si="1"/>
        <v>8.3833333333332885</v>
      </c>
      <c r="E34" s="99">
        <f>17/12</f>
        <v>1.4166666666666667</v>
      </c>
      <c r="F34" s="99">
        <f t="shared" si="2"/>
        <v>0.14455782312925239</v>
      </c>
      <c r="G34" s="100">
        <v>0.7</v>
      </c>
      <c r="H34" s="99">
        <f t="shared" si="4"/>
        <v>479.78914441800055</v>
      </c>
      <c r="I34" s="101">
        <v>8</v>
      </c>
      <c r="J34" s="102">
        <f t="shared" si="3"/>
        <v>3838.3131553440044</v>
      </c>
      <c r="K34" s="103">
        <f t="shared" si="6"/>
        <v>1722634.9441183894</v>
      </c>
      <c r="L34" s="104">
        <f t="shared" si="7"/>
        <v>2480594319.5304809</v>
      </c>
      <c r="M34" s="105">
        <f t="shared" si="8"/>
        <v>639.71885922400077</v>
      </c>
      <c r="N34" s="105">
        <v>23</v>
      </c>
      <c r="O34" s="87"/>
      <c r="P34" s="87"/>
      <c r="Q34" s="87"/>
      <c r="R34" s="87"/>
    </row>
    <row r="35" spans="1:18" x14ac:dyDescent="0.25">
      <c r="A35" s="88">
        <f t="shared" si="9"/>
        <v>1347.05</v>
      </c>
      <c r="B35" s="89">
        <v>1345.43</v>
      </c>
      <c r="C35" s="90">
        <f t="shared" si="5"/>
        <v>9.8800000000001091</v>
      </c>
      <c r="D35" s="90">
        <f t="shared" si="1"/>
        <v>8.3800000000001091</v>
      </c>
      <c r="E35" s="90">
        <f>18/12</f>
        <v>1.5</v>
      </c>
      <c r="F35" s="90">
        <f t="shared" si="2"/>
        <v>0.15182186234817646</v>
      </c>
      <c r="G35" s="91">
        <v>0.7</v>
      </c>
      <c r="H35" s="90">
        <f t="shared" si="4"/>
        <v>509.06745625937339</v>
      </c>
      <c r="I35" s="92">
        <v>8</v>
      </c>
      <c r="J35" s="93">
        <f t="shared" si="3"/>
        <v>4072.5396500749871</v>
      </c>
      <c r="K35" s="94">
        <f t="shared" si="6"/>
        <v>1827755.7949536543</v>
      </c>
      <c r="L35" s="95">
        <f t="shared" si="7"/>
        <v>2631968344.7332621</v>
      </c>
      <c r="M35" s="105">
        <f t="shared" si="8"/>
        <v>678.75660834583118</v>
      </c>
      <c r="N35" s="105">
        <v>24</v>
      </c>
      <c r="O35" s="87"/>
      <c r="P35" s="87"/>
      <c r="Q35" s="87"/>
      <c r="R35" s="87"/>
    </row>
    <row r="36" spans="1:18" x14ac:dyDescent="0.25">
      <c r="A36" s="97">
        <f t="shared" si="9"/>
        <v>1347.1333333333332</v>
      </c>
      <c r="B36" s="98">
        <v>1345.52</v>
      </c>
      <c r="C36" s="99">
        <f t="shared" si="5"/>
        <v>9.9700000000000273</v>
      </c>
      <c r="D36" s="99">
        <f t="shared" si="1"/>
        <v>8.3866666666666934</v>
      </c>
      <c r="E36" s="99">
        <f>19/12</f>
        <v>1.5833333333333333</v>
      </c>
      <c r="F36" s="99">
        <f t="shared" si="2"/>
        <v>0.15880976262119648</v>
      </c>
      <c r="G36" s="100">
        <v>0.7</v>
      </c>
      <c r="H36" s="99">
        <f t="shared" si="4"/>
        <v>538.75386859505829</v>
      </c>
      <c r="I36" s="101">
        <v>8</v>
      </c>
      <c r="J36" s="102">
        <f t="shared" si="3"/>
        <v>4310.0309487604663</v>
      </c>
      <c r="K36" s="103">
        <f t="shared" si="6"/>
        <v>1934341.8898036974</v>
      </c>
      <c r="L36" s="104">
        <f t="shared" si="7"/>
        <v>2785452321.3173242</v>
      </c>
      <c r="M36" s="105">
        <f t="shared" si="8"/>
        <v>718.33849146007776</v>
      </c>
      <c r="N36" s="105">
        <v>25</v>
      </c>
      <c r="O36" s="87"/>
      <c r="P36" s="87"/>
      <c r="Q36" s="87"/>
      <c r="R36" s="87"/>
    </row>
    <row r="37" spans="1:18" x14ac:dyDescent="0.25">
      <c r="A37" s="88">
        <f t="shared" si="9"/>
        <v>1347.2166666666667</v>
      </c>
      <c r="B37" s="89">
        <v>1345.6</v>
      </c>
      <c r="C37" s="90">
        <f t="shared" si="5"/>
        <v>10.049999999999955</v>
      </c>
      <c r="D37" s="90">
        <f t="shared" si="1"/>
        <v>8.3833333333332885</v>
      </c>
      <c r="E37" s="90">
        <f>20/12</f>
        <v>1.6666666666666667</v>
      </c>
      <c r="F37" s="90">
        <f t="shared" si="2"/>
        <v>0.16583747927031584</v>
      </c>
      <c r="G37" s="91">
        <v>0.7</v>
      </c>
      <c r="H37" s="90">
        <f t="shared" si="4"/>
        <v>568.27490033203446</v>
      </c>
      <c r="I37" s="92">
        <v>8</v>
      </c>
      <c r="J37" s="93">
        <f t="shared" si="3"/>
        <v>4546.1992026562757</v>
      </c>
      <c r="K37" s="94">
        <f t="shared" si="6"/>
        <v>2040334.2021521365</v>
      </c>
      <c r="L37" s="95">
        <f t="shared" si="7"/>
        <v>2938081251.0990767</v>
      </c>
      <c r="M37" s="105">
        <f t="shared" si="8"/>
        <v>757.69986710937928</v>
      </c>
      <c r="N37" s="105">
        <v>27</v>
      </c>
      <c r="O37" s="87"/>
      <c r="P37" s="87"/>
      <c r="Q37" s="87"/>
      <c r="R37" s="87"/>
    </row>
    <row r="38" spans="1:18" x14ac:dyDescent="0.25">
      <c r="A38" s="97">
        <f t="shared" si="9"/>
        <v>1347.2166666666667</v>
      </c>
      <c r="B38" s="98">
        <v>1345.68</v>
      </c>
      <c r="C38" s="99">
        <f t="shared" si="5"/>
        <v>10.130000000000109</v>
      </c>
      <c r="D38" s="99">
        <f t="shared" si="1"/>
        <v>8.4633333333334431</v>
      </c>
      <c r="E38" s="99">
        <f>20/12</f>
        <v>1.6666666666666667</v>
      </c>
      <c r="F38" s="99">
        <f t="shared" si="2"/>
        <v>0.16452780519907687</v>
      </c>
      <c r="G38" s="100">
        <v>0.69599999999999995</v>
      </c>
      <c r="H38" s="99">
        <f t="shared" si="4"/>
        <v>567.47784000753711</v>
      </c>
      <c r="I38" s="101">
        <v>8</v>
      </c>
      <c r="J38" s="102">
        <f t="shared" si="3"/>
        <v>4539.8227200602969</v>
      </c>
      <c r="K38" s="103">
        <f t="shared" si="6"/>
        <v>2037472.4367630617</v>
      </c>
      <c r="L38" s="104">
        <f t="shared" si="7"/>
        <v>2933960308.9388089</v>
      </c>
      <c r="M38" s="105">
        <f t="shared" si="8"/>
        <v>756.63712001004944</v>
      </c>
      <c r="N38" s="105">
        <v>28</v>
      </c>
      <c r="O38" s="87"/>
      <c r="P38" s="87"/>
      <c r="Q38" s="87"/>
      <c r="R38" s="87"/>
    </row>
    <row r="39" spans="1:18" x14ac:dyDescent="0.25">
      <c r="A39" s="88">
        <f t="shared" si="9"/>
        <v>1347.4666666666667</v>
      </c>
      <c r="B39" s="89">
        <v>1345.77</v>
      </c>
      <c r="C39" s="90">
        <f t="shared" si="5"/>
        <v>10.220000000000027</v>
      </c>
      <c r="D39" s="90">
        <f t="shared" si="1"/>
        <v>8.3033333333333612</v>
      </c>
      <c r="E39" s="90">
        <f>23/12</f>
        <v>1.9166666666666667</v>
      </c>
      <c r="F39" s="90">
        <f t="shared" si="2"/>
        <v>0.18754076973255007</v>
      </c>
      <c r="G39" s="91">
        <v>0.69599999999999995</v>
      </c>
      <c r="H39" s="90">
        <f t="shared" si="4"/>
        <v>651.29711488785006</v>
      </c>
      <c r="I39" s="92">
        <v>8</v>
      </c>
      <c r="J39" s="93">
        <f t="shared" si="3"/>
        <v>5210.3769191028005</v>
      </c>
      <c r="K39" s="94">
        <f t="shared" si="6"/>
        <v>2338417.1612933371</v>
      </c>
      <c r="L39" s="95">
        <f t="shared" si="7"/>
        <v>3367320712.2624054</v>
      </c>
      <c r="M39" s="105">
        <f t="shared" si="8"/>
        <v>868.39615318380004</v>
      </c>
      <c r="N39" s="105">
        <v>29</v>
      </c>
      <c r="O39" s="87"/>
      <c r="P39" s="87"/>
      <c r="Q39" s="87"/>
      <c r="R39" s="87"/>
    </row>
    <row r="40" spans="1:18" x14ac:dyDescent="0.25">
      <c r="A40" s="97">
        <f t="shared" si="9"/>
        <v>1347.55</v>
      </c>
      <c r="B40" s="98">
        <v>1345.85</v>
      </c>
      <c r="C40" s="99">
        <f t="shared" si="5"/>
        <v>10.299999999999955</v>
      </c>
      <c r="D40" s="99">
        <f t="shared" si="1"/>
        <v>8.2999999999999545</v>
      </c>
      <c r="E40" s="99">
        <f>24/12</f>
        <v>2</v>
      </c>
      <c r="F40" s="99">
        <f t="shared" si="2"/>
        <v>0.19417475728155426</v>
      </c>
      <c r="G40" s="100">
        <f>0.695</f>
        <v>0.69499999999999995</v>
      </c>
      <c r="H40" s="99">
        <f t="shared" si="4"/>
        <v>680.01653941944392</v>
      </c>
      <c r="I40" s="101">
        <v>8</v>
      </c>
      <c r="J40" s="102">
        <f t="shared" si="3"/>
        <v>5440.1323153555513</v>
      </c>
      <c r="K40" s="103">
        <f t="shared" si="6"/>
        <v>2441531.3831315716</v>
      </c>
      <c r="L40" s="104">
        <f t="shared" si="7"/>
        <v>3515805191.7094631</v>
      </c>
      <c r="M40" s="105">
        <f t="shared" si="8"/>
        <v>906.68871922592518</v>
      </c>
      <c r="N40" s="105">
        <v>32</v>
      </c>
      <c r="O40" s="87"/>
      <c r="P40" s="87"/>
      <c r="Q40" s="87"/>
      <c r="R40" s="87"/>
    </row>
    <row r="41" spans="1:18" x14ac:dyDescent="0.25">
      <c r="A41" s="88">
        <f t="shared" si="9"/>
        <v>1347.6333333333332</v>
      </c>
      <c r="B41" s="89">
        <v>1345.93</v>
      </c>
      <c r="C41" s="90">
        <f t="shared" si="5"/>
        <v>10.380000000000109</v>
      </c>
      <c r="D41" s="90">
        <f>C41-E41</f>
        <v>8.2966666666667752</v>
      </c>
      <c r="E41" s="90">
        <f>25/12</f>
        <v>2.0833333333333335</v>
      </c>
      <c r="F41" s="90">
        <f>E40/C40</f>
        <v>0.19417475728155426</v>
      </c>
      <c r="G41" s="91">
        <f>0.695</f>
        <v>0.69499999999999995</v>
      </c>
      <c r="H41" s="90">
        <f t="shared" si="4"/>
        <v>709.78274257447106</v>
      </c>
      <c r="I41" s="92">
        <v>8</v>
      </c>
      <c r="J41" s="93">
        <f t="shared" si="3"/>
        <v>5678.2619405957685</v>
      </c>
      <c r="K41" s="94">
        <f t="shared" si="6"/>
        <v>2548403.9589393809</v>
      </c>
      <c r="L41" s="95">
        <f t="shared" si="7"/>
        <v>3669701700.8727083</v>
      </c>
      <c r="M41" s="105">
        <f t="shared" si="8"/>
        <v>946.37699009929474</v>
      </c>
      <c r="N41" s="105">
        <v>33</v>
      </c>
      <c r="O41" s="87"/>
      <c r="P41" s="87"/>
      <c r="Q41" s="87"/>
      <c r="R41" s="87"/>
    </row>
    <row r="42" spans="1:18" x14ac:dyDescent="0.25">
      <c r="A42" s="97">
        <f t="shared" si="9"/>
        <v>1347.7166666666667</v>
      </c>
      <c r="B42" s="98">
        <v>1346.02</v>
      </c>
      <c r="C42" s="99">
        <f t="shared" si="5"/>
        <v>10.470000000000027</v>
      </c>
      <c r="D42" s="99">
        <f t="shared" ref="D42:D49" si="10">C42-E42</f>
        <v>8.3033333333333612</v>
      </c>
      <c r="E42" s="99">
        <f>26/12</f>
        <v>2.1666666666666665</v>
      </c>
      <c r="F42" s="99">
        <f t="shared" ref="F42:F49" si="11">E41/C41</f>
        <v>0.20070648683365236</v>
      </c>
      <c r="G42" s="100">
        <v>0.69399999999999995</v>
      </c>
      <c r="H42" s="99">
        <f t="shared" si="4"/>
        <v>738.9898875242659</v>
      </c>
      <c r="I42" s="101">
        <v>8</v>
      </c>
      <c r="J42" s="102">
        <f t="shared" si="3"/>
        <v>5911.9191001941272</v>
      </c>
      <c r="K42" s="103">
        <f t="shared" si="6"/>
        <v>2653269.2921671243</v>
      </c>
      <c r="L42" s="104">
        <f t="shared" si="7"/>
        <v>3820707780.7206593</v>
      </c>
      <c r="M42" s="105">
        <f t="shared" si="8"/>
        <v>985.31985003235457</v>
      </c>
      <c r="N42" s="105">
        <v>34</v>
      </c>
      <c r="O42" s="87"/>
      <c r="P42" s="87"/>
      <c r="Q42" s="87"/>
      <c r="R42" s="87"/>
    </row>
    <row r="43" spans="1:18" x14ac:dyDescent="0.25">
      <c r="A43" s="88">
        <f t="shared" si="9"/>
        <v>1347.8</v>
      </c>
      <c r="B43" s="89">
        <v>1346.1</v>
      </c>
      <c r="C43" s="90">
        <f t="shared" si="5"/>
        <v>10.549999999999955</v>
      </c>
      <c r="D43" s="90">
        <f t="shared" si="10"/>
        <v>8.2999999999999545</v>
      </c>
      <c r="E43" s="90">
        <f>27/12</f>
        <v>2.25</v>
      </c>
      <c r="F43" s="90">
        <f t="shared" si="11"/>
        <v>0.20694046482012043</v>
      </c>
      <c r="G43" s="91">
        <v>0.69399999999999995</v>
      </c>
      <c r="H43" s="90">
        <f t="shared" si="4"/>
        <v>768.94806542768379</v>
      </c>
      <c r="I43" s="92">
        <v>8</v>
      </c>
      <c r="J43" s="93">
        <f t="shared" si="3"/>
        <v>6151.5845234214703</v>
      </c>
      <c r="K43" s="94">
        <f t="shared" si="6"/>
        <v>2760831.1341115562</v>
      </c>
      <c r="L43" s="95">
        <f t="shared" si="7"/>
        <v>3975596833.1206408</v>
      </c>
      <c r="M43" s="105">
        <f t="shared" si="8"/>
        <v>1025.2640872369118</v>
      </c>
      <c r="N43" s="105">
        <v>35</v>
      </c>
      <c r="O43" s="87"/>
      <c r="P43" s="87"/>
      <c r="Q43" s="87"/>
      <c r="R43" s="87"/>
    </row>
    <row r="44" spans="1:18" x14ac:dyDescent="0.25">
      <c r="A44" s="97">
        <f t="shared" si="9"/>
        <v>1347.8833333333332</v>
      </c>
      <c r="B44" s="98">
        <v>1346.18</v>
      </c>
      <c r="C44" s="99">
        <f t="shared" si="5"/>
        <v>10.630000000000109</v>
      </c>
      <c r="D44" s="99">
        <f t="shared" si="10"/>
        <v>8.2966666666667752</v>
      </c>
      <c r="E44" s="99">
        <f>28/12</f>
        <v>2.3333333333333335</v>
      </c>
      <c r="F44" s="99">
        <f t="shared" si="11"/>
        <v>0.21327014218009571</v>
      </c>
      <c r="G44" s="100">
        <v>0.69399999999999995</v>
      </c>
      <c r="H44" s="99">
        <f t="shared" si="4"/>
        <v>799.01576670661382</v>
      </c>
      <c r="I44" s="101">
        <v>8</v>
      </c>
      <c r="J44" s="102">
        <f t="shared" si="3"/>
        <v>6392.1261336529105</v>
      </c>
      <c r="K44" s="103">
        <f t="shared" si="6"/>
        <v>2868786.2087834263</v>
      </c>
      <c r="L44" s="104">
        <f t="shared" si="7"/>
        <v>4131052140.6481338</v>
      </c>
      <c r="M44" s="105">
        <f t="shared" si="8"/>
        <v>1065.3543556088184</v>
      </c>
      <c r="N44" s="105">
        <v>37</v>
      </c>
      <c r="O44" s="87"/>
      <c r="P44" s="87"/>
      <c r="Q44" s="87"/>
      <c r="R44" s="87"/>
    </row>
    <row r="45" spans="1:18" x14ac:dyDescent="0.25">
      <c r="A45" s="88">
        <f t="shared" si="9"/>
        <v>1347.9666666666667</v>
      </c>
      <c r="B45" s="89">
        <v>1346.27</v>
      </c>
      <c r="C45" s="90">
        <f t="shared" si="5"/>
        <v>10.720000000000027</v>
      </c>
      <c r="D45" s="90">
        <f t="shared" si="10"/>
        <v>8.3033333333333612</v>
      </c>
      <c r="E45" s="90">
        <f>29/12</f>
        <v>2.4166666666666665</v>
      </c>
      <c r="F45" s="90">
        <f t="shared" si="11"/>
        <v>0.21950454687989743</v>
      </c>
      <c r="G45" s="91">
        <v>0.69299999999999995</v>
      </c>
      <c r="H45" s="90">
        <f t="shared" si="4"/>
        <v>828.4345540440014</v>
      </c>
      <c r="I45" s="92">
        <v>8</v>
      </c>
      <c r="J45" s="93">
        <f t="shared" si="3"/>
        <v>6627.4764323520112</v>
      </c>
      <c r="K45" s="94">
        <f t="shared" si="6"/>
        <v>2974411.4228395829</v>
      </c>
      <c r="L45" s="95">
        <f t="shared" si="7"/>
        <v>4283152448.8889995</v>
      </c>
      <c r="M45" s="105">
        <f t="shared" si="8"/>
        <v>1104.5794053920019</v>
      </c>
      <c r="N45" s="105">
        <v>40</v>
      </c>
      <c r="O45" s="87"/>
      <c r="P45" s="87"/>
      <c r="Q45" s="87"/>
      <c r="R45" s="87"/>
    </row>
    <row r="46" spans="1:18" x14ac:dyDescent="0.25">
      <c r="A46" s="97">
        <f t="shared" si="9"/>
        <v>1348.05</v>
      </c>
      <c r="B46" s="98">
        <v>1346.35</v>
      </c>
      <c r="C46" s="99">
        <f t="shared" si="5"/>
        <v>10.799999999999955</v>
      </c>
      <c r="D46" s="99">
        <f t="shared" si="10"/>
        <v>8.2999999999999545</v>
      </c>
      <c r="E46" s="99">
        <f>30/12</f>
        <v>2.5</v>
      </c>
      <c r="F46" s="99">
        <f t="shared" si="11"/>
        <v>0.225435323383084</v>
      </c>
      <c r="G46" s="100">
        <v>0.69299999999999995</v>
      </c>
      <c r="H46" s="99">
        <f t="shared" si="4"/>
        <v>858.69063624338924</v>
      </c>
      <c r="I46" s="101">
        <v>8</v>
      </c>
      <c r="J46" s="102">
        <f t="shared" si="3"/>
        <v>6869.5250899471139</v>
      </c>
      <c r="K46" s="103">
        <f t="shared" si="6"/>
        <v>3083042.8603682648</v>
      </c>
      <c r="L46" s="104">
        <f t="shared" si="7"/>
        <v>4439581718.9303017</v>
      </c>
      <c r="M46" s="105">
        <f t="shared" si="8"/>
        <v>1144.9208483245191</v>
      </c>
      <c r="N46" s="105">
        <v>41</v>
      </c>
      <c r="O46" s="87"/>
      <c r="P46" s="87"/>
      <c r="Q46" s="87"/>
      <c r="R46" s="87"/>
    </row>
    <row r="47" spans="1:18" x14ac:dyDescent="0.25">
      <c r="A47" s="88">
        <f t="shared" si="9"/>
        <v>1348.1333333333332</v>
      </c>
      <c r="B47" s="89">
        <v>1346.43</v>
      </c>
      <c r="C47" s="90">
        <f t="shared" si="5"/>
        <v>10.880000000000109</v>
      </c>
      <c r="D47" s="90">
        <f t="shared" si="10"/>
        <v>8.2966666666667752</v>
      </c>
      <c r="E47" s="90">
        <f>31/12</f>
        <v>2.5833333333333335</v>
      </c>
      <c r="F47" s="90">
        <f t="shared" si="11"/>
        <v>0.23148148148148245</v>
      </c>
      <c r="G47" s="91">
        <v>0.69299999999999995</v>
      </c>
      <c r="H47" s="90">
        <f t="shared" si="4"/>
        <v>889.05480827243821</v>
      </c>
      <c r="I47" s="92">
        <v>8</v>
      </c>
      <c r="J47" s="93">
        <f t="shared" si="3"/>
        <v>7112.4384661795057</v>
      </c>
      <c r="K47" s="94">
        <f t="shared" si="6"/>
        <v>3192062.383621362</v>
      </c>
      <c r="L47" s="95">
        <f t="shared" si="7"/>
        <v>4596569832.4147615</v>
      </c>
      <c r="M47" s="105">
        <f t="shared" si="8"/>
        <v>1185.4064110299175</v>
      </c>
      <c r="N47" s="105">
        <v>41</v>
      </c>
      <c r="O47" s="87"/>
      <c r="P47" s="87"/>
      <c r="Q47" s="87"/>
      <c r="R47" s="87"/>
    </row>
    <row r="48" spans="1:18" x14ac:dyDescent="0.25">
      <c r="A48" s="97">
        <f t="shared" si="9"/>
        <v>1348.2166666666667</v>
      </c>
      <c r="B48" s="98">
        <v>1346.52</v>
      </c>
      <c r="C48" s="99">
        <f t="shared" si="5"/>
        <v>10.970000000000027</v>
      </c>
      <c r="D48" s="99">
        <f t="shared" si="10"/>
        <v>8.3033333333333612</v>
      </c>
      <c r="E48" s="99">
        <f>32/12</f>
        <v>2.6666666666666665</v>
      </c>
      <c r="F48" s="99">
        <f t="shared" si="11"/>
        <v>0.23743872549019371</v>
      </c>
      <c r="G48" s="100">
        <v>0.69199999999999995</v>
      </c>
      <c r="H48" s="99">
        <f t="shared" si="4"/>
        <v>918.67810888584256</v>
      </c>
      <c r="I48" s="101">
        <v>8</v>
      </c>
      <c r="J48" s="102">
        <f t="shared" si="3"/>
        <v>7349.4248710867405</v>
      </c>
      <c r="K48" s="103">
        <f t="shared" si="6"/>
        <v>3298421.8821437294</v>
      </c>
      <c r="L48" s="104">
        <f t="shared" si="7"/>
        <v>4749727510.2869701</v>
      </c>
      <c r="M48" s="105">
        <f t="shared" si="8"/>
        <v>1224.9041451811233</v>
      </c>
      <c r="N48" s="105">
        <v>42</v>
      </c>
      <c r="O48" s="87"/>
      <c r="P48" s="87"/>
      <c r="Q48" s="87"/>
      <c r="R48" s="87"/>
    </row>
    <row r="49" spans="1:18" x14ac:dyDescent="0.25">
      <c r="A49" s="88">
        <f t="shared" si="9"/>
        <v>1348.3</v>
      </c>
      <c r="B49" s="89">
        <v>1346.6</v>
      </c>
      <c r="C49" s="90">
        <f t="shared" si="5"/>
        <v>11.049999999999955</v>
      </c>
      <c r="D49" s="90">
        <f t="shared" si="10"/>
        <v>8.2999999999999545</v>
      </c>
      <c r="E49" s="90">
        <f>33/12</f>
        <v>2.75</v>
      </c>
      <c r="F49" s="90">
        <f t="shared" si="11"/>
        <v>0.24308720753570282</v>
      </c>
      <c r="G49" s="91">
        <f>0.692</f>
        <v>0.69199999999999995</v>
      </c>
      <c r="H49" s="90">
        <f t="shared" si="4"/>
        <v>949.22717692676395</v>
      </c>
      <c r="I49" s="92">
        <v>8</v>
      </c>
      <c r="J49" s="93">
        <f t="shared" si="3"/>
        <v>7593.8174154141116</v>
      </c>
      <c r="K49" s="94">
        <f t="shared" si="6"/>
        <v>3408105.2560378532</v>
      </c>
      <c r="L49" s="95">
        <f t="shared" si="7"/>
        <v>4907671568.6945086</v>
      </c>
      <c r="M49" s="105">
        <f t="shared" si="8"/>
        <v>1265.6362359023519</v>
      </c>
      <c r="N49" s="105">
        <v>44</v>
      </c>
      <c r="O49" s="87"/>
      <c r="P49" s="87"/>
      <c r="Q49" s="87"/>
      <c r="R49" s="87"/>
    </row>
    <row r="50" spans="1:18" x14ac:dyDescent="0.25">
      <c r="A50" s="97">
        <f>$D$3+10+E50</f>
        <v>1348.3833333333332</v>
      </c>
      <c r="B50" s="98">
        <v>1346.68</v>
      </c>
      <c r="C50" s="99">
        <f t="shared" si="5"/>
        <v>11.130000000000109</v>
      </c>
      <c r="D50" s="99">
        <f>C50-E50</f>
        <v>8.2966666666667752</v>
      </c>
      <c r="E50" s="99">
        <f>34/12</f>
        <v>2.8333333333333335</v>
      </c>
      <c r="F50" s="99">
        <f>E50/C50</f>
        <v>0.25456723569930867</v>
      </c>
      <c r="G50" s="100">
        <v>0.69199999999999995</v>
      </c>
      <c r="H50" s="99">
        <f t="shared" si="4"/>
        <v>979.88294841410277</v>
      </c>
      <c r="I50" s="101">
        <v>8</v>
      </c>
      <c r="J50" s="102">
        <f t="shared" si="3"/>
        <v>7839.0635873128222</v>
      </c>
      <c r="K50" s="103">
        <f t="shared" si="6"/>
        <v>3518171.7379859951</v>
      </c>
      <c r="L50" s="104">
        <f t="shared" si="7"/>
        <v>5066167302.6998329</v>
      </c>
      <c r="M50" s="87">
        <f t="shared" si="8"/>
        <v>1306.5105978854704</v>
      </c>
      <c r="N50" s="105">
        <v>44</v>
      </c>
      <c r="O50" s="87"/>
      <c r="P50" s="87"/>
      <c r="Q50" s="87"/>
      <c r="R50" s="87"/>
    </row>
    <row r="51" spans="1:18" x14ac:dyDescent="0.25">
      <c r="A51" s="88">
        <f t="shared" ref="A51:A58" si="12">$D$3+10+E51</f>
        <v>1348.4666666666667</v>
      </c>
      <c r="B51" s="89">
        <v>1346.77</v>
      </c>
      <c r="C51" s="90">
        <f t="shared" si="5"/>
        <v>11.220000000000027</v>
      </c>
      <c r="D51" s="90">
        <f t="shared" ref="D51:D72" si="13">C51-E51</f>
        <v>8.3033333333333612</v>
      </c>
      <c r="E51" s="90">
        <f>35/12</f>
        <v>2.9166666666666665</v>
      </c>
      <c r="F51" s="90">
        <f t="shared" ref="F51:F72" si="14">E51/C51</f>
        <v>0.25995246583481812</v>
      </c>
      <c r="G51" s="91">
        <v>0.69199999999999995</v>
      </c>
      <c r="H51" s="90">
        <f t="shared" si="4"/>
        <v>1011.1650442200958</v>
      </c>
      <c r="I51" s="92">
        <v>8</v>
      </c>
      <c r="J51" s="93">
        <f t="shared" si="3"/>
        <v>8089.320353760766</v>
      </c>
      <c r="K51" s="94">
        <f t="shared" si="6"/>
        <v>3630486.9747678321</v>
      </c>
      <c r="L51" s="95">
        <f t="shared" si="7"/>
        <v>5227901243.665678</v>
      </c>
      <c r="M51" s="105">
        <f t="shared" si="8"/>
        <v>1348.2200589601277</v>
      </c>
      <c r="N51" s="105">
        <v>45</v>
      </c>
      <c r="O51" s="87"/>
      <c r="P51" s="87"/>
      <c r="Q51" s="87"/>
      <c r="R51" s="87"/>
    </row>
    <row r="52" spans="1:18" x14ac:dyDescent="0.25">
      <c r="A52" s="97">
        <f t="shared" si="12"/>
        <v>1348.55</v>
      </c>
      <c r="B52" s="98">
        <v>1346.85</v>
      </c>
      <c r="C52" s="99">
        <f t="shared" si="5"/>
        <v>11.299999999999955</v>
      </c>
      <c r="D52" s="99">
        <f t="shared" si="13"/>
        <v>8.2999999999999545</v>
      </c>
      <c r="E52" s="99">
        <v>3</v>
      </c>
      <c r="F52" s="99">
        <f t="shared" si="14"/>
        <v>0.26548672566371789</v>
      </c>
      <c r="G52" s="100">
        <v>0.69</v>
      </c>
      <c r="H52" s="99">
        <f t="shared" si="4"/>
        <v>1039.0352604079635</v>
      </c>
      <c r="I52" s="101">
        <v>8</v>
      </c>
      <c r="J52" s="102">
        <f t="shared" si="3"/>
        <v>8312.282083263708</v>
      </c>
      <c r="K52" s="103">
        <f t="shared" si="6"/>
        <v>3730552.1989687523</v>
      </c>
      <c r="L52" s="104">
        <f t="shared" si="7"/>
        <v>5371995166.5150032</v>
      </c>
      <c r="M52" s="105">
        <f t="shared" si="8"/>
        <v>1385.3803472106181</v>
      </c>
      <c r="N52" s="105">
        <v>47</v>
      </c>
      <c r="O52" s="87"/>
      <c r="P52" s="87"/>
      <c r="Q52" s="87"/>
      <c r="R52" s="87"/>
    </row>
    <row r="53" spans="1:18" x14ac:dyDescent="0.25">
      <c r="A53" s="88">
        <f t="shared" si="12"/>
        <v>1348.6333333333332</v>
      </c>
      <c r="B53" s="89">
        <v>1346.93</v>
      </c>
      <c r="C53" s="90">
        <f t="shared" si="5"/>
        <v>11.380000000000109</v>
      </c>
      <c r="D53" s="90">
        <f t="shared" si="13"/>
        <v>8.2966666666667752</v>
      </c>
      <c r="E53" s="90">
        <f>37/12</f>
        <v>3.0833333333333335</v>
      </c>
      <c r="F53" s="90">
        <f t="shared" si="14"/>
        <v>0.27094317516109878</v>
      </c>
      <c r="G53" s="91">
        <v>0.69</v>
      </c>
      <c r="H53" s="90">
        <f t="shared" si="4"/>
        <v>1069.9331280653855</v>
      </c>
      <c r="I53" s="92">
        <v>8</v>
      </c>
      <c r="J53" s="93">
        <f t="shared" si="3"/>
        <v>8559.4650245230841</v>
      </c>
      <c r="K53" s="94">
        <f t="shared" si="6"/>
        <v>3841487.9030059604</v>
      </c>
      <c r="L53" s="95">
        <f t="shared" si="7"/>
        <v>5531742580.3285828</v>
      </c>
      <c r="M53" s="105">
        <f t="shared" si="8"/>
        <v>1426.5775040871806</v>
      </c>
      <c r="N53" s="105">
        <v>49</v>
      </c>
      <c r="O53" s="87"/>
      <c r="P53" s="87"/>
      <c r="Q53" s="87"/>
      <c r="R53" s="87"/>
    </row>
    <row r="54" spans="1:18" x14ac:dyDescent="0.25">
      <c r="A54" s="97">
        <f t="shared" si="12"/>
        <v>1348.7166666666667</v>
      </c>
      <c r="B54" s="98">
        <v>1347.02</v>
      </c>
      <c r="C54" s="99">
        <f t="shared" si="5"/>
        <v>11.470000000000027</v>
      </c>
      <c r="D54" s="99">
        <f t="shared" si="13"/>
        <v>8.3033333333333612</v>
      </c>
      <c r="E54" s="99">
        <f>38/12</f>
        <v>3.1666666666666665</v>
      </c>
      <c r="F54" s="99">
        <f t="shared" si="14"/>
        <v>0.27608253414704959</v>
      </c>
      <c r="G54" s="100">
        <v>0.68799999999999994</v>
      </c>
      <c r="H54" s="99">
        <f t="shared" si="4"/>
        <v>1098.302704694044</v>
      </c>
      <c r="I54" s="101">
        <v>8</v>
      </c>
      <c r="J54" s="102">
        <f t="shared" si="3"/>
        <v>8786.421637552352</v>
      </c>
      <c r="K54" s="103">
        <f t="shared" si="6"/>
        <v>3943346.0309334956</v>
      </c>
      <c r="L54" s="104">
        <f t="shared" si="7"/>
        <v>5678418284.5442333</v>
      </c>
      <c r="M54" s="105">
        <f t="shared" si="8"/>
        <v>1464.4036062587254</v>
      </c>
      <c r="N54" s="105">
        <v>51</v>
      </c>
      <c r="O54" s="87"/>
      <c r="P54" s="87"/>
      <c r="Q54" s="87"/>
      <c r="R54" s="87"/>
    </row>
    <row r="55" spans="1:18" x14ac:dyDescent="0.25">
      <c r="A55" s="88">
        <f t="shared" si="12"/>
        <v>1348.8</v>
      </c>
      <c r="B55" s="89">
        <v>1347.1</v>
      </c>
      <c r="C55" s="90">
        <f t="shared" si="5"/>
        <v>11.549999999999955</v>
      </c>
      <c r="D55" s="90">
        <f t="shared" si="13"/>
        <v>8.2999999999999545</v>
      </c>
      <c r="E55" s="90">
        <f>39/12</f>
        <v>3.25</v>
      </c>
      <c r="F55" s="90">
        <f t="shared" si="14"/>
        <v>0.28138528138528252</v>
      </c>
      <c r="G55" s="91">
        <v>0.68799999999999994</v>
      </c>
      <c r="H55" s="90">
        <f t="shared" si="4"/>
        <v>1129.3333760100475</v>
      </c>
      <c r="I55" s="92">
        <v>8</v>
      </c>
      <c r="J55" s="93">
        <f t="shared" si="3"/>
        <v>9034.6670080803797</v>
      </c>
      <c r="K55" s="94">
        <f t="shared" si="6"/>
        <v>4054758.5532264742</v>
      </c>
      <c r="L55" s="95">
        <f t="shared" si="7"/>
        <v>5838852316.6461229</v>
      </c>
      <c r="M55" s="105">
        <f t="shared" si="8"/>
        <v>1505.7778346800633</v>
      </c>
      <c r="N55" s="105">
        <v>52</v>
      </c>
      <c r="O55" s="87"/>
      <c r="P55" s="87"/>
      <c r="Q55" s="87"/>
      <c r="R55" s="87"/>
    </row>
    <row r="56" spans="1:18" x14ac:dyDescent="0.25">
      <c r="A56" s="97">
        <f t="shared" si="12"/>
        <v>1348.8833333333332</v>
      </c>
      <c r="B56" s="98">
        <v>1347.18</v>
      </c>
      <c r="C56" s="99">
        <f t="shared" si="5"/>
        <v>11.630000000000109</v>
      </c>
      <c r="D56" s="99">
        <f t="shared" si="13"/>
        <v>8.2966666666667752</v>
      </c>
      <c r="E56" s="99">
        <f>40/12</f>
        <v>3.3333333333333335</v>
      </c>
      <c r="F56" s="99">
        <f t="shared" si="14"/>
        <v>0.28661507595299246</v>
      </c>
      <c r="G56" s="100">
        <v>0.68799999999999994</v>
      </c>
      <c r="H56" s="99">
        <f t="shared" si="4"/>
        <v>1160.467807648479</v>
      </c>
      <c r="I56" s="101">
        <v>8</v>
      </c>
      <c r="J56" s="102">
        <f t="shared" si="3"/>
        <v>9283.7424611878323</v>
      </c>
      <c r="K56" s="103">
        <f t="shared" si="6"/>
        <v>4166543.6165810996</v>
      </c>
      <c r="L56" s="104">
        <f t="shared" si="7"/>
        <v>5999822807.8767834</v>
      </c>
      <c r="M56" s="105">
        <f t="shared" si="8"/>
        <v>1547.2904101979721</v>
      </c>
      <c r="N56" s="105">
        <v>54</v>
      </c>
      <c r="O56" s="87"/>
      <c r="P56" s="87"/>
      <c r="Q56" s="87"/>
      <c r="R56" s="87"/>
    </row>
    <row r="57" spans="1:18" x14ac:dyDescent="0.25">
      <c r="A57" s="88">
        <f t="shared" si="12"/>
        <v>1348.8833333333332</v>
      </c>
      <c r="B57" s="89">
        <v>1347.2</v>
      </c>
      <c r="C57" s="90">
        <f t="shared" si="5"/>
        <v>11.650000000000091</v>
      </c>
      <c r="D57" s="90">
        <f t="shared" si="13"/>
        <v>8.316666666666757</v>
      </c>
      <c r="E57" s="90">
        <f>40/12</f>
        <v>3.3333333333333335</v>
      </c>
      <c r="F57" s="90">
        <f t="shared" si="14"/>
        <v>0.28612303290414659</v>
      </c>
      <c r="G57" s="91">
        <v>0.68799999999999994</v>
      </c>
      <c r="H57" s="90">
        <f t="shared" si="4"/>
        <v>1161.6374475394282</v>
      </c>
      <c r="I57" s="92">
        <v>8</v>
      </c>
      <c r="J57" s="93">
        <f t="shared" si="3"/>
        <v>9293.0995803154256</v>
      </c>
      <c r="K57" s="94">
        <f t="shared" si="6"/>
        <v>4170743.091645563</v>
      </c>
      <c r="L57" s="95">
        <f t="shared" si="7"/>
        <v>6005870051.9696112</v>
      </c>
      <c r="M57" s="105">
        <f t="shared" si="8"/>
        <v>1548.8499300525709</v>
      </c>
      <c r="N57" s="105">
        <v>55</v>
      </c>
      <c r="O57" s="87"/>
      <c r="P57" s="87"/>
      <c r="Q57" s="87"/>
      <c r="R57" s="87"/>
    </row>
    <row r="58" spans="1:18" x14ac:dyDescent="0.25">
      <c r="A58" s="97">
        <f t="shared" si="12"/>
        <v>1348.9666666666667</v>
      </c>
      <c r="B58" s="98">
        <v>1347.27</v>
      </c>
      <c r="C58" s="99">
        <f t="shared" si="5"/>
        <v>11.720000000000027</v>
      </c>
      <c r="D58" s="99">
        <f t="shared" si="13"/>
        <v>8.3033333333333612</v>
      </c>
      <c r="E58" s="99">
        <f>41/12</f>
        <v>3.4166666666666665</v>
      </c>
      <c r="F58" s="99">
        <f t="shared" si="14"/>
        <v>0.29152445961319612</v>
      </c>
      <c r="G58" s="100">
        <v>0.68799999999999994</v>
      </c>
      <c r="H58" s="99">
        <f t="shared" si="4"/>
        <v>1192.3041756582704</v>
      </c>
      <c r="I58" s="101">
        <v>8</v>
      </c>
      <c r="J58" s="102">
        <f t="shared" si="3"/>
        <v>9538.4334052661634</v>
      </c>
      <c r="K58" s="103">
        <f t="shared" si="6"/>
        <v>4280848.9122834541</v>
      </c>
      <c r="L58" s="104">
        <f t="shared" si="7"/>
        <v>6164422433.6881742</v>
      </c>
      <c r="M58" s="105">
        <f t="shared" si="8"/>
        <v>1589.7389008776938</v>
      </c>
      <c r="N58" s="105">
        <v>56</v>
      </c>
      <c r="O58" s="87"/>
      <c r="P58" s="87"/>
      <c r="Q58" s="87"/>
      <c r="R58" s="87"/>
    </row>
    <row r="59" spans="1:18" x14ac:dyDescent="0.25">
      <c r="A59" s="88">
        <f>$D$3+10+E59</f>
        <v>1349.05</v>
      </c>
      <c r="B59" s="89">
        <v>1347.35</v>
      </c>
      <c r="C59" s="90">
        <f t="shared" si="5"/>
        <v>11.799999999999955</v>
      </c>
      <c r="D59" s="90">
        <f t="shared" si="13"/>
        <v>8.2999999999999545</v>
      </c>
      <c r="E59" s="90">
        <v>3.5</v>
      </c>
      <c r="F59" s="90">
        <f t="shared" si="14"/>
        <v>0.29661016949152658</v>
      </c>
      <c r="G59" s="91">
        <v>0.68799999999999994</v>
      </c>
      <c r="H59" s="90">
        <f t="shared" si="4"/>
        <v>1223.6585785652801</v>
      </c>
      <c r="I59" s="92">
        <v>8</v>
      </c>
      <c r="J59" s="93">
        <f t="shared" si="3"/>
        <v>9789.2686285222408</v>
      </c>
      <c r="K59" s="94">
        <f t="shared" si="6"/>
        <v>4393423.760480782</v>
      </c>
      <c r="L59" s="95">
        <f t="shared" si="7"/>
        <v>6326530215.0923262</v>
      </c>
      <c r="M59" s="87">
        <f t="shared" si="8"/>
        <v>1631.5447714203735</v>
      </c>
      <c r="N59" s="105">
        <v>56</v>
      </c>
      <c r="O59" s="87"/>
      <c r="P59" s="87"/>
      <c r="Q59" s="87"/>
      <c r="R59" s="87"/>
    </row>
    <row r="60" spans="1:18" x14ac:dyDescent="0.25">
      <c r="A60" s="97">
        <f>$D$3+10+E60</f>
        <v>1349.1333333333332</v>
      </c>
      <c r="B60" s="98">
        <v>1347.43</v>
      </c>
      <c r="C60" s="99">
        <f t="shared" si="5"/>
        <v>11.880000000000109</v>
      </c>
      <c r="D60" s="99">
        <f t="shared" si="13"/>
        <v>8.2966666666667752</v>
      </c>
      <c r="E60" s="99">
        <f>43/12</f>
        <v>3.5833333333333335</v>
      </c>
      <c r="F60" s="99">
        <f t="shared" si="14"/>
        <v>0.30162738496071556</v>
      </c>
      <c r="G60" s="100">
        <v>0.68700000000000006</v>
      </c>
      <c r="H60" s="99">
        <f t="shared" si="4"/>
        <v>1253.2913384934309</v>
      </c>
      <c r="I60" s="101">
        <v>8</v>
      </c>
      <c r="J60" s="102">
        <f t="shared" si="3"/>
        <v>10026.330707947447</v>
      </c>
      <c r="K60" s="103">
        <f t="shared" si="6"/>
        <v>4499817.2217268143</v>
      </c>
      <c r="L60" s="104">
        <f t="shared" si="7"/>
        <v>6479736799.2866125</v>
      </c>
      <c r="M60" s="87">
        <f t="shared" si="8"/>
        <v>1671.0551179912411</v>
      </c>
      <c r="N60" s="105">
        <v>59</v>
      </c>
      <c r="O60" s="87"/>
      <c r="P60" s="87"/>
      <c r="Q60" s="87"/>
      <c r="R60" s="87"/>
    </row>
    <row r="61" spans="1:18" x14ac:dyDescent="0.25">
      <c r="A61" s="88">
        <f>$D$3+10+E61</f>
        <v>1349.2166666666667</v>
      </c>
      <c r="B61" s="89">
        <v>1347.52</v>
      </c>
      <c r="C61" s="90">
        <f t="shared" si="5"/>
        <v>11.970000000000027</v>
      </c>
      <c r="D61" s="90">
        <f t="shared" si="13"/>
        <v>8.3033333333333612</v>
      </c>
      <c r="E61" s="90">
        <f>44/12</f>
        <v>3.6666666666666665</v>
      </c>
      <c r="F61" s="90">
        <f t="shared" si="14"/>
        <v>0.30632135895293722</v>
      </c>
      <c r="G61" s="91">
        <v>0.68700000000000006</v>
      </c>
      <c r="H61" s="90">
        <f t="shared" si="4"/>
        <v>1285.4425498232051</v>
      </c>
      <c r="I61" s="92">
        <v>8</v>
      </c>
      <c r="J61" s="93">
        <f t="shared" si="3"/>
        <v>10283.540398585641</v>
      </c>
      <c r="K61" s="94">
        <f t="shared" si="6"/>
        <v>4615252.9308852358</v>
      </c>
      <c r="L61" s="95">
        <f t="shared" si="7"/>
        <v>6645964220.4747391</v>
      </c>
      <c r="M61" s="87">
        <f t="shared" si="8"/>
        <v>1713.9233997642734</v>
      </c>
      <c r="N61" s="105">
        <v>60</v>
      </c>
      <c r="O61" s="87"/>
      <c r="P61" s="87"/>
      <c r="Q61" s="87"/>
      <c r="R61" s="87"/>
    </row>
    <row r="62" spans="1:18" x14ac:dyDescent="0.25">
      <c r="A62" s="97">
        <f>$D$3+10+E62</f>
        <v>1349.3</v>
      </c>
      <c r="B62" s="98">
        <v>1347.6</v>
      </c>
      <c r="C62" s="99">
        <f t="shared" si="5"/>
        <v>12.049999999999955</v>
      </c>
      <c r="D62" s="99">
        <f t="shared" si="13"/>
        <v>8.2999999999999545</v>
      </c>
      <c r="E62" s="99">
        <v>3.75</v>
      </c>
      <c r="F62" s="99">
        <f t="shared" si="14"/>
        <v>0.31120331950207586</v>
      </c>
      <c r="G62" s="100">
        <v>0.68700000000000006</v>
      </c>
      <c r="H62" s="99">
        <f t="shared" si="4"/>
        <v>1317.0712223548207</v>
      </c>
      <c r="I62" s="101">
        <v>8</v>
      </c>
      <c r="J62" s="102">
        <f t="shared" si="3"/>
        <v>10536.569778838566</v>
      </c>
      <c r="K62" s="103">
        <f t="shared" si="6"/>
        <v>4728812.5167427491</v>
      </c>
      <c r="L62" s="104">
        <f t="shared" si="7"/>
        <v>6809490024.1095591</v>
      </c>
      <c r="M62" s="87">
        <f t="shared" si="8"/>
        <v>1756.0949631397609</v>
      </c>
      <c r="N62" s="105">
        <v>62</v>
      </c>
      <c r="O62" s="87"/>
      <c r="P62" s="87"/>
      <c r="Q62" s="87"/>
      <c r="R62" s="87"/>
    </row>
    <row r="63" spans="1:18" x14ac:dyDescent="0.25">
      <c r="A63" s="88">
        <f t="shared" ref="A63:A68" si="15">$D$3+10+E63</f>
        <v>1349.6333333333332</v>
      </c>
      <c r="B63" s="89">
        <v>1347.68</v>
      </c>
      <c r="C63" s="90">
        <f t="shared" si="5"/>
        <v>12.130000000000109</v>
      </c>
      <c r="D63" s="90">
        <f t="shared" si="13"/>
        <v>8.046666666666777</v>
      </c>
      <c r="E63" s="90">
        <f>49/12</f>
        <v>4.083333333333333</v>
      </c>
      <c r="F63" s="90">
        <f t="shared" si="14"/>
        <v>0.33663094256663612</v>
      </c>
      <c r="G63" s="91">
        <v>0.68</v>
      </c>
      <c r="H63" s="90">
        <f t="shared" si="4"/>
        <v>1413.0541916323259</v>
      </c>
      <c r="I63" s="92">
        <v>8</v>
      </c>
      <c r="J63" s="93">
        <f t="shared" si="3"/>
        <v>11304.433533058607</v>
      </c>
      <c r="K63" s="94">
        <f t="shared" si="6"/>
        <v>5073429.7696367027</v>
      </c>
      <c r="L63" s="95">
        <f t="shared" si="7"/>
        <v>7305738868.2768517</v>
      </c>
      <c r="M63" s="87">
        <f t="shared" si="8"/>
        <v>1884.072255509768</v>
      </c>
      <c r="N63" s="105">
        <v>67</v>
      </c>
      <c r="O63" s="87"/>
      <c r="P63" s="87"/>
      <c r="Q63" s="87"/>
      <c r="R63" s="87"/>
    </row>
    <row r="64" spans="1:18" x14ac:dyDescent="0.25">
      <c r="A64" s="97">
        <f t="shared" si="15"/>
        <v>1349.9666666666667</v>
      </c>
      <c r="B64" s="98">
        <v>1347.77</v>
      </c>
      <c r="C64" s="99">
        <f t="shared" si="5"/>
        <v>12.220000000000027</v>
      </c>
      <c r="D64" s="99">
        <f t="shared" si="13"/>
        <v>7.8033333333333603</v>
      </c>
      <c r="E64" s="99">
        <f>53/12</f>
        <v>4.416666666666667</v>
      </c>
      <c r="F64" s="99">
        <f t="shared" si="14"/>
        <v>0.36142935079105215</v>
      </c>
      <c r="G64" s="100">
        <v>0.68</v>
      </c>
      <c r="H64" s="99">
        <f t="shared" si="4"/>
        <v>1522.0893417512955</v>
      </c>
      <c r="I64" s="101">
        <v>8</v>
      </c>
      <c r="J64" s="102">
        <f t="shared" si="3"/>
        <v>12176.714734010364</v>
      </c>
      <c r="K64" s="103">
        <f t="shared" si="6"/>
        <v>5464909.5726238517</v>
      </c>
      <c r="L64" s="104">
        <f t="shared" si="7"/>
        <v>7869469784.5783463</v>
      </c>
      <c r="M64" s="87">
        <f t="shared" si="8"/>
        <v>2029.4524556683939</v>
      </c>
      <c r="N64" s="105">
        <v>71</v>
      </c>
      <c r="O64" s="87"/>
      <c r="P64" s="87"/>
      <c r="Q64" s="87"/>
      <c r="R64" s="87"/>
    </row>
    <row r="65" spans="1:18" x14ac:dyDescent="0.25">
      <c r="A65" s="88">
        <f t="shared" si="15"/>
        <v>1350.3</v>
      </c>
      <c r="B65" s="89">
        <v>1347.85</v>
      </c>
      <c r="C65" s="90">
        <f t="shared" si="5"/>
        <v>12.299999999999955</v>
      </c>
      <c r="D65" s="90">
        <f t="shared" si="13"/>
        <v>7.5499999999999545</v>
      </c>
      <c r="E65" s="90">
        <f>57/12</f>
        <v>4.75</v>
      </c>
      <c r="F65" s="90">
        <f t="shared" si="14"/>
        <v>0.38617886178861932</v>
      </c>
      <c r="G65" s="91">
        <v>0.68</v>
      </c>
      <c r="H65" s="90">
        <f t="shared" si="4"/>
        <v>1629.2655818697592</v>
      </c>
      <c r="I65" s="92">
        <v>8</v>
      </c>
      <c r="J65" s="93">
        <f t="shared" si="3"/>
        <v>13034.124654958074</v>
      </c>
      <c r="K65" s="94">
        <f t="shared" si="6"/>
        <v>5849715.1451451834</v>
      </c>
      <c r="L65" s="95">
        <f t="shared" si="7"/>
        <v>8423589809.0090637</v>
      </c>
      <c r="M65" s="87">
        <f t="shared" si="8"/>
        <v>2172.354109159679</v>
      </c>
      <c r="N65" s="105">
        <v>80</v>
      </c>
      <c r="O65" s="87"/>
      <c r="P65" s="87"/>
      <c r="Q65" s="87"/>
      <c r="R65" s="87"/>
    </row>
    <row r="66" spans="1:18" x14ac:dyDescent="0.25">
      <c r="A66" s="97">
        <f t="shared" si="15"/>
        <v>1350.6333333333332</v>
      </c>
      <c r="B66" s="98">
        <v>1347.93</v>
      </c>
      <c r="C66" s="99">
        <f t="shared" si="5"/>
        <v>12.380000000000109</v>
      </c>
      <c r="D66" s="99">
        <f t="shared" si="13"/>
        <v>7.2966666666667761</v>
      </c>
      <c r="E66" s="99">
        <f>61/12</f>
        <v>5.083333333333333</v>
      </c>
      <c r="F66" s="99">
        <f t="shared" si="14"/>
        <v>0.41060850834679224</v>
      </c>
      <c r="G66" s="100">
        <v>0.67800000000000005</v>
      </c>
      <c r="H66" s="99">
        <f t="shared" si="4"/>
        <v>1730.1630203453542</v>
      </c>
      <c r="I66" s="101">
        <v>8</v>
      </c>
      <c r="J66" s="102">
        <f t="shared" si="3"/>
        <v>13841.304162762834</v>
      </c>
      <c r="K66" s="103">
        <f t="shared" si="6"/>
        <v>6211977.3082479602</v>
      </c>
      <c r="L66" s="104">
        <f t="shared" si="7"/>
        <v>8945247323.8770618</v>
      </c>
      <c r="M66" s="87">
        <f t="shared" si="8"/>
        <v>2306.8840271271388</v>
      </c>
      <c r="N66" s="105">
        <v>84</v>
      </c>
      <c r="O66" s="87"/>
      <c r="P66" s="87"/>
      <c r="Q66" s="87"/>
      <c r="R66" s="87"/>
    </row>
    <row r="67" spans="1:18" x14ac:dyDescent="0.25">
      <c r="A67" s="88">
        <f t="shared" si="15"/>
        <v>1350.9666666666667</v>
      </c>
      <c r="B67" s="89">
        <v>1348.02</v>
      </c>
      <c r="C67" s="90">
        <f t="shared" si="5"/>
        <v>12.470000000000027</v>
      </c>
      <c r="D67" s="90">
        <f t="shared" si="13"/>
        <v>7.0533333333333603</v>
      </c>
      <c r="E67" s="90">
        <f>65/12</f>
        <v>5.416666666666667</v>
      </c>
      <c r="F67" s="90">
        <f t="shared" si="14"/>
        <v>0.43437583533814395</v>
      </c>
      <c r="G67" s="91">
        <v>0.67500000000000004</v>
      </c>
      <c r="H67" s="90">
        <f t="shared" si="4"/>
        <v>1827.4893551089372</v>
      </c>
      <c r="I67" s="92">
        <v>8</v>
      </c>
      <c r="J67" s="93">
        <f t="shared" si="3"/>
        <v>14619.914840871497</v>
      </c>
      <c r="K67" s="94">
        <f t="shared" si="6"/>
        <v>6561417.7805831283</v>
      </c>
      <c r="L67" s="95">
        <f t="shared" si="7"/>
        <v>9448441604.0397053</v>
      </c>
      <c r="M67" s="87">
        <f t="shared" si="8"/>
        <v>2436.652473478583</v>
      </c>
      <c r="N67" s="105">
        <v>88</v>
      </c>
      <c r="O67" s="87"/>
      <c r="P67" s="87"/>
      <c r="Q67" s="87"/>
      <c r="R67" s="87"/>
    </row>
    <row r="68" spans="1:18" x14ac:dyDescent="0.25">
      <c r="A68" s="97">
        <f t="shared" si="15"/>
        <v>1351.3</v>
      </c>
      <c r="B68" s="98">
        <v>1348.1</v>
      </c>
      <c r="C68" s="99">
        <f t="shared" si="5"/>
        <v>12.549999999999955</v>
      </c>
      <c r="D68" s="99">
        <f t="shared" si="13"/>
        <v>6.7999999999999545</v>
      </c>
      <c r="E68" s="99">
        <f>69/12</f>
        <v>5.75</v>
      </c>
      <c r="F68" s="99">
        <f t="shared" si="14"/>
        <v>0.45816733067729248</v>
      </c>
      <c r="G68" s="100">
        <v>0.67500000000000004</v>
      </c>
      <c r="H68" s="99">
        <f t="shared" si="4"/>
        <v>1930.3751704735516</v>
      </c>
      <c r="I68" s="101">
        <v>8</v>
      </c>
      <c r="J68" s="102">
        <f t="shared" si="3"/>
        <v>15443.001363788413</v>
      </c>
      <c r="K68" s="103">
        <f t="shared" si="6"/>
        <v>6930819.01206824</v>
      </c>
      <c r="L68" s="104">
        <f t="shared" si="7"/>
        <v>9980379377.3782654</v>
      </c>
      <c r="M68" s="87">
        <f t="shared" si="8"/>
        <v>2573.8335606314022</v>
      </c>
      <c r="N68" s="105">
        <v>90</v>
      </c>
      <c r="O68" s="87"/>
      <c r="P68" s="87"/>
      <c r="Q68" s="87"/>
      <c r="R68" s="87"/>
    </row>
    <row r="69" spans="1:18" x14ac:dyDescent="0.25">
      <c r="A69" s="88">
        <f>$D$3+10+E69</f>
        <v>1351.3</v>
      </c>
      <c r="B69" s="89">
        <v>1348.18</v>
      </c>
      <c r="C69" s="90">
        <f t="shared" si="5"/>
        <v>12.630000000000109</v>
      </c>
      <c r="D69" s="90">
        <f t="shared" si="13"/>
        <v>6.8800000000001091</v>
      </c>
      <c r="E69" s="90">
        <v>5.75</v>
      </c>
      <c r="F69" s="90">
        <f t="shared" si="14"/>
        <v>0.45526524148851544</v>
      </c>
      <c r="G69" s="91">
        <v>0.67100000000000004</v>
      </c>
      <c r="H69" s="90">
        <f t="shared" si="4"/>
        <v>1926.973417853116</v>
      </c>
      <c r="I69" s="92">
        <v>8</v>
      </c>
      <c r="J69" s="93">
        <f t="shared" si="3"/>
        <v>15415.787342824928</v>
      </c>
      <c r="K69" s="94">
        <f t="shared" si="6"/>
        <v>6918605.3594598277</v>
      </c>
      <c r="L69" s="95">
        <f t="shared" si="7"/>
        <v>9962791717.6221523</v>
      </c>
      <c r="M69" s="106">
        <f t="shared" si="8"/>
        <v>2569.2978904708211</v>
      </c>
      <c r="N69" s="87"/>
      <c r="O69" s="87"/>
      <c r="P69" s="87"/>
      <c r="Q69" s="87"/>
      <c r="R69" s="87"/>
    </row>
    <row r="70" spans="1:18" x14ac:dyDescent="0.25">
      <c r="A70" s="97">
        <f>$D$3+10+E70</f>
        <v>1353.3</v>
      </c>
      <c r="B70" s="98">
        <v>1348.6</v>
      </c>
      <c r="C70" s="99">
        <f t="shared" si="5"/>
        <v>13.049999999999955</v>
      </c>
      <c r="D70" s="99">
        <f t="shared" si="13"/>
        <v>5.2999999999999545</v>
      </c>
      <c r="E70" s="99">
        <v>7.75</v>
      </c>
      <c r="F70" s="99">
        <f t="shared" si="14"/>
        <v>0.59386973180076841</v>
      </c>
      <c r="G70" s="100">
        <v>0.65700000000000003</v>
      </c>
      <c r="H70" s="99">
        <f t="shared" si="4"/>
        <v>2456.3283907230943</v>
      </c>
      <c r="I70" s="101">
        <v>8</v>
      </c>
      <c r="J70" s="102">
        <f t="shared" si="3"/>
        <v>19650.627125784755</v>
      </c>
      <c r="K70" s="103">
        <f t="shared" si="6"/>
        <v>8819201.4540521987</v>
      </c>
      <c r="L70" s="104">
        <f t="shared" si="7"/>
        <v>12699650093.835167</v>
      </c>
      <c r="M70" s="106">
        <f t="shared" si="8"/>
        <v>3275.1045209641256</v>
      </c>
      <c r="N70" s="87"/>
      <c r="O70" s="87"/>
      <c r="P70" s="87"/>
      <c r="Q70" s="87"/>
      <c r="R70" s="87"/>
    </row>
    <row r="71" spans="1:18" x14ac:dyDescent="0.25">
      <c r="A71" s="88">
        <f>$D$3+10+E71</f>
        <v>1355.3</v>
      </c>
      <c r="B71" s="89">
        <v>1349.1</v>
      </c>
      <c r="C71" s="90">
        <f t="shared" si="5"/>
        <v>13.549999999999955</v>
      </c>
      <c r="D71" s="90">
        <f t="shared" si="13"/>
        <v>3.7999999999999545</v>
      </c>
      <c r="E71" s="90">
        <v>9.75</v>
      </c>
      <c r="F71" s="90">
        <f t="shared" si="14"/>
        <v>0.71955719557195819</v>
      </c>
      <c r="G71" s="91">
        <v>0.64300000000000002</v>
      </c>
      <c r="H71" s="90">
        <f>(2/3)*((2*32.2)^0.5)*G71*$E$9*(((C71)^1.5) - (D71)^1.5)</f>
        <v>2921.9936129405287</v>
      </c>
      <c r="I71" s="92">
        <v>8</v>
      </c>
      <c r="J71" s="93">
        <f t="shared" si="3"/>
        <v>23375.94890352423</v>
      </c>
      <c r="K71" s="94">
        <f t="shared" si="6"/>
        <v>10491125.867901674</v>
      </c>
      <c r="L71" s="95">
        <f t="shared" si="7"/>
        <v>15107221249.77841</v>
      </c>
      <c r="M71" s="106">
        <f t="shared" si="8"/>
        <v>3895.9914839207049</v>
      </c>
      <c r="N71" s="87"/>
      <c r="O71" s="87"/>
      <c r="P71" s="87"/>
      <c r="Q71" s="87"/>
      <c r="R71" s="87"/>
    </row>
    <row r="72" spans="1:18" ht="15.75" thickBot="1" x14ac:dyDescent="0.3">
      <c r="A72" s="107">
        <f>$D$3+10+E72</f>
        <v>1355.55</v>
      </c>
      <c r="B72" s="108">
        <v>1355.55</v>
      </c>
      <c r="C72" s="109">
        <f>B72-$D$3</f>
        <v>20</v>
      </c>
      <c r="D72" s="109">
        <f t="shared" si="13"/>
        <v>10</v>
      </c>
      <c r="E72" s="109">
        <v>10</v>
      </c>
      <c r="F72" s="109">
        <f t="shared" si="14"/>
        <v>0.5</v>
      </c>
      <c r="G72" s="110">
        <v>0.66700000000000004</v>
      </c>
      <c r="H72" s="109">
        <f>(2/3)*((2*32.2)^0.5)*G72*$E$9*(((C72)^1.5) - (D72)^1.5)</f>
        <v>4126.5314522805165</v>
      </c>
      <c r="I72" s="111">
        <v>8</v>
      </c>
      <c r="J72" s="112">
        <f t="shared" si="3"/>
        <v>33012.251618244132</v>
      </c>
      <c r="K72" s="113">
        <f t="shared" si="6"/>
        <v>14815898.526267968</v>
      </c>
      <c r="L72" s="114">
        <f t="shared" si="7"/>
        <v>21334893877.825874</v>
      </c>
      <c r="M72" s="106">
        <f t="shared" si="8"/>
        <v>5502.041936374022</v>
      </c>
      <c r="N72" s="87"/>
      <c r="O72" s="87"/>
      <c r="P72" s="87"/>
      <c r="Q72" s="87"/>
      <c r="R72" s="87"/>
    </row>
    <row r="73" spans="1:18" x14ac:dyDescent="0.25">
      <c r="B73" s="66"/>
      <c r="C73" s="66"/>
      <c r="D73" s="66"/>
      <c r="E73" s="66"/>
      <c r="F73" s="66"/>
      <c r="G73" s="67"/>
      <c r="H73" s="66"/>
      <c r="I73" s="68"/>
      <c r="J73" s="66"/>
      <c r="K73" s="66"/>
      <c r="L73" s="66"/>
      <c r="M73" s="87"/>
      <c r="N73" s="87"/>
      <c r="O73" s="87"/>
      <c r="P73" s="87"/>
      <c r="Q73" s="87"/>
      <c r="R73" s="87"/>
    </row>
    <row r="74" spans="1:18" x14ac:dyDescent="0.25">
      <c r="B74" s="66"/>
      <c r="C74" s="66"/>
      <c r="D74" s="66"/>
      <c r="E74" s="66"/>
      <c r="F74" s="66"/>
      <c r="G74" s="67"/>
      <c r="H74" s="66"/>
      <c r="I74" s="68"/>
      <c r="J74" s="66"/>
      <c r="K74" s="66"/>
      <c r="L74" s="66"/>
    </row>
    <row r="75" spans="1:18" x14ac:dyDescent="0.25">
      <c r="B75" s="66"/>
      <c r="C75" s="66"/>
      <c r="D75" s="66"/>
      <c r="E75" s="66"/>
      <c r="F75" s="66"/>
      <c r="G75" s="67"/>
      <c r="H75" s="66"/>
      <c r="I75" s="68"/>
      <c r="J75" s="66"/>
      <c r="K75" s="66"/>
      <c r="L75" s="66"/>
    </row>
    <row r="76" spans="1:18" x14ac:dyDescent="0.25">
      <c r="B76" s="66"/>
      <c r="C76" s="66"/>
      <c r="D76" s="66"/>
      <c r="E76" s="66"/>
      <c r="F76" s="66"/>
      <c r="G76" s="66"/>
      <c r="H76" s="66"/>
      <c r="I76" s="68"/>
      <c r="J76" s="66"/>
      <c r="K76" s="66"/>
      <c r="L76" s="66"/>
    </row>
    <row r="77" spans="1:18" x14ac:dyDescent="0.25">
      <c r="B77" s="66"/>
      <c r="C77" s="66"/>
      <c r="D77" s="66"/>
      <c r="E77" s="66"/>
      <c r="F77" s="66"/>
      <c r="G77" s="66"/>
      <c r="H77" s="66"/>
      <c r="I77" s="68"/>
      <c r="J77" s="66"/>
      <c r="K77" s="66"/>
      <c r="L77" s="66"/>
    </row>
    <row r="78" spans="1:18" x14ac:dyDescent="0.25">
      <c r="B78" s="66"/>
      <c r="C78" s="66"/>
      <c r="D78" s="66"/>
      <c r="E78" s="66"/>
      <c r="F78" s="66"/>
      <c r="G78" s="66"/>
      <c r="H78" s="66"/>
      <c r="I78" s="66"/>
      <c r="J78" s="66"/>
      <c r="K78" s="66"/>
      <c r="L78" s="66"/>
    </row>
    <row r="79" spans="1:18" x14ac:dyDescent="0.25">
      <c r="B79" s="66"/>
      <c r="C79" s="66"/>
      <c r="D79" s="66"/>
      <c r="E79" s="66"/>
      <c r="F79" s="66"/>
      <c r="G79" s="66"/>
      <c r="H79" s="66"/>
      <c r="I79" s="66"/>
      <c r="J79" s="66"/>
      <c r="K79" s="66"/>
      <c r="L79" s="66"/>
    </row>
    <row r="80" spans="1:18" x14ac:dyDescent="0.25">
      <c r="B80" s="66"/>
      <c r="C80" s="66"/>
      <c r="D80" s="66"/>
      <c r="E80" s="66"/>
      <c r="F80" s="66"/>
      <c r="G80" s="66"/>
      <c r="H80" s="66"/>
      <c r="I80" s="66"/>
      <c r="J80" s="66"/>
      <c r="K80" s="66"/>
      <c r="L80" s="66"/>
    </row>
    <row r="81" spans="2:12" x14ac:dyDescent="0.25">
      <c r="B81" s="66"/>
      <c r="C81" s="69"/>
      <c r="D81" s="69"/>
      <c r="E81" s="69"/>
      <c r="F81" s="69"/>
      <c r="G81" s="69"/>
      <c r="H81" s="69"/>
      <c r="I81" s="69"/>
      <c r="J81" s="69"/>
      <c r="K81" s="69"/>
      <c r="L81" s="69"/>
    </row>
  </sheetData>
  <mergeCells count="9">
    <mergeCell ref="B9:D9"/>
    <mergeCell ref="F13:F14"/>
    <mergeCell ref="G13:G14"/>
    <mergeCell ref="A1:L1"/>
    <mergeCell ref="B3:C3"/>
    <mergeCell ref="B4:C4"/>
    <mergeCell ref="B5:C5"/>
    <mergeCell ref="B6:C6"/>
    <mergeCell ref="B8:J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4FB7-2B19-4A5F-8B43-8390EF341F15}">
  <sheetPr>
    <tabColor theme="8" tint="0.79998168889431442"/>
  </sheetPr>
  <dimension ref="A1:T47"/>
  <sheetViews>
    <sheetView workbookViewId="0">
      <selection activeCell="R7" sqref="R7"/>
    </sheetView>
  </sheetViews>
  <sheetFormatPr defaultRowHeight="15" x14ac:dyDescent="0.25"/>
  <cols>
    <col min="1" max="1" width="9.7109375" style="6" customWidth="1"/>
    <col min="2" max="2" width="14.42578125" style="116" customWidth="1"/>
    <col min="3" max="3" width="11" style="117" customWidth="1"/>
    <col min="4" max="4" width="3.85546875" style="116" customWidth="1"/>
    <col min="5" max="5" width="10.5703125" style="116" customWidth="1"/>
    <col min="6" max="6" width="11" style="6" customWidth="1"/>
    <col min="7" max="7" width="14.42578125" style="6" customWidth="1"/>
    <col min="8" max="8" width="1.28515625" style="6" customWidth="1"/>
    <col min="9" max="9" width="9.140625" style="116"/>
    <col min="10" max="10" width="14.42578125" style="23" customWidth="1"/>
    <col min="12" max="12" width="14.42578125" style="23" customWidth="1"/>
    <col min="14" max="14" width="8.7109375" style="23" customWidth="1"/>
    <col min="15" max="15" width="7.42578125" customWidth="1"/>
  </cols>
  <sheetData>
    <row r="1" spans="1:20" x14ac:dyDescent="0.25">
      <c r="C1" s="257" t="s">
        <v>38</v>
      </c>
      <c r="D1" s="258"/>
      <c r="E1" s="258"/>
      <c r="F1" s="258"/>
      <c r="G1" s="258"/>
      <c r="H1" s="258"/>
      <c r="I1" s="258"/>
      <c r="J1" s="325"/>
      <c r="K1" s="325"/>
      <c r="L1" s="325"/>
      <c r="M1" s="325"/>
      <c r="N1" s="325"/>
      <c r="O1" s="325"/>
    </row>
    <row r="2" spans="1:20" ht="21" customHeight="1" x14ac:dyDescent="0.25">
      <c r="C2" s="258"/>
      <c r="D2" s="258"/>
      <c r="E2" s="258"/>
      <c r="F2" s="258"/>
      <c r="G2" s="258"/>
      <c r="H2" s="258"/>
      <c r="I2" s="258"/>
      <c r="J2" s="325"/>
      <c r="K2" s="325"/>
      <c r="L2" s="325"/>
      <c r="M2" s="325"/>
      <c r="N2" s="325"/>
      <c r="O2" s="325"/>
    </row>
    <row r="3" spans="1:20" x14ac:dyDescent="0.25">
      <c r="C3" s="259" t="s">
        <v>39</v>
      </c>
      <c r="D3" s="259"/>
      <c r="E3" s="259"/>
      <c r="F3" s="259"/>
      <c r="G3" s="259"/>
      <c r="I3" s="259" t="s">
        <v>40</v>
      </c>
      <c r="J3" s="259"/>
      <c r="K3" s="259"/>
      <c r="L3" s="259"/>
      <c r="M3" s="116"/>
      <c r="N3" s="116"/>
    </row>
    <row r="4" spans="1:20" x14ac:dyDescent="0.25">
      <c r="C4" s="260" t="s">
        <v>41</v>
      </c>
      <c r="D4" s="259"/>
      <c r="E4" s="259"/>
      <c r="F4" s="259"/>
      <c r="G4" s="259"/>
      <c r="I4" s="259" t="s">
        <v>63</v>
      </c>
      <c r="J4" s="259"/>
      <c r="K4" s="259"/>
      <c r="L4" s="259"/>
      <c r="M4" s="116"/>
      <c r="N4" s="116"/>
    </row>
    <row r="5" spans="1:20" x14ac:dyDescent="0.25">
      <c r="C5" s="259" t="s">
        <v>43</v>
      </c>
      <c r="D5" s="259"/>
      <c r="E5" s="259"/>
      <c r="F5" s="259"/>
      <c r="G5" s="259"/>
      <c r="I5" s="259" t="s">
        <v>44</v>
      </c>
      <c r="J5" s="259"/>
      <c r="K5" s="259"/>
      <c r="L5" s="259"/>
      <c r="M5" s="116"/>
      <c r="N5" s="116"/>
    </row>
    <row r="6" spans="1:20" x14ac:dyDescent="0.25">
      <c r="C6" s="260" t="s">
        <v>64</v>
      </c>
      <c r="D6" s="260"/>
      <c r="E6" s="260"/>
      <c r="F6" s="260"/>
      <c r="G6" s="260"/>
      <c r="I6" s="260" t="s">
        <v>47</v>
      </c>
      <c r="J6" s="259"/>
      <c r="K6" s="259"/>
      <c r="L6" s="259"/>
      <c r="M6" s="116"/>
      <c r="N6" s="6"/>
    </row>
    <row r="7" spans="1:20" ht="15.75" thickBot="1" x14ac:dyDescent="0.3">
      <c r="C7" s="326" t="s">
        <v>65</v>
      </c>
      <c r="D7" s="326"/>
      <c r="E7" s="326"/>
      <c r="F7" s="326"/>
      <c r="G7" s="326"/>
      <c r="H7" s="121"/>
      <c r="I7" s="326" t="s">
        <v>66</v>
      </c>
      <c r="J7" s="327"/>
      <c r="K7" s="327"/>
      <c r="L7" s="327"/>
      <c r="M7" s="120"/>
      <c r="N7" s="121"/>
      <c r="O7" s="3"/>
    </row>
    <row r="8" spans="1:20" x14ac:dyDescent="0.25">
      <c r="L8" s="6"/>
      <c r="M8" s="116"/>
      <c r="N8" s="6"/>
    </row>
    <row r="9" spans="1:20" x14ac:dyDescent="0.25">
      <c r="A9" s="328" t="s">
        <v>67</v>
      </c>
      <c r="B9" s="329"/>
      <c r="C9" s="329"/>
      <c r="D9" s="329"/>
      <c r="E9" s="329"/>
      <c r="F9" s="329"/>
      <c r="G9" s="329"/>
      <c r="H9" s="329"/>
      <c r="I9" s="329"/>
      <c r="J9" s="330"/>
      <c r="K9" s="330"/>
      <c r="L9" s="330"/>
      <c r="M9" s="330"/>
      <c r="N9" s="330"/>
      <c r="O9" s="331"/>
      <c r="S9" s="116"/>
    </row>
    <row r="10" spans="1:20" ht="15.75" thickBot="1" x14ac:dyDescent="0.3">
      <c r="A10" s="332"/>
      <c r="B10" s="333"/>
      <c r="C10" s="333"/>
      <c r="D10" s="333"/>
      <c r="E10" s="333"/>
      <c r="F10" s="333"/>
      <c r="G10" s="333"/>
      <c r="H10" s="333"/>
      <c r="I10" s="333"/>
      <c r="J10" s="334"/>
      <c r="K10" s="334"/>
      <c r="L10" s="334"/>
      <c r="M10" s="334"/>
      <c r="N10" s="334"/>
      <c r="O10" s="335"/>
      <c r="Q10" s="117"/>
      <c r="R10" s="116"/>
      <c r="S10" s="116"/>
      <c r="T10" s="116"/>
    </row>
    <row r="11" spans="1:20" ht="15.75" thickTop="1" x14ac:dyDescent="0.25">
      <c r="A11" s="319" t="s">
        <v>68</v>
      </c>
      <c r="B11" s="320"/>
      <c r="C11" s="320"/>
      <c r="D11" s="320"/>
      <c r="E11" s="320"/>
      <c r="F11" s="320"/>
      <c r="G11" s="321"/>
      <c r="H11" s="139"/>
      <c r="I11" s="322" t="s">
        <v>69</v>
      </c>
      <c r="J11" s="323"/>
      <c r="K11" s="323"/>
      <c r="L11" s="323"/>
      <c r="M11" s="323"/>
      <c r="N11" s="323"/>
      <c r="O11" s="324"/>
      <c r="R11" s="116"/>
      <c r="S11" s="116"/>
      <c r="T11" s="116"/>
    </row>
    <row r="12" spans="1:20" ht="12.75" customHeight="1" x14ac:dyDescent="0.25">
      <c r="A12" s="308" t="s">
        <v>70</v>
      </c>
      <c r="B12" s="309"/>
      <c r="C12" s="309"/>
      <c r="D12" s="309"/>
      <c r="E12" s="309"/>
      <c r="F12" s="309"/>
      <c r="G12" s="310"/>
      <c r="H12" s="128"/>
      <c r="I12" s="308" t="s">
        <v>71</v>
      </c>
      <c r="J12" s="309"/>
      <c r="K12" s="309"/>
      <c r="L12" s="309"/>
      <c r="M12" s="309"/>
      <c r="N12" s="309"/>
      <c r="O12" s="310"/>
      <c r="R12" s="116"/>
      <c r="S12" s="116"/>
      <c r="T12" s="116"/>
    </row>
    <row r="13" spans="1:20" ht="12.75" customHeight="1" x14ac:dyDescent="0.25">
      <c r="A13" s="311" t="s">
        <v>49</v>
      </c>
      <c r="B13" s="313" t="s">
        <v>72</v>
      </c>
      <c r="C13" s="311" t="s">
        <v>49</v>
      </c>
      <c r="D13" s="315" t="s">
        <v>72</v>
      </c>
      <c r="E13" s="316"/>
      <c r="F13" s="311" t="s">
        <v>49</v>
      </c>
      <c r="G13" s="313" t="s">
        <v>72</v>
      </c>
      <c r="H13" s="128"/>
      <c r="I13" s="311" t="s">
        <v>49</v>
      </c>
      <c r="J13" s="313" t="s">
        <v>73</v>
      </c>
      <c r="K13" s="311" t="s">
        <v>49</v>
      </c>
      <c r="L13" s="313" t="s">
        <v>73</v>
      </c>
      <c r="M13" s="311" t="s">
        <v>49</v>
      </c>
      <c r="N13" s="315" t="s">
        <v>73</v>
      </c>
      <c r="O13" s="316"/>
      <c r="R13" s="6"/>
      <c r="S13" s="116"/>
      <c r="T13" s="6"/>
    </row>
    <row r="14" spans="1:20" s="141" customFormat="1" ht="12.75" customHeight="1" x14ac:dyDescent="0.2">
      <c r="A14" s="312"/>
      <c r="B14" s="314"/>
      <c r="C14" s="312"/>
      <c r="D14" s="317"/>
      <c r="E14" s="318"/>
      <c r="F14" s="312"/>
      <c r="G14" s="314"/>
      <c r="H14" s="140"/>
      <c r="I14" s="312"/>
      <c r="J14" s="314"/>
      <c r="K14" s="312"/>
      <c r="L14" s="314"/>
      <c r="M14" s="312"/>
      <c r="N14" s="317"/>
      <c r="O14" s="318"/>
      <c r="R14" s="6"/>
      <c r="S14" s="116"/>
      <c r="T14" s="6"/>
    </row>
    <row r="15" spans="1:20" ht="12.75" customHeight="1" x14ac:dyDescent="0.25">
      <c r="A15" s="142">
        <v>1233</v>
      </c>
      <c r="B15" s="143" t="s">
        <v>74</v>
      </c>
      <c r="C15" s="144">
        <v>1237.42</v>
      </c>
      <c r="D15" s="298">
        <v>39</v>
      </c>
      <c r="E15" s="298"/>
      <c r="F15" s="142">
        <v>1239.75</v>
      </c>
      <c r="G15" s="132">
        <v>123</v>
      </c>
      <c r="H15" s="145"/>
      <c r="I15" s="146">
        <v>1242</v>
      </c>
      <c r="J15" s="147">
        <v>204</v>
      </c>
      <c r="K15" s="148">
        <v>1239.67</v>
      </c>
      <c r="L15" s="147">
        <v>120</v>
      </c>
      <c r="M15" s="148">
        <v>1237.33</v>
      </c>
      <c r="N15" s="303">
        <v>36</v>
      </c>
      <c r="O15" s="304"/>
    </row>
    <row r="16" spans="1:20" ht="12.75" customHeight="1" x14ac:dyDescent="0.25">
      <c r="A16" s="142">
        <v>1233.5</v>
      </c>
      <c r="B16" s="143" t="s">
        <v>75</v>
      </c>
      <c r="C16" s="144">
        <v>1237.5</v>
      </c>
      <c r="D16" s="298">
        <v>42</v>
      </c>
      <c r="E16" s="298"/>
      <c r="F16" s="142">
        <v>1239.83</v>
      </c>
      <c r="G16" s="132">
        <v>126</v>
      </c>
      <c r="H16" s="145"/>
      <c r="I16" s="146">
        <v>1241.92</v>
      </c>
      <c r="J16" s="147">
        <v>201</v>
      </c>
      <c r="K16" s="148">
        <v>1239.58</v>
      </c>
      <c r="L16" s="147">
        <v>117</v>
      </c>
      <c r="M16" s="148">
        <v>1237.25</v>
      </c>
      <c r="N16" s="303">
        <v>33</v>
      </c>
      <c r="O16" s="304"/>
    </row>
    <row r="17" spans="1:15" ht="12.75" customHeight="1" x14ac:dyDescent="0.25">
      <c r="A17" s="142">
        <v>1234</v>
      </c>
      <c r="B17" s="143" t="s">
        <v>76</v>
      </c>
      <c r="C17" s="144">
        <v>1237.58</v>
      </c>
      <c r="D17" s="298">
        <v>45</v>
      </c>
      <c r="E17" s="298"/>
      <c r="F17" s="142">
        <v>1239.92</v>
      </c>
      <c r="G17" s="132">
        <v>129</v>
      </c>
      <c r="H17" s="145"/>
      <c r="I17" s="146">
        <v>1241.83</v>
      </c>
      <c r="J17" s="147">
        <v>198</v>
      </c>
      <c r="K17" s="148">
        <v>1239.5</v>
      </c>
      <c r="L17" s="147">
        <v>114</v>
      </c>
      <c r="M17" s="148">
        <v>1237.17</v>
      </c>
      <c r="N17" s="303">
        <v>30</v>
      </c>
      <c r="O17" s="304"/>
    </row>
    <row r="18" spans="1:15" ht="12.75" customHeight="1" x14ac:dyDescent="0.25">
      <c r="A18" s="142">
        <v>1234.5</v>
      </c>
      <c r="B18" s="143" t="s">
        <v>77</v>
      </c>
      <c r="C18" s="144">
        <v>1237.67</v>
      </c>
      <c r="D18" s="298">
        <v>48</v>
      </c>
      <c r="E18" s="298"/>
      <c r="F18" s="142">
        <v>1240</v>
      </c>
      <c r="G18" s="132">
        <v>132</v>
      </c>
      <c r="H18" s="145"/>
      <c r="I18" s="146">
        <v>1241.75</v>
      </c>
      <c r="J18" s="147">
        <v>195</v>
      </c>
      <c r="K18" s="148">
        <v>1239.42</v>
      </c>
      <c r="L18" s="147">
        <v>111</v>
      </c>
      <c r="M18" s="148">
        <v>1237.08</v>
      </c>
      <c r="N18" s="303">
        <v>27</v>
      </c>
      <c r="O18" s="304"/>
    </row>
    <row r="19" spans="1:15" ht="12.75" customHeight="1" x14ac:dyDescent="0.25">
      <c r="A19" s="142">
        <v>1235</v>
      </c>
      <c r="B19" s="143" t="s">
        <v>78</v>
      </c>
      <c r="C19" s="144">
        <v>1237.75</v>
      </c>
      <c r="D19" s="298">
        <v>51</v>
      </c>
      <c r="E19" s="298"/>
      <c r="F19" s="142">
        <v>1240.08</v>
      </c>
      <c r="G19" s="132">
        <v>135</v>
      </c>
      <c r="H19" s="145"/>
      <c r="I19" s="146">
        <v>1241.67</v>
      </c>
      <c r="J19" s="147">
        <v>192</v>
      </c>
      <c r="K19" s="148">
        <v>1239.33</v>
      </c>
      <c r="L19" s="147">
        <v>108</v>
      </c>
      <c r="M19" s="148">
        <v>1237</v>
      </c>
      <c r="N19" s="303">
        <v>25</v>
      </c>
      <c r="O19" s="304"/>
    </row>
    <row r="20" spans="1:15" ht="12.75" customHeight="1" x14ac:dyDescent="0.25">
      <c r="A20" s="142">
        <v>1235.5</v>
      </c>
      <c r="B20" s="143" t="s">
        <v>79</v>
      </c>
      <c r="C20" s="144">
        <v>1237.83</v>
      </c>
      <c r="D20" s="298">
        <v>54</v>
      </c>
      <c r="E20" s="298"/>
      <c r="F20" s="142">
        <v>1240.17</v>
      </c>
      <c r="G20" s="132">
        <v>138</v>
      </c>
      <c r="H20" s="145"/>
      <c r="I20" s="149">
        <v>1241.58</v>
      </c>
      <c r="J20" s="147">
        <v>189</v>
      </c>
      <c r="K20" s="148">
        <v>1239.25</v>
      </c>
      <c r="L20" s="147">
        <v>105</v>
      </c>
      <c r="M20" s="148">
        <v>1236.92</v>
      </c>
      <c r="N20" s="303">
        <v>24</v>
      </c>
      <c r="O20" s="304"/>
    </row>
    <row r="21" spans="1:15" ht="12.75" customHeight="1" x14ac:dyDescent="0.25">
      <c r="A21" s="142">
        <v>1235.58</v>
      </c>
      <c r="B21" s="143" t="s">
        <v>80</v>
      </c>
      <c r="C21" s="144">
        <v>1237.92</v>
      </c>
      <c r="D21" s="298">
        <v>57</v>
      </c>
      <c r="E21" s="298"/>
      <c r="F21" s="142">
        <v>1240.25</v>
      </c>
      <c r="G21" s="132">
        <v>141</v>
      </c>
      <c r="H21" s="145"/>
      <c r="I21" s="146">
        <v>1241.5</v>
      </c>
      <c r="J21" s="147">
        <v>186</v>
      </c>
      <c r="K21" s="148">
        <v>1239.17</v>
      </c>
      <c r="L21" s="147">
        <v>102</v>
      </c>
      <c r="M21" s="148">
        <v>1236.83</v>
      </c>
      <c r="N21" s="303">
        <v>23</v>
      </c>
      <c r="O21" s="304"/>
    </row>
    <row r="22" spans="1:15" ht="12.75" customHeight="1" x14ac:dyDescent="0.25">
      <c r="A22" s="142">
        <v>1235.67</v>
      </c>
      <c r="B22" s="129">
        <v>9</v>
      </c>
      <c r="C22" s="144">
        <v>1238</v>
      </c>
      <c r="D22" s="298">
        <v>60</v>
      </c>
      <c r="E22" s="298"/>
      <c r="F22" s="142">
        <v>1240.33</v>
      </c>
      <c r="G22" s="132">
        <v>144</v>
      </c>
      <c r="H22" s="145"/>
      <c r="I22" s="146">
        <v>1241.42</v>
      </c>
      <c r="J22" s="147">
        <v>183</v>
      </c>
      <c r="K22" s="148">
        <v>1239.08</v>
      </c>
      <c r="L22" s="147">
        <v>99</v>
      </c>
      <c r="M22" s="148">
        <v>1236.75</v>
      </c>
      <c r="N22" s="303">
        <v>22</v>
      </c>
      <c r="O22" s="304"/>
    </row>
    <row r="23" spans="1:15" ht="12.75" customHeight="1" x14ac:dyDescent="0.25">
      <c r="A23" s="142">
        <v>1235.75</v>
      </c>
      <c r="B23" s="129">
        <v>10</v>
      </c>
      <c r="C23" s="144">
        <v>1238.08</v>
      </c>
      <c r="D23" s="298">
        <v>63</v>
      </c>
      <c r="E23" s="298"/>
      <c r="F23" s="142">
        <v>1240.42</v>
      </c>
      <c r="G23" s="132">
        <v>147</v>
      </c>
      <c r="H23" s="145"/>
      <c r="I23" s="146">
        <v>1241.33</v>
      </c>
      <c r="J23" s="147">
        <v>180</v>
      </c>
      <c r="K23" s="148">
        <v>1239</v>
      </c>
      <c r="L23" s="147">
        <v>96</v>
      </c>
      <c r="M23" s="148">
        <v>1236.67</v>
      </c>
      <c r="N23" s="303">
        <v>21</v>
      </c>
      <c r="O23" s="304"/>
    </row>
    <row r="24" spans="1:15" ht="12.75" customHeight="1" x14ac:dyDescent="0.25">
      <c r="A24" s="142">
        <v>1235.83</v>
      </c>
      <c r="B24" s="129">
        <v>11</v>
      </c>
      <c r="C24" s="144">
        <v>1238.17</v>
      </c>
      <c r="D24" s="298">
        <v>66</v>
      </c>
      <c r="E24" s="298"/>
      <c r="F24" s="142">
        <v>1240.5</v>
      </c>
      <c r="G24" s="132">
        <v>150</v>
      </c>
      <c r="H24" s="145"/>
      <c r="I24" s="146">
        <v>1241.25</v>
      </c>
      <c r="J24" s="147">
        <v>177</v>
      </c>
      <c r="K24" s="148">
        <v>1238.92</v>
      </c>
      <c r="L24" s="147">
        <v>93</v>
      </c>
      <c r="M24" s="148">
        <v>1236.58</v>
      </c>
      <c r="N24" s="305">
        <v>20</v>
      </c>
      <c r="O24" s="306"/>
    </row>
    <row r="25" spans="1:15" ht="12.75" customHeight="1" x14ac:dyDescent="0.25">
      <c r="A25" s="142">
        <v>1235.92</v>
      </c>
      <c r="B25" s="129">
        <v>12</v>
      </c>
      <c r="C25" s="144">
        <v>1238.25</v>
      </c>
      <c r="D25" s="298">
        <v>69</v>
      </c>
      <c r="E25" s="298"/>
      <c r="F25" s="142">
        <v>1240.58</v>
      </c>
      <c r="G25" s="132">
        <v>153</v>
      </c>
      <c r="H25" s="145"/>
      <c r="I25" s="146">
        <v>1241.17</v>
      </c>
      <c r="J25" s="147">
        <v>174</v>
      </c>
      <c r="K25" s="148">
        <v>1238.83</v>
      </c>
      <c r="L25" s="147">
        <v>90</v>
      </c>
      <c r="M25" s="148">
        <v>1236.5</v>
      </c>
      <c r="N25" s="303">
        <v>19</v>
      </c>
      <c r="O25" s="307"/>
    </row>
    <row r="26" spans="1:15" ht="12.75" customHeight="1" x14ac:dyDescent="0.25">
      <c r="A26" s="142">
        <v>1236</v>
      </c>
      <c r="B26" s="129">
        <v>13</v>
      </c>
      <c r="C26" s="144">
        <v>1238.33</v>
      </c>
      <c r="D26" s="298">
        <v>72</v>
      </c>
      <c r="E26" s="298"/>
      <c r="F26" s="142">
        <v>1240.67</v>
      </c>
      <c r="G26" s="132">
        <v>156</v>
      </c>
      <c r="H26" s="145"/>
      <c r="I26" s="149">
        <v>1241.08</v>
      </c>
      <c r="J26" s="147">
        <v>171</v>
      </c>
      <c r="K26" s="148">
        <v>1238.75</v>
      </c>
      <c r="L26" s="147">
        <v>87</v>
      </c>
      <c r="M26" s="148">
        <v>1236.42</v>
      </c>
      <c r="N26" s="303">
        <v>18</v>
      </c>
      <c r="O26" s="304"/>
    </row>
    <row r="27" spans="1:15" ht="12.75" customHeight="1" x14ac:dyDescent="0.25">
      <c r="A27" s="142">
        <v>1236.08</v>
      </c>
      <c r="B27" s="129">
        <v>14</v>
      </c>
      <c r="C27" s="144">
        <v>1238.42</v>
      </c>
      <c r="D27" s="298">
        <v>75</v>
      </c>
      <c r="E27" s="298"/>
      <c r="F27" s="142">
        <v>1240.75</v>
      </c>
      <c r="G27" s="132">
        <v>159</v>
      </c>
      <c r="H27" s="145"/>
      <c r="I27" s="149">
        <v>1241</v>
      </c>
      <c r="J27" s="147">
        <v>168</v>
      </c>
      <c r="K27" s="148">
        <v>1238.67</v>
      </c>
      <c r="L27" s="147">
        <v>84</v>
      </c>
      <c r="M27" s="148">
        <v>1236.33</v>
      </c>
      <c r="N27" s="303">
        <v>17</v>
      </c>
      <c r="O27" s="304"/>
    </row>
    <row r="28" spans="1:15" ht="12.75" customHeight="1" x14ac:dyDescent="0.25">
      <c r="A28" s="142">
        <v>1236.17</v>
      </c>
      <c r="B28" s="129">
        <v>15</v>
      </c>
      <c r="C28" s="144">
        <v>1238.5</v>
      </c>
      <c r="D28" s="298">
        <v>78</v>
      </c>
      <c r="E28" s="298"/>
      <c r="F28" s="142">
        <v>1240.83</v>
      </c>
      <c r="G28" s="132">
        <v>162</v>
      </c>
      <c r="H28" s="145"/>
      <c r="I28" s="149">
        <v>1240.92</v>
      </c>
      <c r="J28" s="147">
        <v>165</v>
      </c>
      <c r="K28" s="148">
        <v>1238.58</v>
      </c>
      <c r="L28" s="147">
        <v>81</v>
      </c>
      <c r="M28" s="148">
        <v>1236.25</v>
      </c>
      <c r="N28" s="303">
        <v>16</v>
      </c>
      <c r="O28" s="304"/>
    </row>
    <row r="29" spans="1:15" ht="12.75" customHeight="1" x14ac:dyDescent="0.25">
      <c r="A29" s="142">
        <v>1236.25</v>
      </c>
      <c r="B29" s="129">
        <v>16</v>
      </c>
      <c r="C29" s="144">
        <v>1238.58</v>
      </c>
      <c r="D29" s="298">
        <v>81</v>
      </c>
      <c r="E29" s="298"/>
      <c r="F29" s="142">
        <v>1240.92</v>
      </c>
      <c r="G29" s="132">
        <v>165</v>
      </c>
      <c r="H29" s="145"/>
      <c r="I29" s="149">
        <v>1240.83</v>
      </c>
      <c r="J29" s="147">
        <v>162</v>
      </c>
      <c r="K29" s="148">
        <v>1238.5</v>
      </c>
      <c r="L29" s="147">
        <v>78</v>
      </c>
      <c r="M29" s="148">
        <v>1236.17</v>
      </c>
      <c r="N29" s="303">
        <v>15</v>
      </c>
      <c r="O29" s="304"/>
    </row>
    <row r="30" spans="1:15" ht="12.75" customHeight="1" x14ac:dyDescent="0.25">
      <c r="A30" s="142">
        <v>1236.33</v>
      </c>
      <c r="B30" s="129">
        <v>17</v>
      </c>
      <c r="C30" s="144">
        <v>1238.67</v>
      </c>
      <c r="D30" s="298">
        <v>84</v>
      </c>
      <c r="E30" s="298"/>
      <c r="F30" s="142">
        <v>1241</v>
      </c>
      <c r="G30" s="132">
        <v>168</v>
      </c>
      <c r="H30" s="145"/>
      <c r="I30" s="149">
        <v>1240.75</v>
      </c>
      <c r="J30" s="147">
        <v>159</v>
      </c>
      <c r="K30" s="148">
        <v>1238.42</v>
      </c>
      <c r="L30" s="147">
        <v>75</v>
      </c>
      <c r="M30" s="148">
        <v>1236.08</v>
      </c>
      <c r="N30" s="303">
        <v>14</v>
      </c>
      <c r="O30" s="304"/>
    </row>
    <row r="31" spans="1:15" ht="12.75" customHeight="1" x14ac:dyDescent="0.25">
      <c r="A31" s="142">
        <v>1236.42</v>
      </c>
      <c r="B31" s="129">
        <v>18</v>
      </c>
      <c r="C31" s="144">
        <v>1238.75</v>
      </c>
      <c r="D31" s="298">
        <v>87</v>
      </c>
      <c r="E31" s="298"/>
      <c r="F31" s="142">
        <v>1241.08</v>
      </c>
      <c r="G31" s="132">
        <v>171</v>
      </c>
      <c r="H31" s="145"/>
      <c r="I31" s="149">
        <v>1240.67</v>
      </c>
      <c r="J31" s="147">
        <v>156</v>
      </c>
      <c r="K31" s="148">
        <v>1238.33</v>
      </c>
      <c r="L31" s="147">
        <v>72</v>
      </c>
      <c r="M31" s="148">
        <v>1236</v>
      </c>
      <c r="N31" s="303">
        <v>13</v>
      </c>
      <c r="O31" s="304"/>
    </row>
    <row r="32" spans="1:15" ht="12.75" customHeight="1" x14ac:dyDescent="0.25">
      <c r="A32" s="142">
        <v>1236.5</v>
      </c>
      <c r="B32" s="129">
        <v>19</v>
      </c>
      <c r="C32" s="144">
        <v>1238.83</v>
      </c>
      <c r="D32" s="298">
        <v>90</v>
      </c>
      <c r="E32" s="298"/>
      <c r="F32" s="142">
        <v>1241.17</v>
      </c>
      <c r="G32" s="132">
        <v>174</v>
      </c>
      <c r="H32" s="145"/>
      <c r="I32" s="149">
        <v>1240.58</v>
      </c>
      <c r="J32" s="147">
        <v>153</v>
      </c>
      <c r="K32" s="148">
        <v>1238.25</v>
      </c>
      <c r="L32" s="147">
        <v>69</v>
      </c>
      <c r="M32" s="148">
        <v>1235.92</v>
      </c>
      <c r="N32" s="303">
        <v>12</v>
      </c>
      <c r="O32" s="304"/>
    </row>
    <row r="33" spans="1:15" ht="12.75" customHeight="1" x14ac:dyDescent="0.25">
      <c r="A33" s="142">
        <v>1236.58</v>
      </c>
      <c r="B33" s="129">
        <v>20</v>
      </c>
      <c r="C33" s="144">
        <v>1238.92</v>
      </c>
      <c r="D33" s="298">
        <v>93</v>
      </c>
      <c r="E33" s="298"/>
      <c r="F33" s="142">
        <v>1241.25</v>
      </c>
      <c r="G33" s="132">
        <v>177</v>
      </c>
      <c r="H33" s="145"/>
      <c r="I33" s="149">
        <v>1240.5</v>
      </c>
      <c r="J33" s="147">
        <v>150</v>
      </c>
      <c r="K33" s="148">
        <v>1238.17</v>
      </c>
      <c r="L33" s="147">
        <v>66</v>
      </c>
      <c r="M33" s="148">
        <v>1235.83</v>
      </c>
      <c r="N33" s="303">
        <v>11</v>
      </c>
      <c r="O33" s="304"/>
    </row>
    <row r="34" spans="1:15" ht="12.75" customHeight="1" x14ac:dyDescent="0.25">
      <c r="A34" s="142">
        <v>1236.67</v>
      </c>
      <c r="B34" s="129">
        <v>21</v>
      </c>
      <c r="C34" s="144">
        <v>1239</v>
      </c>
      <c r="D34" s="298">
        <v>96</v>
      </c>
      <c r="E34" s="298"/>
      <c r="F34" s="142">
        <v>1241.33</v>
      </c>
      <c r="G34" s="132">
        <v>180</v>
      </c>
      <c r="H34" s="145"/>
      <c r="I34" s="149">
        <v>1240.42</v>
      </c>
      <c r="J34" s="147">
        <v>147</v>
      </c>
      <c r="K34" s="148">
        <v>1238.08</v>
      </c>
      <c r="L34" s="147">
        <v>63</v>
      </c>
      <c r="M34" s="148">
        <v>1235.75</v>
      </c>
      <c r="N34" s="303">
        <v>10</v>
      </c>
      <c r="O34" s="304"/>
    </row>
    <row r="35" spans="1:15" ht="12.75" customHeight="1" x14ac:dyDescent="0.25">
      <c r="A35" s="142">
        <v>1236.75</v>
      </c>
      <c r="B35" s="129">
        <v>22</v>
      </c>
      <c r="C35" s="144">
        <v>1239.08</v>
      </c>
      <c r="D35" s="298">
        <v>99</v>
      </c>
      <c r="E35" s="298"/>
      <c r="F35" s="142">
        <v>1241.42</v>
      </c>
      <c r="G35" s="132">
        <v>183</v>
      </c>
      <c r="H35" s="145"/>
      <c r="I35" s="149">
        <v>1240.33</v>
      </c>
      <c r="J35" s="147">
        <v>144</v>
      </c>
      <c r="K35" s="148">
        <v>1238</v>
      </c>
      <c r="L35" s="147">
        <v>60</v>
      </c>
      <c r="M35" s="148">
        <v>1235.67</v>
      </c>
      <c r="N35" s="303">
        <v>9</v>
      </c>
      <c r="O35" s="304"/>
    </row>
    <row r="36" spans="1:15" ht="12.75" customHeight="1" x14ac:dyDescent="0.25">
      <c r="A36" s="142">
        <v>1236.83</v>
      </c>
      <c r="B36" s="129">
        <v>23</v>
      </c>
      <c r="C36" s="144">
        <v>1239.17</v>
      </c>
      <c r="D36" s="298">
        <v>102</v>
      </c>
      <c r="E36" s="298"/>
      <c r="F36" s="142">
        <v>1241.5</v>
      </c>
      <c r="G36" s="132">
        <v>186</v>
      </c>
      <c r="H36" s="145"/>
      <c r="I36" s="149">
        <v>1240.25</v>
      </c>
      <c r="J36" s="147">
        <v>141</v>
      </c>
      <c r="K36" s="148">
        <v>1237.92</v>
      </c>
      <c r="L36" s="147">
        <v>57</v>
      </c>
      <c r="M36" s="148">
        <v>1235.58</v>
      </c>
      <c r="N36" s="303">
        <v>8</v>
      </c>
      <c r="O36" s="304"/>
    </row>
    <row r="37" spans="1:15" ht="12.75" customHeight="1" x14ac:dyDescent="0.25">
      <c r="A37" s="142">
        <v>1236.92</v>
      </c>
      <c r="B37" s="129">
        <v>24</v>
      </c>
      <c r="C37" s="144">
        <v>1239.25</v>
      </c>
      <c r="D37" s="298">
        <v>105</v>
      </c>
      <c r="E37" s="298"/>
      <c r="F37" s="142">
        <v>1241.58</v>
      </c>
      <c r="G37" s="132">
        <v>189</v>
      </c>
      <c r="H37" s="145"/>
      <c r="I37" s="149">
        <v>1240.17</v>
      </c>
      <c r="J37" s="147">
        <v>138</v>
      </c>
      <c r="K37" s="148">
        <v>1237.83</v>
      </c>
      <c r="L37" s="147">
        <v>54</v>
      </c>
      <c r="M37" s="148">
        <v>1235.5</v>
      </c>
      <c r="N37" s="303">
        <v>7</v>
      </c>
      <c r="O37" s="304"/>
    </row>
    <row r="38" spans="1:15" ht="12.75" customHeight="1" x14ac:dyDescent="0.25">
      <c r="A38" s="142">
        <v>1237</v>
      </c>
      <c r="B38" s="129">
        <v>25</v>
      </c>
      <c r="C38" s="144">
        <v>1239.33</v>
      </c>
      <c r="D38" s="298">
        <v>108</v>
      </c>
      <c r="E38" s="298"/>
      <c r="F38" s="142">
        <v>1241.67</v>
      </c>
      <c r="G38" s="132">
        <v>192</v>
      </c>
      <c r="H38" s="145"/>
      <c r="I38" s="149">
        <v>1240.08</v>
      </c>
      <c r="J38" s="147">
        <v>135</v>
      </c>
      <c r="K38" s="148">
        <v>1237.75</v>
      </c>
      <c r="L38" s="147">
        <v>51</v>
      </c>
      <c r="M38" s="148">
        <v>1235.49</v>
      </c>
      <c r="N38" s="303">
        <v>6</v>
      </c>
      <c r="O38" s="304"/>
    </row>
    <row r="39" spans="1:15" ht="12.75" customHeight="1" x14ac:dyDescent="0.25">
      <c r="A39" s="142">
        <v>1237.08</v>
      </c>
      <c r="B39" s="129">
        <v>27</v>
      </c>
      <c r="C39" s="144">
        <v>1239.42</v>
      </c>
      <c r="D39" s="298">
        <v>111</v>
      </c>
      <c r="E39" s="298"/>
      <c r="F39" s="142">
        <v>1241.75</v>
      </c>
      <c r="G39" s="132">
        <v>195</v>
      </c>
      <c r="H39" s="145"/>
      <c r="I39" s="149">
        <v>1240</v>
      </c>
      <c r="J39" s="147">
        <v>132</v>
      </c>
      <c r="K39" s="148">
        <v>1237.67</v>
      </c>
      <c r="L39" s="147">
        <v>48</v>
      </c>
      <c r="M39" s="148">
        <v>1235</v>
      </c>
      <c r="N39" s="299" t="s">
        <v>81</v>
      </c>
      <c r="O39" s="300"/>
    </row>
    <row r="40" spans="1:15" ht="12.75" customHeight="1" x14ac:dyDescent="0.25">
      <c r="A40" s="142">
        <v>1237.17</v>
      </c>
      <c r="B40" s="129">
        <v>30</v>
      </c>
      <c r="C40" s="144">
        <v>1239.5</v>
      </c>
      <c r="D40" s="298">
        <v>114</v>
      </c>
      <c r="E40" s="298"/>
      <c r="F40" s="142">
        <v>1241.83</v>
      </c>
      <c r="G40" s="132">
        <v>198</v>
      </c>
      <c r="H40" s="145"/>
      <c r="I40" s="149">
        <v>1239.92</v>
      </c>
      <c r="J40" s="147">
        <v>129</v>
      </c>
      <c r="K40" s="148">
        <v>1237.58</v>
      </c>
      <c r="L40" s="147">
        <v>45</v>
      </c>
      <c r="M40" s="148">
        <v>1234.5</v>
      </c>
      <c r="N40" s="299" t="s">
        <v>82</v>
      </c>
      <c r="O40" s="300"/>
    </row>
    <row r="41" spans="1:15" ht="12.75" customHeight="1" x14ac:dyDescent="0.25">
      <c r="A41" s="142">
        <v>1237.25</v>
      </c>
      <c r="B41" s="129">
        <v>33</v>
      </c>
      <c r="C41" s="144">
        <v>1239.58</v>
      </c>
      <c r="D41" s="298">
        <v>117</v>
      </c>
      <c r="E41" s="298"/>
      <c r="F41" s="142">
        <v>1241.92</v>
      </c>
      <c r="G41" s="132">
        <v>201</v>
      </c>
      <c r="H41" s="145"/>
      <c r="I41" s="149">
        <v>1239.83</v>
      </c>
      <c r="J41" s="147">
        <v>126</v>
      </c>
      <c r="K41" s="148">
        <v>1237.5</v>
      </c>
      <c r="L41" s="147">
        <v>42</v>
      </c>
      <c r="M41" s="148">
        <v>1234</v>
      </c>
      <c r="N41" s="299" t="s">
        <v>83</v>
      </c>
      <c r="O41" s="300"/>
    </row>
    <row r="42" spans="1:15" ht="12.75" customHeight="1" x14ac:dyDescent="0.25">
      <c r="A42" s="142">
        <v>1237.33</v>
      </c>
      <c r="B42" s="129">
        <v>36</v>
      </c>
      <c r="C42" s="144">
        <v>1239.67</v>
      </c>
      <c r="D42" s="298">
        <v>120</v>
      </c>
      <c r="E42" s="298"/>
      <c r="F42" s="142">
        <v>1242</v>
      </c>
      <c r="G42" s="132">
        <v>204</v>
      </c>
      <c r="H42" s="145"/>
      <c r="I42" s="149">
        <v>1239.75</v>
      </c>
      <c r="J42" s="147">
        <v>123</v>
      </c>
      <c r="K42" s="148">
        <v>1237.42</v>
      </c>
      <c r="L42" s="147">
        <v>39</v>
      </c>
      <c r="M42" s="148">
        <v>1233.5</v>
      </c>
      <c r="N42" s="299" t="s">
        <v>84</v>
      </c>
      <c r="O42" s="300"/>
    </row>
    <row r="43" spans="1:15" ht="12.75" customHeight="1" x14ac:dyDescent="0.25">
      <c r="A43"/>
      <c r="B43"/>
      <c r="C43" s="150"/>
      <c r="D43"/>
      <c r="E43"/>
      <c r="F43"/>
      <c r="G43"/>
      <c r="H43"/>
      <c r="I43"/>
      <c r="M43" s="148">
        <v>1232.5</v>
      </c>
      <c r="N43" s="301" t="s">
        <v>85</v>
      </c>
      <c r="O43" s="302"/>
    </row>
    <row r="44" spans="1:15" ht="15" customHeight="1" x14ac:dyDescent="0.25">
      <c r="A44" s="93">
        <v>1232.5</v>
      </c>
      <c r="B44" s="151" t="s">
        <v>86</v>
      </c>
      <c r="C44" s="152" t="s">
        <v>87</v>
      </c>
      <c r="D44"/>
      <c r="E44"/>
      <c r="F44"/>
      <c r="G44"/>
      <c r="H44"/>
      <c r="I44"/>
    </row>
    <row r="45" spans="1:15" ht="15" customHeight="1" x14ac:dyDescent="0.25">
      <c r="A45" s="93">
        <v>1232.6300000000001</v>
      </c>
      <c r="B45" s="153" t="s">
        <v>88</v>
      </c>
      <c r="C45" s="150"/>
      <c r="D45"/>
      <c r="E45"/>
      <c r="F45"/>
      <c r="G45"/>
      <c r="H45"/>
      <c r="I45"/>
    </row>
    <row r="46" spans="1:15" ht="15" customHeight="1" x14ac:dyDescent="0.25">
      <c r="A46" s="93">
        <v>1232.76</v>
      </c>
      <c r="B46" s="154" t="s">
        <v>89</v>
      </c>
      <c r="C46" s="150"/>
      <c r="D46"/>
      <c r="E46"/>
      <c r="F46"/>
      <c r="G46"/>
      <c r="H46"/>
      <c r="I46"/>
    </row>
    <row r="47" spans="1:15" x14ac:dyDescent="0.25">
      <c r="A47" s="129">
        <v>1232.8900000000001</v>
      </c>
      <c r="B47" s="155" t="s">
        <v>90</v>
      </c>
    </row>
  </sheetData>
  <mergeCells count="85">
    <mergeCell ref="A11:G11"/>
    <mergeCell ref="I11:O11"/>
    <mergeCell ref="C1:O2"/>
    <mergeCell ref="C3:G3"/>
    <mergeCell ref="I3:L3"/>
    <mergeCell ref="C4:G4"/>
    <mergeCell ref="I4:L4"/>
    <mergeCell ref="C5:G5"/>
    <mergeCell ref="I5:L5"/>
    <mergeCell ref="C6:G6"/>
    <mergeCell ref="I6:L6"/>
    <mergeCell ref="C7:G7"/>
    <mergeCell ref="I7:L7"/>
    <mergeCell ref="A9:O10"/>
    <mergeCell ref="A12:G12"/>
    <mergeCell ref="I12:O12"/>
    <mergeCell ref="A13:A14"/>
    <mergeCell ref="B13:B14"/>
    <mergeCell ref="C13:C14"/>
    <mergeCell ref="D13:E14"/>
    <mergeCell ref="F13:F14"/>
    <mergeCell ref="G13:G14"/>
    <mergeCell ref="I13:I14"/>
    <mergeCell ref="J13:J14"/>
    <mergeCell ref="K13:K14"/>
    <mergeCell ref="L13:L14"/>
    <mergeCell ref="M13:M14"/>
    <mergeCell ref="N13:O14"/>
    <mergeCell ref="D15:E15"/>
    <mergeCell ref="N15:O15"/>
    <mergeCell ref="D16:E16"/>
    <mergeCell ref="N16:O16"/>
    <mergeCell ref="D17:E17"/>
    <mergeCell ref="N17:O17"/>
    <mergeCell ref="D18:E18"/>
    <mergeCell ref="N18:O18"/>
    <mergeCell ref="D19:E19"/>
    <mergeCell ref="N19:O19"/>
    <mergeCell ref="D20:E20"/>
    <mergeCell ref="N20:O20"/>
    <mergeCell ref="D21:E21"/>
    <mergeCell ref="N21:O21"/>
    <mergeCell ref="D22:E22"/>
    <mergeCell ref="N22:O22"/>
    <mergeCell ref="D23:E23"/>
    <mergeCell ref="N23:O23"/>
    <mergeCell ref="D24:E24"/>
    <mergeCell ref="N24:O24"/>
    <mergeCell ref="D25:E25"/>
    <mergeCell ref="N25:O25"/>
    <mergeCell ref="D26:E26"/>
    <mergeCell ref="N26:O26"/>
    <mergeCell ref="D27:E27"/>
    <mergeCell ref="N27:O27"/>
    <mergeCell ref="D28:E28"/>
    <mergeCell ref="N28:O28"/>
    <mergeCell ref="D29:E29"/>
    <mergeCell ref="N29:O29"/>
    <mergeCell ref="D30:E30"/>
    <mergeCell ref="N30:O30"/>
    <mergeCell ref="D31:E31"/>
    <mergeCell ref="N31:O31"/>
    <mergeCell ref="D32:E32"/>
    <mergeCell ref="N32:O32"/>
    <mergeCell ref="D33:E33"/>
    <mergeCell ref="N33:O33"/>
    <mergeCell ref="D34:E34"/>
    <mergeCell ref="N34:O34"/>
    <mergeCell ref="D35:E35"/>
    <mergeCell ref="N35:O35"/>
    <mergeCell ref="D36:E36"/>
    <mergeCell ref="N36:O36"/>
    <mergeCell ref="D37:E37"/>
    <mergeCell ref="N37:O37"/>
    <mergeCell ref="D38:E38"/>
    <mergeCell ref="N38:O38"/>
    <mergeCell ref="D39:E39"/>
    <mergeCell ref="N39:O39"/>
    <mergeCell ref="N43:O43"/>
    <mergeCell ref="D40:E40"/>
    <mergeCell ref="N40:O40"/>
    <mergeCell ref="D41:E41"/>
    <mergeCell ref="N41:O41"/>
    <mergeCell ref="D42:E42"/>
    <mergeCell ref="N42:O4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088D-0926-4D02-BE95-51997D739D67}">
  <sheetPr>
    <tabColor theme="8" tint="0.59999389629810485"/>
  </sheetPr>
  <dimension ref="A1:O45"/>
  <sheetViews>
    <sheetView topLeftCell="B3" zoomScale="85" zoomScaleNormal="85" workbookViewId="0">
      <selection activeCell="C21" sqref="C21"/>
    </sheetView>
  </sheetViews>
  <sheetFormatPr defaultRowHeight="15" x14ac:dyDescent="0.25"/>
  <cols>
    <col min="2" max="2" width="19.140625" customWidth="1"/>
    <col min="3" max="3" width="20" customWidth="1"/>
    <col min="4" max="8" width="9.28515625" bestFit="1" customWidth="1"/>
    <col min="9" max="9" width="12.5703125" customWidth="1"/>
    <col min="10" max="10" width="16.5703125" customWidth="1"/>
    <col min="11" max="11" width="12.7109375" customWidth="1"/>
    <col min="12" max="12" width="17.42578125" customWidth="1"/>
    <col min="13" max="13" width="20.42578125" customWidth="1"/>
    <col min="14" max="14" width="17.28515625" customWidth="1"/>
    <col min="15" max="15" width="24.140625" customWidth="1"/>
    <col min="258" max="258" width="19.140625" customWidth="1"/>
    <col min="259" max="259" width="20" customWidth="1"/>
    <col min="266" max="267" width="12.7109375" customWidth="1"/>
    <col min="268" max="268" width="16.140625" customWidth="1"/>
    <col min="269" max="269" width="18.28515625" customWidth="1"/>
    <col min="514" max="514" width="19.140625" customWidth="1"/>
    <col min="515" max="515" width="20" customWidth="1"/>
    <col min="522" max="523" width="12.7109375" customWidth="1"/>
    <col min="524" max="524" width="16.140625" customWidth="1"/>
    <col min="525" max="525" width="18.28515625" customWidth="1"/>
    <col min="770" max="770" width="19.140625" customWidth="1"/>
    <col min="771" max="771" width="20" customWidth="1"/>
    <col min="778" max="779" width="12.7109375" customWidth="1"/>
    <col min="780" max="780" width="16.140625" customWidth="1"/>
    <col min="781" max="781" width="18.28515625" customWidth="1"/>
    <col min="1026" max="1026" width="19.140625" customWidth="1"/>
    <col min="1027" max="1027" width="20" customWidth="1"/>
    <col min="1034" max="1035" width="12.7109375" customWidth="1"/>
    <col min="1036" max="1036" width="16.140625" customWidth="1"/>
    <col min="1037" max="1037" width="18.28515625" customWidth="1"/>
    <col min="1282" max="1282" width="19.140625" customWidth="1"/>
    <col min="1283" max="1283" width="20" customWidth="1"/>
    <col min="1290" max="1291" width="12.7109375" customWidth="1"/>
    <col min="1292" max="1292" width="16.140625" customWidth="1"/>
    <col min="1293" max="1293" width="18.28515625" customWidth="1"/>
    <col min="1538" max="1538" width="19.140625" customWidth="1"/>
    <col min="1539" max="1539" width="20" customWidth="1"/>
    <col min="1546" max="1547" width="12.7109375" customWidth="1"/>
    <col min="1548" max="1548" width="16.140625" customWidth="1"/>
    <col min="1549" max="1549" width="18.28515625" customWidth="1"/>
    <col min="1794" max="1794" width="19.140625" customWidth="1"/>
    <col min="1795" max="1795" width="20" customWidth="1"/>
    <col min="1802" max="1803" width="12.7109375" customWidth="1"/>
    <col min="1804" max="1804" width="16.140625" customWidth="1"/>
    <col min="1805" max="1805" width="18.28515625" customWidth="1"/>
    <col min="2050" max="2050" width="19.140625" customWidth="1"/>
    <col min="2051" max="2051" width="20" customWidth="1"/>
    <col min="2058" max="2059" width="12.7109375" customWidth="1"/>
    <col min="2060" max="2060" width="16.140625" customWidth="1"/>
    <col min="2061" max="2061" width="18.28515625" customWidth="1"/>
    <col min="2306" max="2306" width="19.140625" customWidth="1"/>
    <col min="2307" max="2307" width="20" customWidth="1"/>
    <col min="2314" max="2315" width="12.7109375" customWidth="1"/>
    <col min="2316" max="2316" width="16.140625" customWidth="1"/>
    <col min="2317" max="2317" width="18.28515625" customWidth="1"/>
    <col min="2562" max="2562" width="19.140625" customWidth="1"/>
    <col min="2563" max="2563" width="20" customWidth="1"/>
    <col min="2570" max="2571" width="12.7109375" customWidth="1"/>
    <col min="2572" max="2572" width="16.140625" customWidth="1"/>
    <col min="2573" max="2573" width="18.28515625" customWidth="1"/>
    <col min="2818" max="2818" width="19.140625" customWidth="1"/>
    <col min="2819" max="2819" width="20" customWidth="1"/>
    <col min="2826" max="2827" width="12.7109375" customWidth="1"/>
    <col min="2828" max="2828" width="16.140625" customWidth="1"/>
    <col min="2829" max="2829" width="18.28515625" customWidth="1"/>
    <col min="3074" max="3074" width="19.140625" customWidth="1"/>
    <col min="3075" max="3075" width="20" customWidth="1"/>
    <col min="3082" max="3083" width="12.7109375" customWidth="1"/>
    <col min="3084" max="3084" width="16.140625" customWidth="1"/>
    <col min="3085" max="3085" width="18.28515625" customWidth="1"/>
    <col min="3330" max="3330" width="19.140625" customWidth="1"/>
    <col min="3331" max="3331" width="20" customWidth="1"/>
    <col min="3338" max="3339" width="12.7109375" customWidth="1"/>
    <col min="3340" max="3340" width="16.140625" customWidth="1"/>
    <col min="3341" max="3341" width="18.28515625" customWidth="1"/>
    <col min="3586" max="3586" width="19.140625" customWidth="1"/>
    <col min="3587" max="3587" width="20" customWidth="1"/>
    <col min="3594" max="3595" width="12.7109375" customWidth="1"/>
    <col min="3596" max="3596" width="16.140625" customWidth="1"/>
    <col min="3597" max="3597" width="18.28515625" customWidth="1"/>
    <col min="3842" max="3842" width="19.140625" customWidth="1"/>
    <col min="3843" max="3843" width="20" customWidth="1"/>
    <col min="3850" max="3851" width="12.7109375" customWidth="1"/>
    <col min="3852" max="3852" width="16.140625" customWidth="1"/>
    <col min="3853" max="3853" width="18.28515625" customWidth="1"/>
    <col min="4098" max="4098" width="19.140625" customWidth="1"/>
    <col min="4099" max="4099" width="20" customWidth="1"/>
    <col min="4106" max="4107" width="12.7109375" customWidth="1"/>
    <col min="4108" max="4108" width="16.140625" customWidth="1"/>
    <col min="4109" max="4109" width="18.28515625" customWidth="1"/>
    <col min="4354" max="4354" width="19.140625" customWidth="1"/>
    <col min="4355" max="4355" width="20" customWidth="1"/>
    <col min="4362" max="4363" width="12.7109375" customWidth="1"/>
    <col min="4364" max="4364" width="16.140625" customWidth="1"/>
    <col min="4365" max="4365" width="18.28515625" customWidth="1"/>
    <col min="4610" max="4610" width="19.140625" customWidth="1"/>
    <col min="4611" max="4611" width="20" customWidth="1"/>
    <col min="4618" max="4619" width="12.7109375" customWidth="1"/>
    <col min="4620" max="4620" width="16.140625" customWidth="1"/>
    <col min="4621" max="4621" width="18.28515625" customWidth="1"/>
    <col min="4866" max="4866" width="19.140625" customWidth="1"/>
    <col min="4867" max="4867" width="20" customWidth="1"/>
    <col min="4874" max="4875" width="12.7109375" customWidth="1"/>
    <col min="4876" max="4876" width="16.140625" customWidth="1"/>
    <col min="4877" max="4877" width="18.28515625" customWidth="1"/>
    <col min="5122" max="5122" width="19.140625" customWidth="1"/>
    <col min="5123" max="5123" width="20" customWidth="1"/>
    <col min="5130" max="5131" width="12.7109375" customWidth="1"/>
    <col min="5132" max="5132" width="16.140625" customWidth="1"/>
    <col min="5133" max="5133" width="18.28515625" customWidth="1"/>
    <col min="5378" max="5378" width="19.140625" customWidth="1"/>
    <col min="5379" max="5379" width="20" customWidth="1"/>
    <col min="5386" max="5387" width="12.7109375" customWidth="1"/>
    <col min="5388" max="5388" width="16.140625" customWidth="1"/>
    <col min="5389" max="5389" width="18.28515625" customWidth="1"/>
    <col min="5634" max="5634" width="19.140625" customWidth="1"/>
    <col min="5635" max="5635" width="20" customWidth="1"/>
    <col min="5642" max="5643" width="12.7109375" customWidth="1"/>
    <col min="5644" max="5644" width="16.140625" customWidth="1"/>
    <col min="5645" max="5645" width="18.28515625" customWidth="1"/>
    <col min="5890" max="5890" width="19.140625" customWidth="1"/>
    <col min="5891" max="5891" width="20" customWidth="1"/>
    <col min="5898" max="5899" width="12.7109375" customWidth="1"/>
    <col min="5900" max="5900" width="16.140625" customWidth="1"/>
    <col min="5901" max="5901" width="18.28515625" customWidth="1"/>
    <col min="6146" max="6146" width="19.140625" customWidth="1"/>
    <col min="6147" max="6147" width="20" customWidth="1"/>
    <col min="6154" max="6155" width="12.7109375" customWidth="1"/>
    <col min="6156" max="6156" width="16.140625" customWidth="1"/>
    <col min="6157" max="6157" width="18.28515625" customWidth="1"/>
    <col min="6402" max="6402" width="19.140625" customWidth="1"/>
    <col min="6403" max="6403" width="20" customWidth="1"/>
    <col min="6410" max="6411" width="12.7109375" customWidth="1"/>
    <col min="6412" max="6412" width="16.140625" customWidth="1"/>
    <col min="6413" max="6413" width="18.28515625" customWidth="1"/>
    <col min="6658" max="6658" width="19.140625" customWidth="1"/>
    <col min="6659" max="6659" width="20" customWidth="1"/>
    <col min="6666" max="6667" width="12.7109375" customWidth="1"/>
    <col min="6668" max="6668" width="16.140625" customWidth="1"/>
    <col min="6669" max="6669" width="18.28515625" customWidth="1"/>
    <col min="6914" max="6914" width="19.140625" customWidth="1"/>
    <col min="6915" max="6915" width="20" customWidth="1"/>
    <col min="6922" max="6923" width="12.7109375" customWidth="1"/>
    <col min="6924" max="6924" width="16.140625" customWidth="1"/>
    <col min="6925" max="6925" width="18.28515625" customWidth="1"/>
    <col min="7170" max="7170" width="19.140625" customWidth="1"/>
    <col min="7171" max="7171" width="20" customWidth="1"/>
    <col min="7178" max="7179" width="12.7109375" customWidth="1"/>
    <col min="7180" max="7180" width="16.140625" customWidth="1"/>
    <col min="7181" max="7181" width="18.28515625" customWidth="1"/>
    <col min="7426" max="7426" width="19.140625" customWidth="1"/>
    <col min="7427" max="7427" width="20" customWidth="1"/>
    <col min="7434" max="7435" width="12.7109375" customWidth="1"/>
    <col min="7436" max="7436" width="16.140625" customWidth="1"/>
    <col min="7437" max="7437" width="18.28515625" customWidth="1"/>
    <col min="7682" max="7682" width="19.140625" customWidth="1"/>
    <col min="7683" max="7683" width="20" customWidth="1"/>
    <col min="7690" max="7691" width="12.7109375" customWidth="1"/>
    <col min="7692" max="7692" width="16.140625" customWidth="1"/>
    <col min="7693" max="7693" width="18.28515625" customWidth="1"/>
    <col min="7938" max="7938" width="19.140625" customWidth="1"/>
    <col min="7939" max="7939" width="20" customWidth="1"/>
    <col min="7946" max="7947" width="12.7109375" customWidth="1"/>
    <col min="7948" max="7948" width="16.140625" customWidth="1"/>
    <col min="7949" max="7949" width="18.28515625" customWidth="1"/>
    <col min="8194" max="8194" width="19.140625" customWidth="1"/>
    <col min="8195" max="8195" width="20" customWidth="1"/>
    <col min="8202" max="8203" width="12.7109375" customWidth="1"/>
    <col min="8204" max="8204" width="16.140625" customWidth="1"/>
    <col min="8205" max="8205" width="18.28515625" customWidth="1"/>
    <col min="8450" max="8450" width="19.140625" customWidth="1"/>
    <col min="8451" max="8451" width="20" customWidth="1"/>
    <col min="8458" max="8459" width="12.7109375" customWidth="1"/>
    <col min="8460" max="8460" width="16.140625" customWidth="1"/>
    <col min="8461" max="8461" width="18.28515625" customWidth="1"/>
    <col min="8706" max="8706" width="19.140625" customWidth="1"/>
    <col min="8707" max="8707" width="20" customWidth="1"/>
    <col min="8714" max="8715" width="12.7109375" customWidth="1"/>
    <col min="8716" max="8716" width="16.140625" customWidth="1"/>
    <col min="8717" max="8717" width="18.28515625" customWidth="1"/>
    <col min="8962" max="8962" width="19.140625" customWidth="1"/>
    <col min="8963" max="8963" width="20" customWidth="1"/>
    <col min="8970" max="8971" width="12.7109375" customWidth="1"/>
    <col min="8972" max="8972" width="16.140625" customWidth="1"/>
    <col min="8973" max="8973" width="18.28515625" customWidth="1"/>
    <col min="9218" max="9218" width="19.140625" customWidth="1"/>
    <col min="9219" max="9219" width="20" customWidth="1"/>
    <col min="9226" max="9227" width="12.7109375" customWidth="1"/>
    <col min="9228" max="9228" width="16.140625" customWidth="1"/>
    <col min="9229" max="9229" width="18.28515625" customWidth="1"/>
    <col min="9474" max="9474" width="19.140625" customWidth="1"/>
    <col min="9475" max="9475" width="20" customWidth="1"/>
    <col min="9482" max="9483" width="12.7109375" customWidth="1"/>
    <col min="9484" max="9484" width="16.140625" customWidth="1"/>
    <col min="9485" max="9485" width="18.28515625" customWidth="1"/>
    <col min="9730" max="9730" width="19.140625" customWidth="1"/>
    <col min="9731" max="9731" width="20" customWidth="1"/>
    <col min="9738" max="9739" width="12.7109375" customWidth="1"/>
    <col min="9740" max="9740" width="16.140625" customWidth="1"/>
    <col min="9741" max="9741" width="18.28515625" customWidth="1"/>
    <col min="9986" max="9986" width="19.140625" customWidth="1"/>
    <col min="9987" max="9987" width="20" customWidth="1"/>
    <col min="9994" max="9995" width="12.7109375" customWidth="1"/>
    <col min="9996" max="9996" width="16.140625" customWidth="1"/>
    <col min="9997" max="9997" width="18.28515625" customWidth="1"/>
    <col min="10242" max="10242" width="19.140625" customWidth="1"/>
    <col min="10243" max="10243" width="20" customWidth="1"/>
    <col min="10250" max="10251" width="12.7109375" customWidth="1"/>
    <col min="10252" max="10252" width="16.140625" customWidth="1"/>
    <col min="10253" max="10253" width="18.28515625" customWidth="1"/>
    <col min="10498" max="10498" width="19.140625" customWidth="1"/>
    <col min="10499" max="10499" width="20" customWidth="1"/>
    <col min="10506" max="10507" width="12.7109375" customWidth="1"/>
    <col min="10508" max="10508" width="16.140625" customWidth="1"/>
    <col min="10509" max="10509" width="18.28515625" customWidth="1"/>
    <col min="10754" max="10754" width="19.140625" customWidth="1"/>
    <col min="10755" max="10755" width="20" customWidth="1"/>
    <col min="10762" max="10763" width="12.7109375" customWidth="1"/>
    <col min="10764" max="10764" width="16.140625" customWidth="1"/>
    <col min="10765" max="10765" width="18.28515625" customWidth="1"/>
    <col min="11010" max="11010" width="19.140625" customWidth="1"/>
    <col min="11011" max="11011" width="20" customWidth="1"/>
    <col min="11018" max="11019" width="12.7109375" customWidth="1"/>
    <col min="11020" max="11020" width="16.140625" customWidth="1"/>
    <col min="11021" max="11021" width="18.28515625" customWidth="1"/>
    <col min="11266" max="11266" width="19.140625" customWidth="1"/>
    <col min="11267" max="11267" width="20" customWidth="1"/>
    <col min="11274" max="11275" width="12.7109375" customWidth="1"/>
    <col min="11276" max="11276" width="16.140625" customWidth="1"/>
    <col min="11277" max="11277" width="18.28515625" customWidth="1"/>
    <col min="11522" max="11522" width="19.140625" customWidth="1"/>
    <col min="11523" max="11523" width="20" customWidth="1"/>
    <col min="11530" max="11531" width="12.7109375" customWidth="1"/>
    <col min="11532" max="11532" width="16.140625" customWidth="1"/>
    <col min="11533" max="11533" width="18.28515625" customWidth="1"/>
    <col min="11778" max="11778" width="19.140625" customWidth="1"/>
    <col min="11779" max="11779" width="20" customWidth="1"/>
    <col min="11786" max="11787" width="12.7109375" customWidth="1"/>
    <col min="11788" max="11788" width="16.140625" customWidth="1"/>
    <col min="11789" max="11789" width="18.28515625" customWidth="1"/>
    <col min="12034" max="12034" width="19.140625" customWidth="1"/>
    <col min="12035" max="12035" width="20" customWidth="1"/>
    <col min="12042" max="12043" width="12.7109375" customWidth="1"/>
    <col min="12044" max="12044" width="16.140625" customWidth="1"/>
    <col min="12045" max="12045" width="18.28515625" customWidth="1"/>
    <col min="12290" max="12290" width="19.140625" customWidth="1"/>
    <col min="12291" max="12291" width="20" customWidth="1"/>
    <col min="12298" max="12299" width="12.7109375" customWidth="1"/>
    <col min="12300" max="12300" width="16.140625" customWidth="1"/>
    <col min="12301" max="12301" width="18.28515625" customWidth="1"/>
    <col min="12546" max="12546" width="19.140625" customWidth="1"/>
    <col min="12547" max="12547" width="20" customWidth="1"/>
    <col min="12554" max="12555" width="12.7109375" customWidth="1"/>
    <col min="12556" max="12556" width="16.140625" customWidth="1"/>
    <col min="12557" max="12557" width="18.28515625" customWidth="1"/>
    <col min="12802" max="12802" width="19.140625" customWidth="1"/>
    <col min="12803" max="12803" width="20" customWidth="1"/>
    <col min="12810" max="12811" width="12.7109375" customWidth="1"/>
    <col min="12812" max="12812" width="16.140625" customWidth="1"/>
    <col min="12813" max="12813" width="18.28515625" customWidth="1"/>
    <col min="13058" max="13058" width="19.140625" customWidth="1"/>
    <col min="13059" max="13059" width="20" customWidth="1"/>
    <col min="13066" max="13067" width="12.7109375" customWidth="1"/>
    <col min="13068" max="13068" width="16.140625" customWidth="1"/>
    <col min="13069" max="13069" width="18.28515625" customWidth="1"/>
    <col min="13314" max="13314" width="19.140625" customWidth="1"/>
    <col min="13315" max="13315" width="20" customWidth="1"/>
    <col min="13322" max="13323" width="12.7109375" customWidth="1"/>
    <col min="13324" max="13324" width="16.140625" customWidth="1"/>
    <col min="13325" max="13325" width="18.28515625" customWidth="1"/>
    <col min="13570" max="13570" width="19.140625" customWidth="1"/>
    <col min="13571" max="13571" width="20" customWidth="1"/>
    <col min="13578" max="13579" width="12.7109375" customWidth="1"/>
    <col min="13580" max="13580" width="16.140625" customWidth="1"/>
    <col min="13581" max="13581" width="18.28515625" customWidth="1"/>
    <col min="13826" max="13826" width="19.140625" customWidth="1"/>
    <col min="13827" max="13827" width="20" customWidth="1"/>
    <col min="13834" max="13835" width="12.7109375" customWidth="1"/>
    <col min="13836" max="13836" width="16.140625" customWidth="1"/>
    <col min="13837" max="13837" width="18.28515625" customWidth="1"/>
    <col min="14082" max="14082" width="19.140625" customWidth="1"/>
    <col min="14083" max="14083" width="20" customWidth="1"/>
    <col min="14090" max="14091" width="12.7109375" customWidth="1"/>
    <col min="14092" max="14092" width="16.140625" customWidth="1"/>
    <col min="14093" max="14093" width="18.28515625" customWidth="1"/>
    <col min="14338" max="14338" width="19.140625" customWidth="1"/>
    <col min="14339" max="14339" width="20" customWidth="1"/>
    <col min="14346" max="14347" width="12.7109375" customWidth="1"/>
    <col min="14348" max="14348" width="16.140625" customWidth="1"/>
    <col min="14349" max="14349" width="18.28515625" customWidth="1"/>
    <col min="14594" max="14594" width="19.140625" customWidth="1"/>
    <col min="14595" max="14595" width="20" customWidth="1"/>
    <col min="14602" max="14603" width="12.7109375" customWidth="1"/>
    <col min="14604" max="14604" width="16.140625" customWidth="1"/>
    <col min="14605" max="14605" width="18.28515625" customWidth="1"/>
    <col min="14850" max="14850" width="19.140625" customWidth="1"/>
    <col min="14851" max="14851" width="20" customWidth="1"/>
    <col min="14858" max="14859" width="12.7109375" customWidth="1"/>
    <col min="14860" max="14860" width="16.140625" customWidth="1"/>
    <col min="14861" max="14861" width="18.28515625" customWidth="1"/>
    <col min="15106" max="15106" width="19.140625" customWidth="1"/>
    <col min="15107" max="15107" width="20" customWidth="1"/>
    <col min="15114" max="15115" width="12.7109375" customWidth="1"/>
    <col min="15116" max="15116" width="16.140625" customWidth="1"/>
    <col min="15117" max="15117" width="18.28515625" customWidth="1"/>
    <col min="15362" max="15362" width="19.140625" customWidth="1"/>
    <col min="15363" max="15363" width="20" customWidth="1"/>
    <col min="15370" max="15371" width="12.7109375" customWidth="1"/>
    <col min="15372" max="15372" width="16.140625" customWidth="1"/>
    <col min="15373" max="15373" width="18.28515625" customWidth="1"/>
    <col min="15618" max="15618" width="19.140625" customWidth="1"/>
    <col min="15619" max="15619" width="20" customWidth="1"/>
    <col min="15626" max="15627" width="12.7109375" customWidth="1"/>
    <col min="15628" max="15628" width="16.140625" customWidth="1"/>
    <col min="15629" max="15629" width="18.28515625" customWidth="1"/>
    <col min="15874" max="15874" width="19.140625" customWidth="1"/>
    <col min="15875" max="15875" width="20" customWidth="1"/>
    <col min="15882" max="15883" width="12.7109375" customWidth="1"/>
    <col min="15884" max="15884" width="16.140625" customWidth="1"/>
    <col min="15885" max="15885" width="18.28515625" customWidth="1"/>
    <col min="16130" max="16130" width="19.140625" customWidth="1"/>
    <col min="16131" max="16131" width="20" customWidth="1"/>
    <col min="16138" max="16139" width="12.7109375" customWidth="1"/>
    <col min="16140" max="16140" width="16.140625" customWidth="1"/>
    <col min="16141" max="16141" width="18.28515625" customWidth="1"/>
  </cols>
  <sheetData>
    <row r="1" spans="1:15" ht="37.5" customHeight="1" x14ac:dyDescent="0.25">
      <c r="A1" s="263" t="s">
        <v>29</v>
      </c>
      <c r="B1" s="264"/>
      <c r="C1" s="264"/>
      <c r="D1" s="264"/>
      <c r="E1" s="264"/>
      <c r="F1" s="264"/>
      <c r="G1" s="264"/>
      <c r="H1" s="264"/>
      <c r="I1" s="264"/>
      <c r="J1" s="264"/>
      <c r="K1" s="264"/>
      <c r="L1" s="264"/>
      <c r="M1" s="264"/>
      <c r="N1" s="264"/>
      <c r="O1" s="265"/>
    </row>
    <row r="2" spans="1:15" ht="24" thickBot="1" x14ac:dyDescent="0.4">
      <c r="A2" s="266" t="s">
        <v>32</v>
      </c>
      <c r="B2" s="267"/>
      <c r="C2" s="267"/>
      <c r="D2" s="267"/>
      <c r="E2" s="267"/>
      <c r="F2" s="267"/>
      <c r="G2" s="267"/>
      <c r="H2" s="267"/>
      <c r="I2" s="267"/>
      <c r="J2" s="267"/>
      <c r="K2" s="267"/>
      <c r="L2" s="267"/>
      <c r="M2" s="267"/>
      <c r="N2" s="267"/>
      <c r="O2" s="268"/>
    </row>
    <row r="3" spans="1:15" ht="15.75" x14ac:dyDescent="0.25">
      <c r="A3" s="1"/>
      <c r="M3" s="159" t="s">
        <v>91</v>
      </c>
      <c r="N3" s="182">
        <v>0</v>
      </c>
      <c r="O3" s="2"/>
    </row>
    <row r="4" spans="1:15" ht="15.75" x14ac:dyDescent="0.25">
      <c r="A4" s="1"/>
      <c r="M4" s="160" t="s">
        <v>92</v>
      </c>
      <c r="N4" s="183">
        <v>0</v>
      </c>
      <c r="O4" s="2"/>
    </row>
    <row r="5" spans="1:15" ht="15.75" x14ac:dyDescent="0.25">
      <c r="A5" s="1"/>
      <c r="C5" s="283" t="s">
        <v>1</v>
      </c>
      <c r="D5" s="283"/>
      <c r="E5" s="218">
        <v>1225</v>
      </c>
      <c r="M5" s="160" t="s">
        <v>93</v>
      </c>
      <c r="N5" s="183">
        <v>0</v>
      </c>
      <c r="O5" s="2"/>
    </row>
    <row r="6" spans="1:15" ht="15.75" x14ac:dyDescent="0.25">
      <c r="A6" s="1"/>
      <c r="C6" s="283" t="s">
        <v>2</v>
      </c>
      <c r="D6" s="283"/>
      <c r="E6" s="218">
        <v>1235</v>
      </c>
      <c r="F6" t="s">
        <v>3</v>
      </c>
      <c r="M6" s="160" t="s">
        <v>94</v>
      </c>
      <c r="N6" s="183">
        <v>0</v>
      </c>
      <c r="O6" s="2"/>
    </row>
    <row r="7" spans="1:15" ht="15.75" x14ac:dyDescent="0.25">
      <c r="A7" s="1"/>
      <c r="C7" s="283" t="s">
        <v>4</v>
      </c>
      <c r="D7" s="283"/>
      <c r="E7" s="218">
        <v>1250</v>
      </c>
      <c r="M7" s="160" t="s">
        <v>95</v>
      </c>
      <c r="N7" s="183">
        <v>0</v>
      </c>
      <c r="O7" s="2"/>
    </row>
    <row r="8" spans="1:15" ht="15.75" x14ac:dyDescent="0.25">
      <c r="A8" s="1"/>
      <c r="C8" s="283" t="s">
        <v>5</v>
      </c>
      <c r="D8" s="283"/>
      <c r="E8" s="218">
        <v>1232.5</v>
      </c>
      <c r="M8" s="160" t="s">
        <v>96</v>
      </c>
      <c r="N8" s="183">
        <v>0</v>
      </c>
      <c r="O8" s="2"/>
    </row>
    <row r="9" spans="1:15" ht="15.75" x14ac:dyDescent="0.25">
      <c r="A9" s="1"/>
      <c r="C9" s="4"/>
      <c r="D9" s="4"/>
      <c r="E9" s="69"/>
      <c r="M9" s="160" t="s">
        <v>97</v>
      </c>
      <c r="N9" s="183">
        <v>0</v>
      </c>
      <c r="O9" s="2"/>
    </row>
    <row r="10" spans="1:15" ht="15.75" x14ac:dyDescent="0.25">
      <c r="A10" s="1"/>
      <c r="C10" s="4"/>
      <c r="D10" s="4"/>
      <c r="E10" s="22"/>
      <c r="F10" s="356" t="s">
        <v>31</v>
      </c>
      <c r="G10" s="357"/>
      <c r="H10" s="357"/>
      <c r="I10" s="357"/>
      <c r="M10" s="160" t="s">
        <v>98</v>
      </c>
      <c r="N10" s="183">
        <v>0</v>
      </c>
      <c r="O10" s="2"/>
    </row>
    <row r="11" spans="1:15" ht="15.75" x14ac:dyDescent="0.25">
      <c r="A11" s="1"/>
      <c r="C11" s="4"/>
      <c r="D11" s="4"/>
      <c r="E11" s="69"/>
      <c r="M11" s="160" t="s">
        <v>101</v>
      </c>
      <c r="N11" s="183">
        <v>0</v>
      </c>
      <c r="O11" s="2"/>
    </row>
    <row r="12" spans="1:15" ht="15.75" x14ac:dyDescent="0.25">
      <c r="A12" s="1"/>
      <c r="C12" s="118"/>
      <c r="D12" s="4"/>
      <c r="E12" s="69"/>
      <c r="M12" s="160" t="s">
        <v>102</v>
      </c>
      <c r="N12" s="183">
        <v>0</v>
      </c>
      <c r="O12" s="2"/>
    </row>
    <row r="13" spans="1:15" ht="15.75" x14ac:dyDescent="0.25">
      <c r="A13" s="1"/>
      <c r="C13" s="357" t="s">
        <v>108</v>
      </c>
      <c r="D13" s="357"/>
      <c r="E13" s="357"/>
      <c r="F13" s="357"/>
      <c r="G13" s="357"/>
      <c r="H13" s="357"/>
      <c r="I13" s="357"/>
      <c r="J13" s="357"/>
      <c r="K13" s="357"/>
      <c r="M13" s="160" t="s">
        <v>103</v>
      </c>
      <c r="N13" s="183">
        <v>0</v>
      </c>
      <c r="O13" s="2"/>
    </row>
    <row r="14" spans="1:15" ht="15.75" x14ac:dyDescent="0.25">
      <c r="A14" s="1"/>
      <c r="C14" s="4"/>
      <c r="D14" s="4"/>
      <c r="E14" s="69"/>
      <c r="M14" s="160" t="s">
        <v>104</v>
      </c>
      <c r="N14" s="183">
        <v>0</v>
      </c>
      <c r="O14" s="2"/>
    </row>
    <row r="15" spans="1:15" ht="15.75" x14ac:dyDescent="0.25">
      <c r="A15" s="1"/>
      <c r="C15" s="283" t="s">
        <v>6</v>
      </c>
      <c r="D15" s="283"/>
      <c r="E15" s="284"/>
      <c r="F15" s="219">
        <v>20</v>
      </c>
      <c r="G15" t="s">
        <v>7</v>
      </c>
      <c r="M15" s="160" t="s">
        <v>105</v>
      </c>
      <c r="N15" s="183">
        <v>0</v>
      </c>
      <c r="O15" s="2"/>
    </row>
    <row r="16" spans="1:15" ht="15.75" x14ac:dyDescent="0.25">
      <c r="A16" s="1"/>
      <c r="D16" s="4"/>
      <c r="E16" s="69"/>
      <c r="M16" s="160" t="s">
        <v>106</v>
      </c>
      <c r="N16" s="183">
        <v>0</v>
      </c>
      <c r="O16" s="2"/>
    </row>
    <row r="17" spans="1:15" ht="16.5" thickBot="1" x14ac:dyDescent="0.3">
      <c r="A17" s="1"/>
      <c r="C17" t="s">
        <v>8</v>
      </c>
      <c r="D17" s="4"/>
      <c r="E17" s="69"/>
      <c r="M17" s="161" t="s">
        <v>107</v>
      </c>
      <c r="N17" s="184">
        <v>1</v>
      </c>
      <c r="O17" s="2"/>
    </row>
    <row r="18" spans="1:15" ht="21.75" thickBot="1" x14ac:dyDescent="0.4">
      <c r="A18" s="1"/>
      <c r="F18" s="23"/>
      <c r="G18" s="7"/>
      <c r="J18" s="289" t="s">
        <v>10</v>
      </c>
      <c r="K18" s="358"/>
      <c r="L18" s="185">
        <v>1229.08</v>
      </c>
      <c r="M18" s="178"/>
      <c r="O18" s="2"/>
    </row>
    <row r="19" spans="1:15" x14ac:dyDescent="0.25">
      <c r="A19" s="348" t="s">
        <v>100</v>
      </c>
      <c r="B19" s="186" t="s">
        <v>9</v>
      </c>
      <c r="C19" s="186" t="s">
        <v>10</v>
      </c>
      <c r="D19" s="186" t="s">
        <v>11</v>
      </c>
      <c r="E19" s="186" t="s">
        <v>12</v>
      </c>
      <c r="F19" s="186" t="s">
        <v>13</v>
      </c>
      <c r="G19" s="354" t="s">
        <v>14</v>
      </c>
      <c r="H19" s="354" t="s">
        <v>15</v>
      </c>
      <c r="I19" s="186" t="s">
        <v>16</v>
      </c>
      <c r="J19" s="186" t="s">
        <v>17</v>
      </c>
      <c r="K19" s="186" t="s">
        <v>18</v>
      </c>
      <c r="L19" s="186" t="s">
        <v>19</v>
      </c>
      <c r="M19" s="186" t="s">
        <v>19</v>
      </c>
      <c r="N19" s="186" t="s">
        <v>20</v>
      </c>
      <c r="O19" s="186" t="s">
        <v>21</v>
      </c>
    </row>
    <row r="20" spans="1:15" ht="15.75" thickBot="1" x14ac:dyDescent="0.3">
      <c r="A20" s="349"/>
      <c r="B20" s="187" t="s">
        <v>22</v>
      </c>
      <c r="C20" s="187" t="s">
        <v>23</v>
      </c>
      <c r="D20" s="187" t="s">
        <v>24</v>
      </c>
      <c r="E20" s="187" t="s">
        <v>24</v>
      </c>
      <c r="F20" s="187" t="s">
        <v>24</v>
      </c>
      <c r="G20" s="355"/>
      <c r="H20" s="355"/>
      <c r="I20" s="187" t="s">
        <v>25</v>
      </c>
      <c r="J20" s="187" t="s">
        <v>26</v>
      </c>
      <c r="K20" s="187" t="s">
        <v>16</v>
      </c>
      <c r="L20" s="187" t="s">
        <v>27</v>
      </c>
      <c r="M20" s="187" t="s">
        <v>28</v>
      </c>
      <c r="N20" s="187" t="s">
        <v>26</v>
      </c>
      <c r="O20" s="187" t="s">
        <v>19</v>
      </c>
    </row>
    <row r="21" spans="1:15" ht="19.5" thickTop="1" x14ac:dyDescent="0.25">
      <c r="A21" s="188">
        <v>1</v>
      </c>
      <c r="B21" s="189">
        <f t="shared" ref="B21:B35" si="0">$E$5+10+F21</f>
        <v>1235</v>
      </c>
      <c r="C21" s="179">
        <f>$L$18</f>
        <v>1229.08</v>
      </c>
      <c r="D21" s="190">
        <f t="shared" ref="D21:D35" si="1">C21-$E$5</f>
        <v>4.0799999999999272</v>
      </c>
      <c r="E21" s="190">
        <f t="shared" ref="E21:E35" si="2">D21-F21</f>
        <v>4.0799999999999272</v>
      </c>
      <c r="F21" s="190">
        <f>(N3*0.0833)</f>
        <v>0</v>
      </c>
      <c r="G21" s="190">
        <f t="shared" ref="G21:G35" si="3">F21/D21</f>
        <v>0</v>
      </c>
      <c r="H21" s="191">
        <v>0.72399999999999998</v>
      </c>
      <c r="I21" s="190">
        <f>(2/3)*((2*32.2)^0.5)*H21*$F$15*(((D21)^1.5) - (E21)^1.5)</f>
        <v>0</v>
      </c>
      <c r="J21" s="220">
        <v>1</v>
      </c>
      <c r="K21" s="192">
        <f t="shared" ref="K21:K35" si="4">J21*I21</f>
        <v>0</v>
      </c>
      <c r="L21" s="193">
        <f t="shared" ref="L21:L36" si="5">(K21*7.48)*60</f>
        <v>0</v>
      </c>
      <c r="M21" s="194">
        <f t="shared" ref="M21:M36" si="6">(L21*1440)</f>
        <v>0</v>
      </c>
      <c r="N21" s="181">
        <v>60</v>
      </c>
      <c r="O21" s="70">
        <f>L21*N21</f>
        <v>0</v>
      </c>
    </row>
    <row r="22" spans="1:15" ht="18.75" x14ac:dyDescent="0.25">
      <c r="A22" s="195">
        <v>2</v>
      </c>
      <c r="B22" s="196">
        <f t="shared" si="0"/>
        <v>1235</v>
      </c>
      <c r="C22" s="174">
        <f t="shared" ref="C22:C35" si="7">$L$18</f>
        <v>1229.08</v>
      </c>
      <c r="D22" s="197">
        <f t="shared" si="1"/>
        <v>4.0799999999999272</v>
      </c>
      <c r="E22" s="197">
        <f t="shared" si="2"/>
        <v>4.0799999999999272</v>
      </c>
      <c r="F22" s="197">
        <f>(N4*0.0833)</f>
        <v>0</v>
      </c>
      <c r="G22" s="197">
        <f t="shared" si="3"/>
        <v>0</v>
      </c>
      <c r="H22" s="198">
        <v>0.72399999999999998</v>
      </c>
      <c r="I22" s="197">
        <f>(2/3)*((2*32.2)^0.5)*H22*$F$15*(((D22)^1.5) - (E22)^1.5)</f>
        <v>0</v>
      </c>
      <c r="J22" s="221">
        <v>1</v>
      </c>
      <c r="K22" s="199">
        <f t="shared" si="4"/>
        <v>0</v>
      </c>
      <c r="L22" s="200">
        <f t="shared" si="5"/>
        <v>0</v>
      </c>
      <c r="M22" s="201">
        <f t="shared" si="6"/>
        <v>0</v>
      </c>
      <c r="N22" s="175">
        <v>60</v>
      </c>
      <c r="O22" s="70">
        <f t="shared" ref="O22:O35" si="8">L22*N22</f>
        <v>0</v>
      </c>
    </row>
    <row r="23" spans="1:15" ht="18.75" x14ac:dyDescent="0.25">
      <c r="A23" s="195">
        <v>3</v>
      </c>
      <c r="B23" s="196">
        <f t="shared" si="0"/>
        <v>1235</v>
      </c>
      <c r="C23" s="174">
        <f t="shared" si="7"/>
        <v>1229.08</v>
      </c>
      <c r="D23" s="197">
        <f t="shared" si="1"/>
        <v>4.0799999999999272</v>
      </c>
      <c r="E23" s="197">
        <f t="shared" si="2"/>
        <v>4.0799999999999272</v>
      </c>
      <c r="F23" s="197">
        <f t="shared" ref="F23:F35" si="9">(N5*0.0833)</f>
        <v>0</v>
      </c>
      <c r="G23" s="197">
        <f t="shared" si="3"/>
        <v>0</v>
      </c>
      <c r="H23" s="198">
        <v>0.72399999999999998</v>
      </c>
      <c r="I23" s="197">
        <f t="shared" ref="I23:I35" si="10">(2/3)*((2*32.2)^0.5)*H23*$F$15*(((D23)^1.5) - (E23)^1.5)</f>
        <v>0</v>
      </c>
      <c r="J23" s="221">
        <v>1</v>
      </c>
      <c r="K23" s="199">
        <f t="shared" si="4"/>
        <v>0</v>
      </c>
      <c r="L23" s="200">
        <f t="shared" si="5"/>
        <v>0</v>
      </c>
      <c r="M23" s="201">
        <f t="shared" si="6"/>
        <v>0</v>
      </c>
      <c r="N23" s="175">
        <v>60</v>
      </c>
      <c r="O23" s="70">
        <f t="shared" si="8"/>
        <v>0</v>
      </c>
    </row>
    <row r="24" spans="1:15" ht="18.75" x14ac:dyDescent="0.25">
      <c r="A24" s="195">
        <v>4</v>
      </c>
      <c r="B24" s="196">
        <f t="shared" si="0"/>
        <v>1235</v>
      </c>
      <c r="C24" s="174">
        <f t="shared" si="7"/>
        <v>1229.08</v>
      </c>
      <c r="D24" s="197">
        <f t="shared" si="1"/>
        <v>4.0799999999999272</v>
      </c>
      <c r="E24" s="197">
        <f t="shared" si="2"/>
        <v>4.0799999999999272</v>
      </c>
      <c r="F24" s="197">
        <f t="shared" si="9"/>
        <v>0</v>
      </c>
      <c r="G24" s="197">
        <f t="shared" si="3"/>
        <v>0</v>
      </c>
      <c r="H24" s="198">
        <v>0.72399999999999998</v>
      </c>
      <c r="I24" s="197">
        <f t="shared" si="10"/>
        <v>0</v>
      </c>
      <c r="J24" s="221">
        <v>1</v>
      </c>
      <c r="K24" s="199">
        <f t="shared" si="4"/>
        <v>0</v>
      </c>
      <c r="L24" s="200">
        <f t="shared" si="5"/>
        <v>0</v>
      </c>
      <c r="M24" s="201">
        <f t="shared" si="6"/>
        <v>0</v>
      </c>
      <c r="N24" s="175">
        <v>60</v>
      </c>
      <c r="O24" s="70">
        <f t="shared" si="8"/>
        <v>0</v>
      </c>
    </row>
    <row r="25" spans="1:15" ht="18.75" x14ac:dyDescent="0.25">
      <c r="A25" s="195">
        <v>5</v>
      </c>
      <c r="B25" s="196">
        <f t="shared" si="0"/>
        <v>1235</v>
      </c>
      <c r="C25" s="174">
        <f t="shared" si="7"/>
        <v>1229.08</v>
      </c>
      <c r="D25" s="197">
        <f t="shared" si="1"/>
        <v>4.0799999999999272</v>
      </c>
      <c r="E25" s="197">
        <f t="shared" si="2"/>
        <v>4.0799999999999272</v>
      </c>
      <c r="F25" s="197">
        <f t="shared" si="9"/>
        <v>0</v>
      </c>
      <c r="G25" s="197">
        <f t="shared" si="3"/>
        <v>0</v>
      </c>
      <c r="H25" s="198">
        <v>0.72399999999999998</v>
      </c>
      <c r="I25" s="197">
        <f t="shared" si="10"/>
        <v>0</v>
      </c>
      <c r="J25" s="221">
        <v>1</v>
      </c>
      <c r="K25" s="199">
        <f t="shared" si="4"/>
        <v>0</v>
      </c>
      <c r="L25" s="200">
        <f t="shared" si="5"/>
        <v>0</v>
      </c>
      <c r="M25" s="201">
        <f t="shared" si="6"/>
        <v>0</v>
      </c>
      <c r="N25" s="175">
        <v>60</v>
      </c>
      <c r="O25" s="70">
        <f t="shared" si="8"/>
        <v>0</v>
      </c>
    </row>
    <row r="26" spans="1:15" ht="18.75" x14ac:dyDescent="0.25">
      <c r="A26" s="195">
        <v>6</v>
      </c>
      <c r="B26" s="196">
        <f t="shared" si="0"/>
        <v>1235</v>
      </c>
      <c r="C26" s="174">
        <f t="shared" si="7"/>
        <v>1229.08</v>
      </c>
      <c r="D26" s="197">
        <f t="shared" si="1"/>
        <v>4.0799999999999272</v>
      </c>
      <c r="E26" s="197">
        <f t="shared" si="2"/>
        <v>4.0799999999999272</v>
      </c>
      <c r="F26" s="197">
        <f t="shared" si="9"/>
        <v>0</v>
      </c>
      <c r="G26" s="197">
        <f t="shared" si="3"/>
        <v>0</v>
      </c>
      <c r="H26" s="198">
        <v>0.72399999999999998</v>
      </c>
      <c r="I26" s="197">
        <f t="shared" si="10"/>
        <v>0</v>
      </c>
      <c r="J26" s="221">
        <v>1</v>
      </c>
      <c r="K26" s="199">
        <f t="shared" si="4"/>
        <v>0</v>
      </c>
      <c r="L26" s="200">
        <f t="shared" si="5"/>
        <v>0</v>
      </c>
      <c r="M26" s="201">
        <f t="shared" si="6"/>
        <v>0</v>
      </c>
      <c r="N26" s="175">
        <v>60</v>
      </c>
      <c r="O26" s="70">
        <f t="shared" si="8"/>
        <v>0</v>
      </c>
    </row>
    <row r="27" spans="1:15" ht="18.75" x14ac:dyDescent="0.25">
      <c r="A27" s="195">
        <v>7</v>
      </c>
      <c r="B27" s="196">
        <f t="shared" si="0"/>
        <v>1235</v>
      </c>
      <c r="C27" s="174">
        <f t="shared" si="7"/>
        <v>1229.08</v>
      </c>
      <c r="D27" s="197">
        <f t="shared" si="1"/>
        <v>4.0799999999999272</v>
      </c>
      <c r="E27" s="197">
        <f t="shared" si="2"/>
        <v>4.0799999999999272</v>
      </c>
      <c r="F27" s="197">
        <f t="shared" si="9"/>
        <v>0</v>
      </c>
      <c r="G27" s="197">
        <f t="shared" si="3"/>
        <v>0</v>
      </c>
      <c r="H27" s="198">
        <v>0.72399999999999998</v>
      </c>
      <c r="I27" s="197">
        <f t="shared" si="10"/>
        <v>0</v>
      </c>
      <c r="J27" s="221">
        <v>1</v>
      </c>
      <c r="K27" s="199">
        <f t="shared" si="4"/>
        <v>0</v>
      </c>
      <c r="L27" s="200">
        <f t="shared" si="5"/>
        <v>0</v>
      </c>
      <c r="M27" s="201">
        <f t="shared" si="6"/>
        <v>0</v>
      </c>
      <c r="N27" s="175">
        <v>60</v>
      </c>
      <c r="O27" s="70">
        <f t="shared" si="8"/>
        <v>0</v>
      </c>
    </row>
    <row r="28" spans="1:15" ht="18.75" x14ac:dyDescent="0.25">
      <c r="A28" s="195">
        <v>8</v>
      </c>
      <c r="B28" s="196">
        <f t="shared" si="0"/>
        <v>1235</v>
      </c>
      <c r="C28" s="174">
        <f t="shared" si="7"/>
        <v>1229.08</v>
      </c>
      <c r="D28" s="197">
        <f t="shared" si="1"/>
        <v>4.0799999999999272</v>
      </c>
      <c r="E28" s="197">
        <f t="shared" si="2"/>
        <v>4.0799999999999272</v>
      </c>
      <c r="F28" s="197">
        <f t="shared" si="9"/>
        <v>0</v>
      </c>
      <c r="G28" s="197">
        <f t="shared" si="3"/>
        <v>0</v>
      </c>
      <c r="H28" s="198">
        <v>0.72399999999999998</v>
      </c>
      <c r="I28" s="197">
        <f t="shared" si="10"/>
        <v>0</v>
      </c>
      <c r="J28" s="221">
        <v>1</v>
      </c>
      <c r="K28" s="199">
        <f t="shared" si="4"/>
        <v>0</v>
      </c>
      <c r="L28" s="200">
        <f t="shared" si="5"/>
        <v>0</v>
      </c>
      <c r="M28" s="201">
        <f t="shared" si="6"/>
        <v>0</v>
      </c>
      <c r="N28" s="175">
        <v>60</v>
      </c>
      <c r="O28" s="70">
        <f t="shared" si="8"/>
        <v>0</v>
      </c>
    </row>
    <row r="29" spans="1:15" ht="18.75" x14ac:dyDescent="0.25">
      <c r="A29" s="195">
        <v>9</v>
      </c>
      <c r="B29" s="196">
        <f t="shared" si="0"/>
        <v>1235</v>
      </c>
      <c r="C29" s="174">
        <f t="shared" si="7"/>
        <v>1229.08</v>
      </c>
      <c r="D29" s="197">
        <f t="shared" si="1"/>
        <v>4.0799999999999272</v>
      </c>
      <c r="E29" s="197">
        <f t="shared" si="2"/>
        <v>4.0799999999999272</v>
      </c>
      <c r="F29" s="197">
        <f t="shared" si="9"/>
        <v>0</v>
      </c>
      <c r="G29" s="197">
        <f t="shared" si="3"/>
        <v>0</v>
      </c>
      <c r="H29" s="198">
        <v>0.72399999999999998</v>
      </c>
      <c r="I29" s="197">
        <f t="shared" si="10"/>
        <v>0</v>
      </c>
      <c r="J29" s="221">
        <v>1</v>
      </c>
      <c r="K29" s="199">
        <f t="shared" si="4"/>
        <v>0</v>
      </c>
      <c r="L29" s="200">
        <f t="shared" si="5"/>
        <v>0</v>
      </c>
      <c r="M29" s="201">
        <f t="shared" si="6"/>
        <v>0</v>
      </c>
      <c r="N29" s="175">
        <v>60</v>
      </c>
      <c r="O29" s="70">
        <f t="shared" si="8"/>
        <v>0</v>
      </c>
    </row>
    <row r="30" spans="1:15" ht="18.75" x14ac:dyDescent="0.25">
      <c r="A30" s="195">
        <v>10</v>
      </c>
      <c r="B30" s="196">
        <f t="shared" si="0"/>
        <v>1235</v>
      </c>
      <c r="C30" s="174">
        <f t="shared" si="7"/>
        <v>1229.08</v>
      </c>
      <c r="D30" s="197">
        <f t="shared" si="1"/>
        <v>4.0799999999999272</v>
      </c>
      <c r="E30" s="197">
        <f t="shared" si="2"/>
        <v>4.0799999999999272</v>
      </c>
      <c r="F30" s="197">
        <f t="shared" si="9"/>
        <v>0</v>
      </c>
      <c r="G30" s="197">
        <f t="shared" si="3"/>
        <v>0</v>
      </c>
      <c r="H30" s="198">
        <v>0.72399999999999998</v>
      </c>
      <c r="I30" s="197">
        <f t="shared" si="10"/>
        <v>0</v>
      </c>
      <c r="J30" s="221">
        <v>1</v>
      </c>
      <c r="K30" s="199">
        <f t="shared" si="4"/>
        <v>0</v>
      </c>
      <c r="L30" s="200">
        <f t="shared" si="5"/>
        <v>0</v>
      </c>
      <c r="M30" s="201">
        <f t="shared" si="6"/>
        <v>0</v>
      </c>
      <c r="N30" s="175">
        <v>60</v>
      </c>
      <c r="O30" s="70">
        <f t="shared" si="8"/>
        <v>0</v>
      </c>
    </row>
    <row r="31" spans="1:15" ht="18.75" x14ac:dyDescent="0.25">
      <c r="A31" s="195">
        <v>11</v>
      </c>
      <c r="B31" s="196">
        <f t="shared" si="0"/>
        <v>1235</v>
      </c>
      <c r="C31" s="174">
        <f t="shared" si="7"/>
        <v>1229.08</v>
      </c>
      <c r="D31" s="197">
        <f t="shared" si="1"/>
        <v>4.0799999999999272</v>
      </c>
      <c r="E31" s="197">
        <f t="shared" si="2"/>
        <v>4.0799999999999272</v>
      </c>
      <c r="F31" s="197">
        <f t="shared" si="9"/>
        <v>0</v>
      </c>
      <c r="G31" s="197">
        <f t="shared" si="3"/>
        <v>0</v>
      </c>
      <c r="H31" s="198">
        <v>0.72399999999999998</v>
      </c>
      <c r="I31" s="197">
        <f t="shared" si="10"/>
        <v>0</v>
      </c>
      <c r="J31" s="221">
        <v>1</v>
      </c>
      <c r="K31" s="199">
        <f t="shared" si="4"/>
        <v>0</v>
      </c>
      <c r="L31" s="200">
        <f t="shared" si="5"/>
        <v>0</v>
      </c>
      <c r="M31" s="201">
        <f t="shared" si="6"/>
        <v>0</v>
      </c>
      <c r="N31" s="175">
        <v>60</v>
      </c>
      <c r="O31" s="70">
        <f t="shared" si="8"/>
        <v>0</v>
      </c>
    </row>
    <row r="32" spans="1:15" ht="18.75" x14ac:dyDescent="0.25">
      <c r="A32" s="195">
        <v>12</v>
      </c>
      <c r="B32" s="196">
        <f t="shared" si="0"/>
        <v>1235</v>
      </c>
      <c r="C32" s="174">
        <f t="shared" si="7"/>
        <v>1229.08</v>
      </c>
      <c r="D32" s="197">
        <f t="shared" si="1"/>
        <v>4.0799999999999272</v>
      </c>
      <c r="E32" s="197">
        <f t="shared" si="2"/>
        <v>4.0799999999999272</v>
      </c>
      <c r="F32" s="197">
        <f t="shared" si="9"/>
        <v>0</v>
      </c>
      <c r="G32" s="197">
        <f t="shared" si="3"/>
        <v>0</v>
      </c>
      <c r="H32" s="198">
        <v>0.72399999999999998</v>
      </c>
      <c r="I32" s="197">
        <f t="shared" si="10"/>
        <v>0</v>
      </c>
      <c r="J32" s="221">
        <v>1</v>
      </c>
      <c r="K32" s="199">
        <f t="shared" si="4"/>
        <v>0</v>
      </c>
      <c r="L32" s="200">
        <f t="shared" si="5"/>
        <v>0</v>
      </c>
      <c r="M32" s="201">
        <f t="shared" si="6"/>
        <v>0</v>
      </c>
      <c r="N32" s="175">
        <v>60</v>
      </c>
      <c r="O32" s="70">
        <f t="shared" si="8"/>
        <v>0</v>
      </c>
    </row>
    <row r="33" spans="1:15" ht="18.75" x14ac:dyDescent="0.25">
      <c r="A33" s="195">
        <v>13</v>
      </c>
      <c r="B33" s="196">
        <f t="shared" si="0"/>
        <v>1235</v>
      </c>
      <c r="C33" s="174">
        <f t="shared" si="7"/>
        <v>1229.08</v>
      </c>
      <c r="D33" s="197">
        <f t="shared" si="1"/>
        <v>4.0799999999999272</v>
      </c>
      <c r="E33" s="197">
        <f t="shared" si="2"/>
        <v>4.0799999999999272</v>
      </c>
      <c r="F33" s="197">
        <f t="shared" si="9"/>
        <v>0</v>
      </c>
      <c r="G33" s="197">
        <f t="shared" si="3"/>
        <v>0</v>
      </c>
      <c r="H33" s="198">
        <v>0.72399999999999998</v>
      </c>
      <c r="I33" s="197">
        <f t="shared" si="10"/>
        <v>0</v>
      </c>
      <c r="J33" s="221">
        <v>1</v>
      </c>
      <c r="K33" s="199">
        <f t="shared" si="4"/>
        <v>0</v>
      </c>
      <c r="L33" s="200">
        <f t="shared" si="5"/>
        <v>0</v>
      </c>
      <c r="M33" s="201">
        <f t="shared" si="6"/>
        <v>0</v>
      </c>
      <c r="N33" s="175">
        <v>1440</v>
      </c>
      <c r="O33" s="70">
        <f t="shared" si="8"/>
        <v>0</v>
      </c>
    </row>
    <row r="34" spans="1:15" ht="18.75" x14ac:dyDescent="0.25">
      <c r="A34" s="195">
        <v>14</v>
      </c>
      <c r="B34" s="196">
        <f t="shared" si="0"/>
        <v>1235</v>
      </c>
      <c r="C34" s="174">
        <f t="shared" si="7"/>
        <v>1229.08</v>
      </c>
      <c r="D34" s="197">
        <f t="shared" si="1"/>
        <v>4.0799999999999272</v>
      </c>
      <c r="E34" s="197">
        <f t="shared" si="2"/>
        <v>4.0799999999999272</v>
      </c>
      <c r="F34" s="197">
        <f t="shared" si="9"/>
        <v>0</v>
      </c>
      <c r="G34" s="197">
        <f t="shared" si="3"/>
        <v>0</v>
      </c>
      <c r="H34" s="198">
        <v>0.72399999999999998</v>
      </c>
      <c r="I34" s="197">
        <f t="shared" si="10"/>
        <v>0</v>
      </c>
      <c r="J34" s="221">
        <v>1</v>
      </c>
      <c r="K34" s="199">
        <f t="shared" si="4"/>
        <v>0</v>
      </c>
      <c r="L34" s="200">
        <f t="shared" si="5"/>
        <v>0</v>
      </c>
      <c r="M34" s="201">
        <f t="shared" si="6"/>
        <v>0</v>
      </c>
      <c r="N34" s="175">
        <v>60</v>
      </c>
      <c r="O34" s="70">
        <f t="shared" si="8"/>
        <v>0</v>
      </c>
    </row>
    <row r="35" spans="1:15" ht="19.5" thickBot="1" x14ac:dyDescent="0.3">
      <c r="A35" s="202">
        <v>15</v>
      </c>
      <c r="B35" s="203">
        <f t="shared" si="0"/>
        <v>1235.0833</v>
      </c>
      <c r="C35" s="176">
        <f t="shared" si="7"/>
        <v>1229.08</v>
      </c>
      <c r="D35" s="204">
        <f t="shared" si="1"/>
        <v>4.0799999999999272</v>
      </c>
      <c r="E35" s="204">
        <f t="shared" si="2"/>
        <v>3.9966999999999273</v>
      </c>
      <c r="F35" s="204">
        <f t="shared" si="9"/>
        <v>8.3299999999999999E-2</v>
      </c>
      <c r="G35" s="204">
        <f t="shared" si="3"/>
        <v>2.0416666666667031E-2</v>
      </c>
      <c r="H35" s="205">
        <v>0.72399999999999998</v>
      </c>
      <c r="I35" s="204">
        <f t="shared" si="10"/>
        <v>19.451654638715233</v>
      </c>
      <c r="J35" s="222">
        <v>1</v>
      </c>
      <c r="K35" s="206">
        <f t="shared" si="4"/>
        <v>19.451654638715233</v>
      </c>
      <c r="L35" s="207">
        <f t="shared" si="5"/>
        <v>8729.9026018553959</v>
      </c>
      <c r="M35" s="208">
        <f t="shared" si="6"/>
        <v>12571059.74667177</v>
      </c>
      <c r="N35" s="177">
        <v>14400</v>
      </c>
      <c r="O35" s="173">
        <f t="shared" si="8"/>
        <v>125710597.46671771</v>
      </c>
    </row>
    <row r="36" spans="1:15" ht="18.75" customHeight="1" thickTop="1" x14ac:dyDescent="0.25">
      <c r="A36" s="342" t="s">
        <v>99</v>
      </c>
      <c r="B36" s="343"/>
      <c r="C36" s="343"/>
      <c r="D36" s="343"/>
      <c r="E36" s="343"/>
      <c r="F36" s="343"/>
      <c r="G36" s="343"/>
      <c r="H36" s="344"/>
      <c r="I36" s="336">
        <f>SUM(I21:I35)</f>
        <v>19.451654638715233</v>
      </c>
      <c r="J36" s="350"/>
      <c r="K36" s="338">
        <f>SUM(K21:K35)</f>
        <v>19.451654638715233</v>
      </c>
      <c r="L36" s="340">
        <f t="shared" si="5"/>
        <v>8729.9026018553959</v>
      </c>
      <c r="M36" s="340">
        <f t="shared" si="6"/>
        <v>12571059.74667177</v>
      </c>
      <c r="N36" s="352"/>
      <c r="O36" s="340">
        <f>SUM(O21:O35)</f>
        <v>125710597.46671771</v>
      </c>
    </row>
    <row r="37" spans="1:15" ht="15.75" customHeight="1" thickBot="1" x14ac:dyDescent="0.3">
      <c r="A37" s="345"/>
      <c r="B37" s="346"/>
      <c r="C37" s="346"/>
      <c r="D37" s="346"/>
      <c r="E37" s="346"/>
      <c r="F37" s="346"/>
      <c r="G37" s="346"/>
      <c r="H37" s="347"/>
      <c r="I37" s="337"/>
      <c r="J37" s="351"/>
      <c r="K37" s="339"/>
      <c r="L37" s="341"/>
      <c r="M37" s="341"/>
      <c r="N37" s="353"/>
      <c r="O37" s="341"/>
    </row>
    <row r="38" spans="1:15" x14ac:dyDescent="0.25">
      <c r="C38" s="66"/>
      <c r="D38" s="66"/>
      <c r="E38" s="66"/>
      <c r="F38" s="66"/>
      <c r="G38" s="66"/>
      <c r="H38" s="67"/>
      <c r="I38" s="66"/>
      <c r="J38" s="68"/>
      <c r="K38" s="66"/>
    </row>
    <row r="39" spans="1:15" x14ac:dyDescent="0.25">
      <c r="C39" s="66"/>
      <c r="D39" s="66"/>
      <c r="E39" s="66"/>
      <c r="F39" s="66"/>
      <c r="G39" s="66"/>
      <c r="H39" s="67"/>
      <c r="I39" s="66"/>
      <c r="J39" s="68"/>
      <c r="K39" s="66"/>
    </row>
    <row r="40" spans="1:15" x14ac:dyDescent="0.25">
      <c r="C40" s="66"/>
      <c r="D40" s="66"/>
      <c r="E40" s="66"/>
      <c r="F40" s="66"/>
      <c r="G40" s="66"/>
      <c r="H40" s="66"/>
      <c r="I40" s="66"/>
      <c r="J40" s="68"/>
      <c r="K40" s="66"/>
    </row>
    <row r="41" spans="1:15" x14ac:dyDescent="0.25">
      <c r="C41" s="66"/>
      <c r="D41" s="66"/>
      <c r="E41" s="66"/>
      <c r="F41" s="66"/>
      <c r="G41" s="66"/>
      <c r="H41" s="66"/>
      <c r="I41" s="66"/>
      <c r="J41" s="68"/>
      <c r="K41" s="66"/>
    </row>
    <row r="42" spans="1:15" x14ac:dyDescent="0.25">
      <c r="C42" s="66"/>
      <c r="D42" s="66"/>
      <c r="E42" s="66"/>
      <c r="F42" s="66"/>
      <c r="G42" s="66"/>
      <c r="H42" s="66"/>
      <c r="I42" s="66"/>
      <c r="J42" s="66"/>
      <c r="K42" s="66"/>
    </row>
    <row r="43" spans="1:15" x14ac:dyDescent="0.25">
      <c r="C43" s="66"/>
      <c r="D43" s="66"/>
      <c r="E43" s="66"/>
      <c r="F43" s="66"/>
      <c r="G43" s="66"/>
      <c r="H43" s="66"/>
      <c r="I43" s="66"/>
      <c r="J43" s="66"/>
      <c r="K43" s="66"/>
    </row>
    <row r="44" spans="1:15" x14ac:dyDescent="0.25">
      <c r="C44" s="66"/>
      <c r="D44" s="66"/>
      <c r="E44" s="66"/>
      <c r="F44" s="66"/>
      <c r="G44" s="66"/>
      <c r="H44" s="66"/>
      <c r="I44" s="66"/>
      <c r="J44" s="66"/>
      <c r="K44" s="66"/>
    </row>
    <row r="45" spans="1:15" x14ac:dyDescent="0.25">
      <c r="C45" s="66"/>
      <c r="D45" s="69"/>
      <c r="E45" s="69"/>
      <c r="F45" s="69"/>
      <c r="G45" s="69"/>
      <c r="H45" s="69"/>
      <c r="I45" s="69"/>
      <c r="J45" s="69"/>
      <c r="K45" s="69"/>
    </row>
  </sheetData>
  <sheetProtection algorithmName="SHA-512" hashValue="8sbKPJAmMVQ0XyYQs8pw5KANkzyB9XvptPtvUx+P0RRccasLKdFFVy7WnqurZ28C9/t73xe9lSwRvaVW4gyjDw==" saltValue="qJA78Jt35+Lo9IIFEk4S+Q==" spinCount="100000" sheet="1" objects="1" scenarios="1" selectLockedCells="1"/>
  <mergeCells count="21">
    <mergeCell ref="H19:H20"/>
    <mergeCell ref="F10:I10"/>
    <mergeCell ref="C13:K13"/>
    <mergeCell ref="C15:E15"/>
    <mergeCell ref="J18:K18"/>
    <mergeCell ref="A1:O1"/>
    <mergeCell ref="A2:O2"/>
    <mergeCell ref="I36:I37"/>
    <mergeCell ref="K36:K37"/>
    <mergeCell ref="L36:L37"/>
    <mergeCell ref="M36:M37"/>
    <mergeCell ref="O36:O37"/>
    <mergeCell ref="A36:H37"/>
    <mergeCell ref="A19:A20"/>
    <mergeCell ref="J36:J37"/>
    <mergeCell ref="N36:N37"/>
    <mergeCell ref="C5:D5"/>
    <mergeCell ref="C6:D6"/>
    <mergeCell ref="C7:D7"/>
    <mergeCell ref="C8:D8"/>
    <mergeCell ref="G19:G20"/>
  </mergeCells>
  <pageMargins left="0.2" right="0.2" top="0.25" bottom="0.25" header="0.3" footer="0.3"/>
  <pageSetup paperSize="5" scale="8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98FE-8F61-4F47-A642-BC1662933113}">
  <sheetPr>
    <tabColor theme="8" tint="0.39997558519241921"/>
  </sheetPr>
  <dimension ref="A1:L43"/>
  <sheetViews>
    <sheetView workbookViewId="0">
      <selection activeCell="N23" sqref="N23"/>
    </sheetView>
  </sheetViews>
  <sheetFormatPr defaultRowHeight="15" x14ac:dyDescent="0.25"/>
  <cols>
    <col min="1" max="1" width="19.140625" customWidth="1"/>
    <col min="2" max="2" width="20" customWidth="1"/>
    <col min="9" max="10" width="12.7109375" customWidth="1"/>
    <col min="11" max="11" width="16.140625" customWidth="1"/>
    <col min="12" max="12" width="18.28515625" customWidth="1"/>
    <col min="257" max="257" width="19.140625" customWidth="1"/>
    <col min="258" max="258" width="20" customWidth="1"/>
    <col min="265" max="266" width="12.7109375" customWidth="1"/>
    <col min="267" max="267" width="16.140625" customWidth="1"/>
    <col min="268" max="268" width="18.28515625" customWidth="1"/>
    <col min="513" max="513" width="19.140625" customWidth="1"/>
    <col min="514" max="514" width="20" customWidth="1"/>
    <col min="521" max="522" width="12.7109375" customWidth="1"/>
    <col min="523" max="523" width="16.140625" customWidth="1"/>
    <col min="524" max="524" width="18.28515625" customWidth="1"/>
    <col min="769" max="769" width="19.140625" customWidth="1"/>
    <col min="770" max="770" width="20" customWidth="1"/>
    <col min="777" max="778" width="12.7109375" customWidth="1"/>
    <col min="779" max="779" width="16.140625" customWidth="1"/>
    <col min="780" max="780" width="18.28515625" customWidth="1"/>
    <col min="1025" max="1025" width="19.140625" customWidth="1"/>
    <col min="1026" max="1026" width="20" customWidth="1"/>
    <col min="1033" max="1034" width="12.7109375" customWidth="1"/>
    <col min="1035" max="1035" width="16.140625" customWidth="1"/>
    <col min="1036" max="1036" width="18.28515625" customWidth="1"/>
    <col min="1281" max="1281" width="19.140625" customWidth="1"/>
    <col min="1282" max="1282" width="20" customWidth="1"/>
    <col min="1289" max="1290" width="12.7109375" customWidth="1"/>
    <col min="1291" max="1291" width="16.140625" customWidth="1"/>
    <col min="1292" max="1292" width="18.28515625" customWidth="1"/>
    <col min="1537" max="1537" width="19.140625" customWidth="1"/>
    <col min="1538" max="1538" width="20" customWidth="1"/>
    <col min="1545" max="1546" width="12.7109375" customWidth="1"/>
    <col min="1547" max="1547" width="16.140625" customWidth="1"/>
    <col min="1548" max="1548" width="18.28515625" customWidth="1"/>
    <col min="1793" max="1793" width="19.140625" customWidth="1"/>
    <col min="1794" max="1794" width="20" customWidth="1"/>
    <col min="1801" max="1802" width="12.7109375" customWidth="1"/>
    <col min="1803" max="1803" width="16.140625" customWidth="1"/>
    <col min="1804" max="1804" width="18.28515625" customWidth="1"/>
    <col min="2049" max="2049" width="19.140625" customWidth="1"/>
    <col min="2050" max="2050" width="20" customWidth="1"/>
    <col min="2057" max="2058" width="12.7109375" customWidth="1"/>
    <col min="2059" max="2059" width="16.140625" customWidth="1"/>
    <col min="2060" max="2060" width="18.28515625" customWidth="1"/>
    <col min="2305" max="2305" width="19.140625" customWidth="1"/>
    <col min="2306" max="2306" width="20" customWidth="1"/>
    <col min="2313" max="2314" width="12.7109375" customWidth="1"/>
    <col min="2315" max="2315" width="16.140625" customWidth="1"/>
    <col min="2316" max="2316" width="18.28515625" customWidth="1"/>
    <col min="2561" max="2561" width="19.140625" customWidth="1"/>
    <col min="2562" max="2562" width="20" customWidth="1"/>
    <col min="2569" max="2570" width="12.7109375" customWidth="1"/>
    <col min="2571" max="2571" width="16.140625" customWidth="1"/>
    <col min="2572" max="2572" width="18.28515625" customWidth="1"/>
    <col min="2817" max="2817" width="19.140625" customWidth="1"/>
    <col min="2818" max="2818" width="20" customWidth="1"/>
    <col min="2825" max="2826" width="12.7109375" customWidth="1"/>
    <col min="2827" max="2827" width="16.140625" customWidth="1"/>
    <col min="2828" max="2828" width="18.28515625" customWidth="1"/>
    <col min="3073" max="3073" width="19.140625" customWidth="1"/>
    <col min="3074" max="3074" width="20" customWidth="1"/>
    <col min="3081" max="3082" width="12.7109375" customWidth="1"/>
    <col min="3083" max="3083" width="16.140625" customWidth="1"/>
    <col min="3084" max="3084" width="18.28515625" customWidth="1"/>
    <col min="3329" max="3329" width="19.140625" customWidth="1"/>
    <col min="3330" max="3330" width="20" customWidth="1"/>
    <col min="3337" max="3338" width="12.7109375" customWidth="1"/>
    <col min="3339" max="3339" width="16.140625" customWidth="1"/>
    <col min="3340" max="3340" width="18.28515625" customWidth="1"/>
    <col min="3585" max="3585" width="19.140625" customWidth="1"/>
    <col min="3586" max="3586" width="20" customWidth="1"/>
    <col min="3593" max="3594" width="12.7109375" customWidth="1"/>
    <col min="3595" max="3595" width="16.140625" customWidth="1"/>
    <col min="3596" max="3596" width="18.28515625" customWidth="1"/>
    <col min="3841" max="3841" width="19.140625" customWidth="1"/>
    <col min="3842" max="3842" width="20" customWidth="1"/>
    <col min="3849" max="3850" width="12.7109375" customWidth="1"/>
    <col min="3851" max="3851" width="16.140625" customWidth="1"/>
    <col min="3852" max="3852" width="18.28515625" customWidth="1"/>
    <col min="4097" max="4097" width="19.140625" customWidth="1"/>
    <col min="4098" max="4098" width="20" customWidth="1"/>
    <col min="4105" max="4106" width="12.7109375" customWidth="1"/>
    <col min="4107" max="4107" width="16.140625" customWidth="1"/>
    <col min="4108" max="4108" width="18.28515625" customWidth="1"/>
    <col min="4353" max="4353" width="19.140625" customWidth="1"/>
    <col min="4354" max="4354" width="20" customWidth="1"/>
    <col min="4361" max="4362" width="12.7109375" customWidth="1"/>
    <col min="4363" max="4363" width="16.140625" customWidth="1"/>
    <col min="4364" max="4364" width="18.28515625" customWidth="1"/>
    <col min="4609" max="4609" width="19.140625" customWidth="1"/>
    <col min="4610" max="4610" width="20" customWidth="1"/>
    <col min="4617" max="4618" width="12.7109375" customWidth="1"/>
    <col min="4619" max="4619" width="16.140625" customWidth="1"/>
    <col min="4620" max="4620" width="18.28515625" customWidth="1"/>
    <col min="4865" max="4865" width="19.140625" customWidth="1"/>
    <col min="4866" max="4866" width="20" customWidth="1"/>
    <col min="4873" max="4874" width="12.7109375" customWidth="1"/>
    <col min="4875" max="4875" width="16.140625" customWidth="1"/>
    <col min="4876" max="4876" width="18.28515625" customWidth="1"/>
    <col min="5121" max="5121" width="19.140625" customWidth="1"/>
    <col min="5122" max="5122" width="20" customWidth="1"/>
    <col min="5129" max="5130" width="12.7109375" customWidth="1"/>
    <col min="5131" max="5131" width="16.140625" customWidth="1"/>
    <col min="5132" max="5132" width="18.28515625" customWidth="1"/>
    <col min="5377" max="5377" width="19.140625" customWidth="1"/>
    <col min="5378" max="5378" width="20" customWidth="1"/>
    <col min="5385" max="5386" width="12.7109375" customWidth="1"/>
    <col min="5387" max="5387" width="16.140625" customWidth="1"/>
    <col min="5388" max="5388" width="18.28515625" customWidth="1"/>
    <col min="5633" max="5633" width="19.140625" customWidth="1"/>
    <col min="5634" max="5634" width="20" customWidth="1"/>
    <col min="5641" max="5642" width="12.7109375" customWidth="1"/>
    <col min="5643" max="5643" width="16.140625" customWidth="1"/>
    <col min="5644" max="5644" width="18.28515625" customWidth="1"/>
    <col min="5889" max="5889" width="19.140625" customWidth="1"/>
    <col min="5890" max="5890" width="20" customWidth="1"/>
    <col min="5897" max="5898" width="12.7109375" customWidth="1"/>
    <col min="5899" max="5899" width="16.140625" customWidth="1"/>
    <col min="5900" max="5900" width="18.28515625" customWidth="1"/>
    <col min="6145" max="6145" width="19.140625" customWidth="1"/>
    <col min="6146" max="6146" width="20" customWidth="1"/>
    <col min="6153" max="6154" width="12.7109375" customWidth="1"/>
    <col min="6155" max="6155" width="16.140625" customWidth="1"/>
    <col min="6156" max="6156" width="18.28515625" customWidth="1"/>
    <col min="6401" max="6401" width="19.140625" customWidth="1"/>
    <col min="6402" max="6402" width="20" customWidth="1"/>
    <col min="6409" max="6410" width="12.7109375" customWidth="1"/>
    <col min="6411" max="6411" width="16.140625" customWidth="1"/>
    <col min="6412" max="6412" width="18.28515625" customWidth="1"/>
    <col min="6657" max="6657" width="19.140625" customWidth="1"/>
    <col min="6658" max="6658" width="20" customWidth="1"/>
    <col min="6665" max="6666" width="12.7109375" customWidth="1"/>
    <col min="6667" max="6667" width="16.140625" customWidth="1"/>
    <col min="6668" max="6668" width="18.28515625" customWidth="1"/>
    <col min="6913" max="6913" width="19.140625" customWidth="1"/>
    <col min="6914" max="6914" width="20" customWidth="1"/>
    <col min="6921" max="6922" width="12.7109375" customWidth="1"/>
    <col min="6923" max="6923" width="16.140625" customWidth="1"/>
    <col min="6924" max="6924" width="18.28515625" customWidth="1"/>
    <col min="7169" max="7169" width="19.140625" customWidth="1"/>
    <col min="7170" max="7170" width="20" customWidth="1"/>
    <col min="7177" max="7178" width="12.7109375" customWidth="1"/>
    <col min="7179" max="7179" width="16.140625" customWidth="1"/>
    <col min="7180" max="7180" width="18.28515625" customWidth="1"/>
    <col min="7425" max="7425" width="19.140625" customWidth="1"/>
    <col min="7426" max="7426" width="20" customWidth="1"/>
    <col min="7433" max="7434" width="12.7109375" customWidth="1"/>
    <col min="7435" max="7435" width="16.140625" customWidth="1"/>
    <col min="7436" max="7436" width="18.28515625" customWidth="1"/>
    <col min="7681" max="7681" width="19.140625" customWidth="1"/>
    <col min="7682" max="7682" width="20" customWidth="1"/>
    <col min="7689" max="7690" width="12.7109375" customWidth="1"/>
    <col min="7691" max="7691" width="16.140625" customWidth="1"/>
    <col min="7692" max="7692" width="18.28515625" customWidth="1"/>
    <col min="7937" max="7937" width="19.140625" customWidth="1"/>
    <col min="7938" max="7938" width="20" customWidth="1"/>
    <col min="7945" max="7946" width="12.7109375" customWidth="1"/>
    <col min="7947" max="7947" width="16.140625" customWidth="1"/>
    <col min="7948" max="7948" width="18.28515625" customWidth="1"/>
    <col min="8193" max="8193" width="19.140625" customWidth="1"/>
    <col min="8194" max="8194" width="20" customWidth="1"/>
    <col min="8201" max="8202" width="12.7109375" customWidth="1"/>
    <col min="8203" max="8203" width="16.140625" customWidth="1"/>
    <col min="8204" max="8204" width="18.28515625" customWidth="1"/>
    <col min="8449" max="8449" width="19.140625" customWidth="1"/>
    <col min="8450" max="8450" width="20" customWidth="1"/>
    <col min="8457" max="8458" width="12.7109375" customWidth="1"/>
    <col min="8459" max="8459" width="16.140625" customWidth="1"/>
    <col min="8460" max="8460" width="18.28515625" customWidth="1"/>
    <col min="8705" max="8705" width="19.140625" customWidth="1"/>
    <col min="8706" max="8706" width="20" customWidth="1"/>
    <col min="8713" max="8714" width="12.7109375" customWidth="1"/>
    <col min="8715" max="8715" width="16.140625" customWidth="1"/>
    <col min="8716" max="8716" width="18.28515625" customWidth="1"/>
    <col min="8961" max="8961" width="19.140625" customWidth="1"/>
    <col min="8962" max="8962" width="20" customWidth="1"/>
    <col min="8969" max="8970" width="12.7109375" customWidth="1"/>
    <col min="8971" max="8971" width="16.140625" customWidth="1"/>
    <col min="8972" max="8972" width="18.28515625" customWidth="1"/>
    <col min="9217" max="9217" width="19.140625" customWidth="1"/>
    <col min="9218" max="9218" width="20" customWidth="1"/>
    <col min="9225" max="9226" width="12.7109375" customWidth="1"/>
    <col min="9227" max="9227" width="16.140625" customWidth="1"/>
    <col min="9228" max="9228" width="18.28515625" customWidth="1"/>
    <col min="9473" max="9473" width="19.140625" customWidth="1"/>
    <col min="9474" max="9474" width="20" customWidth="1"/>
    <col min="9481" max="9482" width="12.7109375" customWidth="1"/>
    <col min="9483" max="9483" width="16.140625" customWidth="1"/>
    <col min="9484" max="9484" width="18.28515625" customWidth="1"/>
    <col min="9729" max="9729" width="19.140625" customWidth="1"/>
    <col min="9730" max="9730" width="20" customWidth="1"/>
    <col min="9737" max="9738" width="12.7109375" customWidth="1"/>
    <col min="9739" max="9739" width="16.140625" customWidth="1"/>
    <col min="9740" max="9740" width="18.28515625" customWidth="1"/>
    <col min="9985" max="9985" width="19.140625" customWidth="1"/>
    <col min="9986" max="9986" width="20" customWidth="1"/>
    <col min="9993" max="9994" width="12.7109375" customWidth="1"/>
    <col min="9995" max="9995" width="16.140625" customWidth="1"/>
    <col min="9996" max="9996" width="18.28515625" customWidth="1"/>
    <col min="10241" max="10241" width="19.140625" customWidth="1"/>
    <col min="10242" max="10242" width="20" customWidth="1"/>
    <col min="10249" max="10250" width="12.7109375" customWidth="1"/>
    <col min="10251" max="10251" width="16.140625" customWidth="1"/>
    <col min="10252" max="10252" width="18.28515625" customWidth="1"/>
    <col min="10497" max="10497" width="19.140625" customWidth="1"/>
    <col min="10498" max="10498" width="20" customWidth="1"/>
    <col min="10505" max="10506" width="12.7109375" customWidth="1"/>
    <col min="10507" max="10507" width="16.140625" customWidth="1"/>
    <col min="10508" max="10508" width="18.28515625" customWidth="1"/>
    <col min="10753" max="10753" width="19.140625" customWidth="1"/>
    <col min="10754" max="10754" width="20" customWidth="1"/>
    <col min="10761" max="10762" width="12.7109375" customWidth="1"/>
    <col min="10763" max="10763" width="16.140625" customWidth="1"/>
    <col min="10764" max="10764" width="18.28515625" customWidth="1"/>
    <col min="11009" max="11009" width="19.140625" customWidth="1"/>
    <col min="11010" max="11010" width="20" customWidth="1"/>
    <col min="11017" max="11018" width="12.7109375" customWidth="1"/>
    <col min="11019" max="11019" width="16.140625" customWidth="1"/>
    <col min="11020" max="11020" width="18.28515625" customWidth="1"/>
    <col min="11265" max="11265" width="19.140625" customWidth="1"/>
    <col min="11266" max="11266" width="20" customWidth="1"/>
    <col min="11273" max="11274" width="12.7109375" customWidth="1"/>
    <col min="11275" max="11275" width="16.140625" customWidth="1"/>
    <col min="11276" max="11276" width="18.28515625" customWidth="1"/>
    <col min="11521" max="11521" width="19.140625" customWidth="1"/>
    <col min="11522" max="11522" width="20" customWidth="1"/>
    <col min="11529" max="11530" width="12.7109375" customWidth="1"/>
    <col min="11531" max="11531" width="16.140625" customWidth="1"/>
    <col min="11532" max="11532" width="18.28515625" customWidth="1"/>
    <col min="11777" max="11777" width="19.140625" customWidth="1"/>
    <col min="11778" max="11778" width="20" customWidth="1"/>
    <col min="11785" max="11786" width="12.7109375" customWidth="1"/>
    <col min="11787" max="11787" width="16.140625" customWidth="1"/>
    <col min="11788" max="11788" width="18.28515625" customWidth="1"/>
    <col min="12033" max="12033" width="19.140625" customWidth="1"/>
    <col min="12034" max="12034" width="20" customWidth="1"/>
    <col min="12041" max="12042" width="12.7109375" customWidth="1"/>
    <col min="12043" max="12043" width="16.140625" customWidth="1"/>
    <col min="12044" max="12044" width="18.28515625" customWidth="1"/>
    <col min="12289" max="12289" width="19.140625" customWidth="1"/>
    <col min="12290" max="12290" width="20" customWidth="1"/>
    <col min="12297" max="12298" width="12.7109375" customWidth="1"/>
    <col min="12299" max="12299" width="16.140625" customWidth="1"/>
    <col min="12300" max="12300" width="18.28515625" customWidth="1"/>
    <col min="12545" max="12545" width="19.140625" customWidth="1"/>
    <col min="12546" max="12546" width="20" customWidth="1"/>
    <col min="12553" max="12554" width="12.7109375" customWidth="1"/>
    <col min="12555" max="12555" width="16.140625" customWidth="1"/>
    <col min="12556" max="12556" width="18.28515625" customWidth="1"/>
    <col min="12801" max="12801" width="19.140625" customWidth="1"/>
    <col min="12802" max="12802" width="20" customWidth="1"/>
    <col min="12809" max="12810" width="12.7109375" customWidth="1"/>
    <col min="12811" max="12811" width="16.140625" customWidth="1"/>
    <col min="12812" max="12812" width="18.28515625" customWidth="1"/>
    <col min="13057" max="13057" width="19.140625" customWidth="1"/>
    <col min="13058" max="13058" width="20" customWidth="1"/>
    <col min="13065" max="13066" width="12.7109375" customWidth="1"/>
    <col min="13067" max="13067" width="16.140625" customWidth="1"/>
    <col min="13068" max="13068" width="18.28515625" customWidth="1"/>
    <col min="13313" max="13313" width="19.140625" customWidth="1"/>
    <col min="13314" max="13314" width="20" customWidth="1"/>
    <col min="13321" max="13322" width="12.7109375" customWidth="1"/>
    <col min="13323" max="13323" width="16.140625" customWidth="1"/>
    <col min="13324" max="13324" width="18.28515625" customWidth="1"/>
    <col min="13569" max="13569" width="19.140625" customWidth="1"/>
    <col min="13570" max="13570" width="20" customWidth="1"/>
    <col min="13577" max="13578" width="12.7109375" customWidth="1"/>
    <col min="13579" max="13579" width="16.140625" customWidth="1"/>
    <col min="13580" max="13580" width="18.28515625" customWidth="1"/>
    <col min="13825" max="13825" width="19.140625" customWidth="1"/>
    <col min="13826" max="13826" width="20" customWidth="1"/>
    <col min="13833" max="13834" width="12.7109375" customWidth="1"/>
    <col min="13835" max="13835" width="16.140625" customWidth="1"/>
    <col min="13836" max="13836" width="18.28515625" customWidth="1"/>
    <col min="14081" max="14081" width="19.140625" customWidth="1"/>
    <col min="14082" max="14082" width="20" customWidth="1"/>
    <col min="14089" max="14090" width="12.7109375" customWidth="1"/>
    <col min="14091" max="14091" width="16.140625" customWidth="1"/>
    <col min="14092" max="14092" width="18.28515625" customWidth="1"/>
    <col min="14337" max="14337" width="19.140625" customWidth="1"/>
    <col min="14338" max="14338" width="20" customWidth="1"/>
    <col min="14345" max="14346" width="12.7109375" customWidth="1"/>
    <col min="14347" max="14347" width="16.140625" customWidth="1"/>
    <col min="14348" max="14348" width="18.28515625" customWidth="1"/>
    <col min="14593" max="14593" width="19.140625" customWidth="1"/>
    <col min="14594" max="14594" width="20" customWidth="1"/>
    <col min="14601" max="14602" width="12.7109375" customWidth="1"/>
    <col min="14603" max="14603" width="16.140625" customWidth="1"/>
    <col min="14604" max="14604" width="18.28515625" customWidth="1"/>
    <col min="14849" max="14849" width="19.140625" customWidth="1"/>
    <col min="14850" max="14850" width="20" customWidth="1"/>
    <col min="14857" max="14858" width="12.7109375" customWidth="1"/>
    <col min="14859" max="14859" width="16.140625" customWidth="1"/>
    <col min="14860" max="14860" width="18.28515625" customWidth="1"/>
    <col min="15105" max="15105" width="19.140625" customWidth="1"/>
    <col min="15106" max="15106" width="20" customWidth="1"/>
    <col min="15113" max="15114" width="12.7109375" customWidth="1"/>
    <col min="15115" max="15115" width="16.140625" customWidth="1"/>
    <col min="15116" max="15116" width="18.28515625" customWidth="1"/>
    <col min="15361" max="15361" width="19.140625" customWidth="1"/>
    <col min="15362" max="15362" width="20" customWidth="1"/>
    <col min="15369" max="15370" width="12.7109375" customWidth="1"/>
    <col min="15371" max="15371" width="16.140625" customWidth="1"/>
    <col min="15372" max="15372" width="18.28515625" customWidth="1"/>
    <col min="15617" max="15617" width="19.140625" customWidth="1"/>
    <col min="15618" max="15618" width="20" customWidth="1"/>
    <col min="15625" max="15626" width="12.7109375" customWidth="1"/>
    <col min="15627" max="15627" width="16.140625" customWidth="1"/>
    <col min="15628" max="15628" width="18.28515625" customWidth="1"/>
    <col min="15873" max="15873" width="19.140625" customWidth="1"/>
    <col min="15874" max="15874" width="20" customWidth="1"/>
    <col min="15881" max="15882" width="12.7109375" customWidth="1"/>
    <col min="15883" max="15883" width="16.140625" customWidth="1"/>
    <col min="15884" max="15884" width="18.28515625" customWidth="1"/>
    <col min="16129" max="16129" width="19.140625" customWidth="1"/>
    <col min="16130" max="16130" width="20" customWidth="1"/>
    <col min="16137" max="16138" width="12.7109375" customWidth="1"/>
    <col min="16139" max="16139" width="16.140625" customWidth="1"/>
    <col min="16140" max="16140" width="18.28515625" customWidth="1"/>
  </cols>
  <sheetData>
    <row r="1" spans="1:12" ht="23.25" x14ac:dyDescent="0.35">
      <c r="A1" s="295" t="s">
        <v>32</v>
      </c>
      <c r="B1" s="296"/>
      <c r="C1" s="296"/>
      <c r="D1" s="296"/>
      <c r="E1" s="296"/>
      <c r="F1" s="296"/>
      <c r="G1" s="296"/>
      <c r="H1" s="296"/>
      <c r="I1" s="296"/>
      <c r="J1" s="296"/>
      <c r="K1" s="296"/>
      <c r="L1" s="297"/>
    </row>
    <row r="2" spans="1:12" x14ac:dyDescent="0.25">
      <c r="A2" s="1"/>
      <c r="L2" s="2"/>
    </row>
    <row r="3" spans="1:12" x14ac:dyDescent="0.25">
      <c r="A3" s="1"/>
      <c r="L3" s="2"/>
    </row>
    <row r="4" spans="1:12" x14ac:dyDescent="0.25">
      <c r="A4" s="1"/>
      <c r="B4" s="283" t="s">
        <v>1</v>
      </c>
      <c r="C4" s="283"/>
      <c r="D4" s="24">
        <v>1225</v>
      </c>
      <c r="L4" s="2"/>
    </row>
    <row r="5" spans="1:12" x14ac:dyDescent="0.25">
      <c r="A5" s="1"/>
      <c r="B5" s="283" t="s">
        <v>2</v>
      </c>
      <c r="C5" s="283"/>
      <c r="D5" s="24">
        <v>1235</v>
      </c>
      <c r="E5" t="s">
        <v>3</v>
      </c>
      <c r="L5" s="2"/>
    </row>
    <row r="6" spans="1:12" x14ac:dyDescent="0.25">
      <c r="A6" s="1"/>
      <c r="B6" s="283" t="s">
        <v>4</v>
      </c>
      <c r="C6" s="283"/>
      <c r="D6" s="24">
        <v>1250</v>
      </c>
      <c r="L6" s="2"/>
    </row>
    <row r="7" spans="1:12" x14ac:dyDescent="0.25">
      <c r="A7" s="1"/>
      <c r="B7" s="283" t="s">
        <v>5</v>
      </c>
      <c r="C7" s="283"/>
      <c r="D7" s="24">
        <v>1232.5</v>
      </c>
      <c r="L7" s="2"/>
    </row>
    <row r="8" spans="1:12" ht="42" x14ac:dyDescent="1.45">
      <c r="A8" s="1"/>
      <c r="B8" t="s">
        <v>33</v>
      </c>
      <c r="L8" s="2"/>
    </row>
    <row r="9" spans="1:12" x14ac:dyDescent="0.25">
      <c r="A9" s="1"/>
      <c r="B9" s="283" t="s">
        <v>6</v>
      </c>
      <c r="C9" s="283"/>
      <c r="D9" s="284"/>
      <c r="E9" s="25">
        <v>20</v>
      </c>
      <c r="F9" s="7" t="s">
        <v>7</v>
      </c>
      <c r="L9" s="2"/>
    </row>
    <row r="10" spans="1:12" x14ac:dyDescent="0.25">
      <c r="A10" s="1"/>
      <c r="F10" s="7"/>
      <c r="L10" s="2"/>
    </row>
    <row r="11" spans="1:12" x14ac:dyDescent="0.25">
      <c r="A11" s="1"/>
      <c r="B11" t="s">
        <v>8</v>
      </c>
      <c r="F11" s="7"/>
      <c r="L11" s="2"/>
    </row>
    <row r="12" spans="1:12" ht="15.75" thickBot="1" x14ac:dyDescent="0.3">
      <c r="A12" s="1"/>
      <c r="L12" s="2"/>
    </row>
    <row r="13" spans="1:12" ht="16.5" x14ac:dyDescent="0.3">
      <c r="A13" s="26" t="s">
        <v>9</v>
      </c>
      <c r="B13" s="27" t="s">
        <v>10</v>
      </c>
      <c r="C13" s="28" t="s">
        <v>34</v>
      </c>
      <c r="D13" s="28" t="s">
        <v>35</v>
      </c>
      <c r="E13" s="28" t="s">
        <v>13</v>
      </c>
      <c r="F13" s="359" t="s">
        <v>36</v>
      </c>
      <c r="G13" s="359" t="s">
        <v>15</v>
      </c>
      <c r="H13" s="28" t="s">
        <v>16</v>
      </c>
      <c r="I13" s="28" t="s">
        <v>17</v>
      </c>
      <c r="J13" s="29" t="s">
        <v>18</v>
      </c>
      <c r="K13" s="30" t="s">
        <v>19</v>
      </c>
      <c r="L13" s="31" t="s">
        <v>19</v>
      </c>
    </row>
    <row r="14" spans="1:12" ht="15.75" thickBot="1" x14ac:dyDescent="0.3">
      <c r="A14" s="32" t="s">
        <v>22</v>
      </c>
      <c r="B14" s="33" t="s">
        <v>23</v>
      </c>
      <c r="C14" s="34" t="s">
        <v>24</v>
      </c>
      <c r="D14" s="34" t="s">
        <v>24</v>
      </c>
      <c r="E14" s="34" t="s">
        <v>24</v>
      </c>
      <c r="F14" s="360"/>
      <c r="G14" s="360"/>
      <c r="H14" s="34" t="s">
        <v>25</v>
      </c>
      <c r="I14" s="34" t="s">
        <v>26</v>
      </c>
      <c r="J14" s="35" t="s">
        <v>16</v>
      </c>
      <c r="K14" s="36" t="s">
        <v>27</v>
      </c>
      <c r="L14" s="37" t="s">
        <v>28</v>
      </c>
    </row>
    <row r="15" spans="1:12" ht="15.75" thickTop="1" x14ac:dyDescent="0.25">
      <c r="A15" s="38">
        <f>$D$4+10+E15</f>
        <v>1235</v>
      </c>
      <c r="B15" s="39">
        <v>1232.99</v>
      </c>
      <c r="C15" s="39">
        <f>B15-$D$4</f>
        <v>7.9900000000000091</v>
      </c>
      <c r="D15" s="39">
        <f>C15-E15</f>
        <v>7.9900000000000091</v>
      </c>
      <c r="E15" s="39">
        <v>0</v>
      </c>
      <c r="F15" s="39">
        <f>E15/C15</f>
        <v>0</v>
      </c>
      <c r="G15" s="40">
        <v>0.72399999999999998</v>
      </c>
      <c r="H15" s="39">
        <f>(2/3)*((2*32.2)^0.5)*G15*$E$9*(((C15)^1.5) - (D15)^1.5)</f>
        <v>0</v>
      </c>
      <c r="I15" s="41">
        <v>0</v>
      </c>
      <c r="J15" s="39">
        <f>I15*H15</f>
        <v>0</v>
      </c>
      <c r="K15" s="42">
        <f>(J15*7.48)*60</f>
        <v>0</v>
      </c>
      <c r="L15" s="43">
        <f>(K15*1440)</f>
        <v>0</v>
      </c>
    </row>
    <row r="16" spans="1:12" x14ac:dyDescent="0.25">
      <c r="A16" s="44">
        <f t="shared" ref="A16:A34" si="0">$D$4+10+E16</f>
        <v>1235.5</v>
      </c>
      <c r="B16" s="45">
        <v>1233</v>
      </c>
      <c r="C16" s="45">
        <f>B16-$D$4</f>
        <v>8</v>
      </c>
      <c r="D16" s="45">
        <f t="shared" ref="D16:D34" si="1">C16-E16</f>
        <v>7.5</v>
      </c>
      <c r="E16" s="45">
        <v>0.5</v>
      </c>
      <c r="F16" s="45">
        <f t="shared" ref="F16:F34" si="2">E16/C16</f>
        <v>6.25E-2</v>
      </c>
      <c r="G16" s="46">
        <v>0.72399999999999998</v>
      </c>
      <c r="H16" s="45">
        <f t="shared" ref="H16:H34" si="3">(2/3)*((2*32.2)^0.5)*G16*$E$9*(((C16)^1.5) - (D16)^1.5)</f>
        <v>161.73853948647238</v>
      </c>
      <c r="I16" s="47">
        <v>3</v>
      </c>
      <c r="J16" s="45">
        <f t="shared" ref="J16:J34" si="4">I16*H16</f>
        <v>485.2156184594171</v>
      </c>
      <c r="K16" s="48">
        <f t="shared" ref="K16:K34" si="5">(J16*7.48)*60</f>
        <v>217764.7695645864</v>
      </c>
      <c r="L16" s="49">
        <f t="shared" ref="L16:L34" si="6">(K16*1440)</f>
        <v>313581268.17300439</v>
      </c>
    </row>
    <row r="17" spans="1:12" x14ac:dyDescent="0.25">
      <c r="A17" s="50">
        <f t="shared" si="0"/>
        <v>1235.5</v>
      </c>
      <c r="B17" s="51">
        <v>1233.49</v>
      </c>
      <c r="C17" s="51">
        <f t="shared" ref="C17:C34" si="7">B17-$D$4</f>
        <v>8.4900000000000091</v>
      </c>
      <c r="D17" s="51">
        <f t="shared" si="1"/>
        <v>7.9900000000000091</v>
      </c>
      <c r="E17" s="51">
        <v>0.5</v>
      </c>
      <c r="F17" s="51">
        <f t="shared" si="2"/>
        <v>5.8892815076560599E-2</v>
      </c>
      <c r="G17" s="52">
        <v>0.72399999999999998</v>
      </c>
      <c r="H17" s="51">
        <f t="shared" si="3"/>
        <v>166.77403848391288</v>
      </c>
      <c r="I17" s="53">
        <v>3</v>
      </c>
      <c r="J17" s="51">
        <f t="shared" si="4"/>
        <v>500.32211545173863</v>
      </c>
      <c r="K17" s="54">
        <f t="shared" si="5"/>
        <v>224544.56541474033</v>
      </c>
      <c r="L17" s="55">
        <f t="shared" si="6"/>
        <v>323344174.19722605</v>
      </c>
    </row>
    <row r="18" spans="1:12" x14ac:dyDescent="0.25">
      <c r="A18" s="44">
        <f t="shared" si="0"/>
        <v>1235.5</v>
      </c>
      <c r="B18" s="45">
        <v>1233.5</v>
      </c>
      <c r="C18" s="45">
        <f t="shared" si="7"/>
        <v>8.5</v>
      </c>
      <c r="D18" s="45">
        <f t="shared" si="1"/>
        <v>8</v>
      </c>
      <c r="E18" s="45">
        <v>0.5</v>
      </c>
      <c r="F18" s="45">
        <f t="shared" si="2"/>
        <v>5.8823529411764705E-2</v>
      </c>
      <c r="G18" s="46">
        <v>0.72399999999999998</v>
      </c>
      <c r="H18" s="45">
        <f t="shared" si="3"/>
        <v>166.87522115081535</v>
      </c>
      <c r="I18" s="47">
        <v>6</v>
      </c>
      <c r="J18" s="45">
        <f t="shared" si="4"/>
        <v>1001.251326904892</v>
      </c>
      <c r="K18" s="48">
        <f t="shared" si="5"/>
        <v>449361.59551491559</v>
      </c>
      <c r="L18" s="49">
        <f t="shared" si="6"/>
        <v>647080697.5414784</v>
      </c>
    </row>
    <row r="19" spans="1:12" x14ac:dyDescent="0.25">
      <c r="A19" s="50">
        <f t="shared" si="0"/>
        <v>1235.5</v>
      </c>
      <c r="B19" s="51">
        <v>1233.99</v>
      </c>
      <c r="C19" s="51">
        <f t="shared" si="7"/>
        <v>8.9900000000000091</v>
      </c>
      <c r="D19" s="51">
        <f t="shared" si="1"/>
        <v>8.4900000000000091</v>
      </c>
      <c r="E19" s="51">
        <v>0.5</v>
      </c>
      <c r="F19" s="51">
        <f t="shared" si="2"/>
        <v>5.5617352614015514E-2</v>
      </c>
      <c r="G19" s="52">
        <v>0.72399999999999998</v>
      </c>
      <c r="H19" s="51">
        <f t="shared" si="3"/>
        <v>171.76014890202379</v>
      </c>
      <c r="I19" s="53">
        <v>6</v>
      </c>
      <c r="J19" s="51">
        <f t="shared" si="4"/>
        <v>1030.5608934121428</v>
      </c>
      <c r="K19" s="54">
        <f t="shared" si="5"/>
        <v>462515.72896336974</v>
      </c>
      <c r="L19" s="55">
        <f t="shared" si="6"/>
        <v>666022649.70725238</v>
      </c>
    </row>
    <row r="20" spans="1:12" x14ac:dyDescent="0.25">
      <c r="A20" s="44">
        <f t="shared" si="0"/>
        <v>1235.5</v>
      </c>
      <c r="B20" s="45">
        <v>1234</v>
      </c>
      <c r="C20" s="45">
        <f t="shared" si="7"/>
        <v>9</v>
      </c>
      <c r="D20" s="45">
        <f t="shared" si="1"/>
        <v>8.5</v>
      </c>
      <c r="E20" s="45">
        <v>0.5</v>
      </c>
      <c r="F20" s="45">
        <f t="shared" si="2"/>
        <v>5.5555555555555552E-2</v>
      </c>
      <c r="G20" s="46">
        <v>0.72399999999999998</v>
      </c>
      <c r="H20" s="45">
        <f t="shared" si="3"/>
        <v>171.8583951548575</v>
      </c>
      <c r="I20" s="47">
        <v>9</v>
      </c>
      <c r="J20" s="45">
        <f t="shared" si="4"/>
        <v>1546.7255563937176</v>
      </c>
      <c r="K20" s="48">
        <f t="shared" si="5"/>
        <v>694170.4297095004</v>
      </c>
      <c r="L20" s="49">
        <f t="shared" si="6"/>
        <v>999605418.78168058</v>
      </c>
    </row>
    <row r="21" spans="1:12" x14ac:dyDescent="0.25">
      <c r="A21" s="50">
        <f t="shared" si="0"/>
        <v>1235.5</v>
      </c>
      <c r="B21" s="51">
        <v>1234.49</v>
      </c>
      <c r="C21" s="51">
        <f t="shared" si="7"/>
        <v>9.4900000000000091</v>
      </c>
      <c r="D21" s="51">
        <f t="shared" si="1"/>
        <v>8.9900000000000091</v>
      </c>
      <c r="E21" s="51">
        <v>0.5</v>
      </c>
      <c r="F21" s="51">
        <f t="shared" si="2"/>
        <v>5.2687038988408798E-2</v>
      </c>
      <c r="G21" s="52">
        <v>0.72799999999999998</v>
      </c>
      <c r="H21" s="51">
        <f t="shared" si="3"/>
        <v>177.58122594160577</v>
      </c>
      <c r="I21" s="53">
        <v>9</v>
      </c>
      <c r="J21" s="51">
        <f t="shared" si="4"/>
        <v>1598.2310334744518</v>
      </c>
      <c r="K21" s="54">
        <f t="shared" si="5"/>
        <v>717286.08782333403</v>
      </c>
      <c r="L21" s="55">
        <f t="shared" si="6"/>
        <v>1032891966.465601</v>
      </c>
    </row>
    <row r="22" spans="1:12" x14ac:dyDescent="0.25">
      <c r="A22" s="44">
        <f t="shared" si="0"/>
        <v>1235.5</v>
      </c>
      <c r="B22" s="45">
        <v>1234.5</v>
      </c>
      <c r="C22" s="45">
        <f t="shared" si="7"/>
        <v>9.5</v>
      </c>
      <c r="D22" s="45">
        <f t="shared" si="1"/>
        <v>9</v>
      </c>
      <c r="E22" s="45">
        <v>0.5</v>
      </c>
      <c r="F22" s="45">
        <f t="shared" si="2"/>
        <v>5.2631578947368418E-2</v>
      </c>
      <c r="G22" s="46">
        <v>0.72799999999999998</v>
      </c>
      <c r="H22" s="45">
        <f t="shared" si="3"/>
        <v>177.67730540826645</v>
      </c>
      <c r="I22" s="47">
        <v>12</v>
      </c>
      <c r="J22" s="45">
        <f t="shared" si="4"/>
        <v>2132.1276648991975</v>
      </c>
      <c r="K22" s="48">
        <f t="shared" si="5"/>
        <v>956898.89600675984</v>
      </c>
      <c r="L22" s="49">
        <f t="shared" si="6"/>
        <v>1377934410.2497342</v>
      </c>
    </row>
    <row r="23" spans="1:12" x14ac:dyDescent="0.25">
      <c r="A23" s="50">
        <f t="shared" si="0"/>
        <v>1235.5</v>
      </c>
      <c r="B23" s="51">
        <v>1234.99</v>
      </c>
      <c r="C23" s="51">
        <f t="shared" si="7"/>
        <v>9.9900000000000091</v>
      </c>
      <c r="D23" s="51">
        <f t="shared" si="1"/>
        <v>9.4900000000000091</v>
      </c>
      <c r="E23" s="51">
        <v>0.5</v>
      </c>
      <c r="F23" s="51">
        <f t="shared" si="2"/>
        <v>5.0050050050050005E-2</v>
      </c>
      <c r="G23" s="52">
        <v>0.72799999999999998</v>
      </c>
      <c r="H23" s="51">
        <f t="shared" si="3"/>
        <v>182.32317209419287</v>
      </c>
      <c r="I23" s="53">
        <v>12</v>
      </c>
      <c r="J23" s="51">
        <f t="shared" si="4"/>
        <v>2187.8780651303146</v>
      </c>
      <c r="K23" s="54">
        <f t="shared" si="5"/>
        <v>981919.67563048529</v>
      </c>
      <c r="L23" s="55">
        <f t="shared" si="6"/>
        <v>1413964332.9078989</v>
      </c>
    </row>
    <row r="24" spans="1:12" x14ac:dyDescent="0.25">
      <c r="A24" s="44">
        <f t="shared" si="0"/>
        <v>1235.5</v>
      </c>
      <c r="B24" s="45">
        <v>1235</v>
      </c>
      <c r="C24" s="45">
        <f t="shared" si="7"/>
        <v>10</v>
      </c>
      <c r="D24" s="45">
        <f t="shared" si="1"/>
        <v>9.5</v>
      </c>
      <c r="E24" s="45">
        <v>0.5</v>
      </c>
      <c r="F24" s="45">
        <f t="shared" si="2"/>
        <v>0.05</v>
      </c>
      <c r="G24" s="46">
        <v>0.72799999999999998</v>
      </c>
      <c r="H24" s="45">
        <f t="shared" si="3"/>
        <v>182.41675340990568</v>
      </c>
      <c r="I24" s="47">
        <v>15</v>
      </c>
      <c r="J24" s="45">
        <f t="shared" si="4"/>
        <v>2736.2513011485853</v>
      </c>
      <c r="K24" s="48">
        <f t="shared" si="5"/>
        <v>1228029.5839554851</v>
      </c>
      <c r="L24" s="49">
        <f t="shared" si="6"/>
        <v>1768362600.8958986</v>
      </c>
    </row>
    <row r="25" spans="1:12" x14ac:dyDescent="0.25">
      <c r="A25" s="50">
        <f t="shared" si="0"/>
        <v>1235.5</v>
      </c>
      <c r="B25" s="51">
        <v>1235.49</v>
      </c>
      <c r="C25" s="51">
        <f t="shared" si="7"/>
        <v>10.490000000000009</v>
      </c>
      <c r="D25" s="51">
        <f t="shared" si="1"/>
        <v>9.9900000000000091</v>
      </c>
      <c r="E25" s="51">
        <v>0.5</v>
      </c>
      <c r="F25" s="51">
        <f t="shared" si="2"/>
        <v>4.7664442326024743E-2</v>
      </c>
      <c r="G25" s="52">
        <v>0.72799999999999998</v>
      </c>
      <c r="H25" s="51">
        <f t="shared" si="3"/>
        <v>186.94484937280569</v>
      </c>
      <c r="I25" s="53">
        <v>15</v>
      </c>
      <c r="J25" s="51">
        <f t="shared" si="4"/>
        <v>2804.1727405920856</v>
      </c>
      <c r="K25" s="54">
        <f t="shared" si="5"/>
        <v>1258512.7259777279</v>
      </c>
      <c r="L25" s="55">
        <f t="shared" si="6"/>
        <v>1812258325.4079282</v>
      </c>
    </row>
    <row r="26" spans="1:12" x14ac:dyDescent="0.25">
      <c r="A26" s="44">
        <f t="shared" si="0"/>
        <v>1235.58</v>
      </c>
      <c r="B26" s="45">
        <v>1235.5</v>
      </c>
      <c r="C26" s="45">
        <f t="shared" si="7"/>
        <v>10.5</v>
      </c>
      <c r="D26" s="45">
        <f t="shared" si="1"/>
        <v>9.92</v>
      </c>
      <c r="E26" s="45">
        <v>0.57999999999999996</v>
      </c>
      <c r="F26" s="45">
        <f t="shared" si="2"/>
        <v>5.5238095238095232E-2</v>
      </c>
      <c r="G26" s="46">
        <v>0.72399999999999998</v>
      </c>
      <c r="H26" s="45">
        <f t="shared" si="3"/>
        <v>215.34647087219358</v>
      </c>
      <c r="I26" s="47">
        <v>15</v>
      </c>
      <c r="J26" s="45">
        <f t="shared" si="4"/>
        <v>3230.1970630829037</v>
      </c>
      <c r="K26" s="48">
        <f t="shared" si="5"/>
        <v>1449712.441911607</v>
      </c>
      <c r="L26" s="49">
        <f t="shared" si="6"/>
        <v>2087585916.3527141</v>
      </c>
    </row>
    <row r="27" spans="1:12" x14ac:dyDescent="0.25">
      <c r="A27" s="50">
        <f t="shared" si="0"/>
        <v>1236.08</v>
      </c>
      <c r="B27" s="51">
        <v>1236</v>
      </c>
      <c r="C27" s="51">
        <f t="shared" si="7"/>
        <v>11</v>
      </c>
      <c r="D27" s="51">
        <f t="shared" si="1"/>
        <v>9.92</v>
      </c>
      <c r="E27" s="51">
        <v>1.08</v>
      </c>
      <c r="F27" s="51">
        <f t="shared" si="2"/>
        <v>9.818181818181819E-2</v>
      </c>
      <c r="G27" s="52">
        <v>0.71299999999999997</v>
      </c>
      <c r="H27" s="51">
        <f t="shared" si="3"/>
        <v>399.67207233920226</v>
      </c>
      <c r="I27" s="53">
        <v>15</v>
      </c>
      <c r="J27" s="51">
        <f t="shared" si="4"/>
        <v>5995.0810850880334</v>
      </c>
      <c r="K27" s="54">
        <f t="shared" si="5"/>
        <v>2690592.3909875094</v>
      </c>
      <c r="L27" s="55">
        <f t="shared" si="6"/>
        <v>3874453043.0220137</v>
      </c>
    </row>
    <row r="28" spans="1:12" x14ac:dyDescent="0.25">
      <c r="A28" s="44">
        <f t="shared" si="0"/>
        <v>1237.08</v>
      </c>
      <c r="B28" s="45">
        <v>1237</v>
      </c>
      <c r="C28" s="45">
        <f t="shared" si="7"/>
        <v>12</v>
      </c>
      <c r="D28" s="45">
        <f t="shared" si="1"/>
        <v>9.92</v>
      </c>
      <c r="E28" s="45">
        <v>2.08</v>
      </c>
      <c r="F28" s="45">
        <f t="shared" si="2"/>
        <v>0.17333333333333334</v>
      </c>
      <c r="G28" s="46">
        <v>0.70299999999999996</v>
      </c>
      <c r="H28" s="45">
        <f t="shared" si="3"/>
        <v>776.66480107972586</v>
      </c>
      <c r="I28" s="47">
        <v>15</v>
      </c>
      <c r="J28" s="45">
        <f t="shared" si="4"/>
        <v>11649.972016195889</v>
      </c>
      <c r="K28" s="48">
        <f t="shared" si="5"/>
        <v>5228507.4408687158</v>
      </c>
      <c r="L28" s="49">
        <f t="shared" si="6"/>
        <v>7529050714.8509502</v>
      </c>
    </row>
    <row r="29" spans="1:12" x14ac:dyDescent="0.25">
      <c r="A29" s="50">
        <f t="shared" si="0"/>
        <v>1237.25</v>
      </c>
      <c r="B29" s="51">
        <v>1237.08</v>
      </c>
      <c r="C29" s="51">
        <f t="shared" si="7"/>
        <v>12.079999999999927</v>
      </c>
      <c r="D29" s="51">
        <f t="shared" si="1"/>
        <v>9.8299999999999272</v>
      </c>
      <c r="E29" s="51">
        <v>2.25</v>
      </c>
      <c r="F29" s="51">
        <f t="shared" si="2"/>
        <v>0.18625827814569648</v>
      </c>
      <c r="G29" s="52">
        <v>0.69899999999999995</v>
      </c>
      <c r="H29" s="51">
        <f t="shared" si="3"/>
        <v>835.11745342252505</v>
      </c>
      <c r="I29" s="53">
        <v>15</v>
      </c>
      <c r="J29" s="51">
        <f t="shared" si="4"/>
        <v>12526.761801337876</v>
      </c>
      <c r="K29" s="54">
        <f t="shared" si="5"/>
        <v>5622010.6964404397</v>
      </c>
      <c r="L29" s="55">
        <f t="shared" si="6"/>
        <v>8095695402.8742332</v>
      </c>
    </row>
    <row r="30" spans="1:12" x14ac:dyDescent="0.25">
      <c r="A30" s="44">
        <f t="shared" si="0"/>
        <v>1240</v>
      </c>
      <c r="B30" s="45">
        <v>1238</v>
      </c>
      <c r="C30" s="45">
        <f t="shared" si="7"/>
        <v>13</v>
      </c>
      <c r="D30" s="45">
        <f t="shared" si="1"/>
        <v>8</v>
      </c>
      <c r="E30" s="45">
        <v>5</v>
      </c>
      <c r="F30" s="45">
        <f t="shared" si="2"/>
        <v>0.38461538461538464</v>
      </c>
      <c r="G30" s="46">
        <v>0.68</v>
      </c>
      <c r="H30" s="45">
        <f t="shared" si="3"/>
        <v>1764.039419710494</v>
      </c>
      <c r="I30" s="47">
        <v>15</v>
      </c>
      <c r="J30" s="45">
        <f t="shared" si="4"/>
        <v>26460.59129565741</v>
      </c>
      <c r="K30" s="48">
        <f t="shared" si="5"/>
        <v>11875513.373491047</v>
      </c>
      <c r="L30" s="49">
        <f t="shared" si="6"/>
        <v>17100739257.827108</v>
      </c>
    </row>
    <row r="31" spans="1:12" x14ac:dyDescent="0.25">
      <c r="A31" s="50">
        <f t="shared" si="0"/>
        <v>1243</v>
      </c>
      <c r="B31" s="51">
        <v>1239</v>
      </c>
      <c r="C31" s="51">
        <f t="shared" si="7"/>
        <v>14</v>
      </c>
      <c r="D31" s="51">
        <f t="shared" si="1"/>
        <v>6</v>
      </c>
      <c r="E31" s="51">
        <v>8</v>
      </c>
      <c r="F31" s="51">
        <f t="shared" si="2"/>
        <v>0.5714285714285714</v>
      </c>
      <c r="G31" s="52">
        <v>0.65900000000000003</v>
      </c>
      <c r="H31" s="51">
        <f t="shared" si="3"/>
        <v>2657.3587062324764</v>
      </c>
      <c r="I31" s="53">
        <v>15</v>
      </c>
      <c r="J31" s="51">
        <f t="shared" si="4"/>
        <v>39860.380593487149</v>
      </c>
      <c r="K31" s="54">
        <f t="shared" si="5"/>
        <v>17889338.810357034</v>
      </c>
      <c r="L31" s="55">
        <f t="shared" si="6"/>
        <v>25760647886.914131</v>
      </c>
    </row>
    <row r="32" spans="1:12" x14ac:dyDescent="0.25">
      <c r="A32" s="44">
        <f t="shared" si="0"/>
        <v>1252</v>
      </c>
      <c r="B32" s="45">
        <v>1242</v>
      </c>
      <c r="C32" s="45">
        <f t="shared" si="7"/>
        <v>17</v>
      </c>
      <c r="D32" s="45">
        <f t="shared" si="1"/>
        <v>0</v>
      </c>
      <c r="E32" s="45">
        <v>17</v>
      </c>
      <c r="F32" s="45">
        <f t="shared" si="2"/>
        <v>1</v>
      </c>
      <c r="G32" s="46">
        <v>0.62</v>
      </c>
      <c r="H32" s="45">
        <f t="shared" si="3"/>
        <v>4649.9334987837337</v>
      </c>
      <c r="I32" s="47">
        <v>15</v>
      </c>
      <c r="J32" s="45">
        <f t="shared" si="4"/>
        <v>69749.002481756004</v>
      </c>
      <c r="K32" s="48">
        <f t="shared" si="5"/>
        <v>31303352.313812099</v>
      </c>
      <c r="L32" s="49">
        <f t="shared" si="6"/>
        <v>45076827331.88942</v>
      </c>
    </row>
    <row r="33" spans="1:12" x14ac:dyDescent="0.25">
      <c r="A33" s="50">
        <f t="shared" si="0"/>
        <v>1252</v>
      </c>
      <c r="B33" s="51">
        <v>1246</v>
      </c>
      <c r="C33" s="51">
        <f t="shared" si="7"/>
        <v>21</v>
      </c>
      <c r="D33" s="51">
        <f t="shared" si="1"/>
        <v>4</v>
      </c>
      <c r="E33" s="51">
        <v>17</v>
      </c>
      <c r="F33" s="51">
        <f t="shared" si="2"/>
        <v>0.80952380952380953</v>
      </c>
      <c r="G33" s="52">
        <v>0.63200000000000001</v>
      </c>
      <c r="H33" s="51">
        <f t="shared" si="3"/>
        <v>5966.7131213970479</v>
      </c>
      <c r="I33" s="53">
        <v>15</v>
      </c>
      <c r="J33" s="51">
        <f t="shared" si="4"/>
        <v>89500.696820955724</v>
      </c>
      <c r="K33" s="54">
        <f t="shared" si="5"/>
        <v>40167912.733244933</v>
      </c>
      <c r="L33" s="55">
        <f t="shared" si="6"/>
        <v>57841794335.872704</v>
      </c>
    </row>
    <row r="34" spans="1:12" ht="15.75" thickBot="1" x14ac:dyDescent="0.3">
      <c r="A34" s="56">
        <f t="shared" si="0"/>
        <v>1252</v>
      </c>
      <c r="B34" s="57">
        <v>1250</v>
      </c>
      <c r="C34" s="57">
        <f t="shared" si="7"/>
        <v>25</v>
      </c>
      <c r="D34" s="57">
        <f t="shared" si="1"/>
        <v>8</v>
      </c>
      <c r="E34" s="57">
        <v>17</v>
      </c>
      <c r="F34" s="57">
        <f t="shared" si="2"/>
        <v>0.68</v>
      </c>
      <c r="G34" s="58">
        <v>0.64700000000000002</v>
      </c>
      <c r="H34" s="57">
        <f t="shared" si="3"/>
        <v>7087.1171586050405</v>
      </c>
      <c r="I34" s="59">
        <v>15</v>
      </c>
      <c r="J34" s="57">
        <f t="shared" si="4"/>
        <v>106306.7573790756</v>
      </c>
      <c r="K34" s="60">
        <f t="shared" si="5"/>
        <v>47710472.711729132</v>
      </c>
      <c r="L34" s="61">
        <f t="shared" si="6"/>
        <v>68703080704.889946</v>
      </c>
    </row>
    <row r="35" spans="1:12" x14ac:dyDescent="0.25">
      <c r="A35" s="62"/>
      <c r="B35" s="63"/>
      <c r="C35" s="63"/>
      <c r="D35" s="63"/>
      <c r="E35" s="63"/>
      <c r="F35" s="63"/>
      <c r="G35" s="64"/>
      <c r="H35" s="63"/>
      <c r="I35" s="65"/>
      <c r="J35" s="63"/>
      <c r="K35" s="62"/>
      <c r="L35" s="62"/>
    </row>
    <row r="36" spans="1:12" x14ac:dyDescent="0.25">
      <c r="B36" s="66"/>
      <c r="C36" s="66"/>
      <c r="D36" s="66"/>
      <c r="E36" s="66"/>
      <c r="F36" s="66"/>
      <c r="G36" s="67"/>
      <c r="H36" s="66"/>
      <c r="I36" s="68"/>
      <c r="J36" s="66"/>
    </row>
    <row r="37" spans="1:12" x14ac:dyDescent="0.25">
      <c r="B37" s="66"/>
      <c r="C37" s="66"/>
      <c r="D37" s="66"/>
      <c r="E37" s="66"/>
      <c r="F37" s="66"/>
      <c r="G37" s="67"/>
      <c r="H37" s="66"/>
      <c r="I37" s="68"/>
      <c r="J37" s="66"/>
    </row>
    <row r="38" spans="1:12" x14ac:dyDescent="0.25">
      <c r="B38" s="66"/>
      <c r="C38" s="66"/>
      <c r="D38" s="66"/>
      <c r="E38" s="66"/>
      <c r="F38" s="66"/>
      <c r="G38" s="66"/>
      <c r="H38" s="66"/>
      <c r="I38" s="68"/>
      <c r="J38" s="66"/>
    </row>
    <row r="39" spans="1:12" x14ac:dyDescent="0.25">
      <c r="B39" s="66"/>
      <c r="C39" s="66"/>
      <c r="D39" s="66"/>
      <c r="E39" s="66"/>
      <c r="F39" s="66"/>
      <c r="G39" s="66"/>
      <c r="H39" s="66"/>
      <c r="I39" s="68"/>
      <c r="J39" s="66"/>
    </row>
    <row r="40" spans="1:12" x14ac:dyDescent="0.25">
      <c r="B40" s="66"/>
      <c r="C40" s="66"/>
      <c r="D40" s="66"/>
      <c r="E40" s="66"/>
      <c r="F40" s="66"/>
      <c r="G40" s="66"/>
      <c r="H40" s="66"/>
      <c r="I40" s="66"/>
      <c r="J40" s="66"/>
    </row>
    <row r="41" spans="1:12" x14ac:dyDescent="0.25">
      <c r="B41" s="66"/>
      <c r="C41" s="66"/>
      <c r="D41" s="66"/>
      <c r="E41" s="66"/>
      <c r="F41" s="66"/>
      <c r="G41" s="66"/>
      <c r="H41" s="66"/>
      <c r="I41" s="66"/>
      <c r="J41" s="66"/>
    </row>
    <row r="42" spans="1:12" x14ac:dyDescent="0.25">
      <c r="B42" s="66"/>
      <c r="C42" s="66"/>
      <c r="D42" s="66"/>
      <c r="E42" s="66"/>
      <c r="F42" s="66"/>
      <c r="G42" s="66"/>
      <c r="H42" s="66"/>
      <c r="I42" s="66"/>
      <c r="J42" s="66"/>
    </row>
    <row r="43" spans="1:12" x14ac:dyDescent="0.25">
      <c r="B43" s="66"/>
      <c r="C43" s="69"/>
      <c r="D43" s="69"/>
      <c r="E43" s="69"/>
      <c r="F43" s="69"/>
      <c r="G43" s="69"/>
      <c r="H43" s="69"/>
      <c r="I43" s="69"/>
      <c r="J43" s="69"/>
    </row>
  </sheetData>
  <mergeCells count="8">
    <mergeCell ref="F13:F14"/>
    <mergeCell ref="G13:G14"/>
    <mergeCell ref="A1:L1"/>
    <mergeCell ref="B4:C4"/>
    <mergeCell ref="B5:C5"/>
    <mergeCell ref="B6:C6"/>
    <mergeCell ref="B7:C7"/>
    <mergeCell ref="B9:D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LAWTONKA POLICY</vt:lpstr>
      <vt:lpstr>LAWTONKA-CUSTOM</vt:lpstr>
      <vt:lpstr>LAWTONKA DISCHARGE RATES</vt:lpstr>
      <vt:lpstr>ELLSWORTH POLICY</vt:lpstr>
      <vt:lpstr>ELLSWORTH-CUSTOM</vt:lpstr>
      <vt:lpstr>ELLSWORTH DISCHARGE RATES</vt:lpstr>
      <vt:lpstr>'ELLSWORTH-CUSTOM'!Print_Area</vt:lpstr>
      <vt:lpstr>'LAWTONKA-CUSTOM'!Print_Area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Lake Discharge Calculator</dc:title>
  <dc:creator>Bret Kelley</dc:creator>
  <dc:description>PW:  1102</dc:description>
  <cp:lastModifiedBy>Bret Kelley</cp:lastModifiedBy>
  <cp:lastPrinted>2025-05-07T11:07:08Z</cp:lastPrinted>
  <dcterms:created xsi:type="dcterms:W3CDTF">2024-04-11T11:00:51Z</dcterms:created>
  <dcterms:modified xsi:type="dcterms:W3CDTF">2025-06-23T18:39:12Z</dcterms:modified>
</cp:coreProperties>
</file>