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Docs_Home\"/>
    </mc:Choice>
  </mc:AlternateContent>
  <xr:revisionPtr revIDLastSave="0" documentId="13_ncr:1_{F5B3791B-74E8-40BF-9945-12E914211FA1}" xr6:coauthVersionLast="45" xr6:coauthVersionMax="45" xr10:uidLastSave="{00000000-0000-0000-0000-000000000000}"/>
  <bookViews>
    <workbookView xWindow="-120" yWindow="-120" windowWidth="20730" windowHeight="11160" tabRatio="820" firstSheet="11" activeTab="19" xr2:uid="{501F6562-0567-4B1B-9862-921E6A7B9365}"/>
  </bookViews>
  <sheets>
    <sheet name="LIC Details" sheetId="4" r:id="rId1"/>
    <sheet name="Jan 20" sheetId="1" r:id="rId2"/>
    <sheet name="Feb 20" sheetId="2" r:id="rId3"/>
    <sheet name="March 20" sheetId="3" r:id="rId4"/>
    <sheet name="April 20" sheetId="5" r:id="rId5"/>
    <sheet name="May 20" sheetId="6" r:id="rId6"/>
    <sheet name="June 20" sheetId="8" r:id="rId7"/>
    <sheet name="July 20" sheetId="9" r:id="rId8"/>
    <sheet name="August 20" sheetId="16" r:id="rId9"/>
    <sheet name="September 20" sheetId="17" r:id="rId10"/>
    <sheet name="October 20" sheetId="19" r:id="rId11"/>
    <sheet name="November 20" sheetId="22" r:id="rId12"/>
    <sheet name="December 20" sheetId="23" r:id="rId13"/>
    <sheet name="January 21" sheetId="24" r:id="rId14"/>
    <sheet name="Feb 21" sheetId="26" r:id="rId15"/>
    <sheet name="March 21" sheetId="25" r:id="rId16"/>
    <sheet name="April 21" sheetId="28" r:id="rId17"/>
    <sheet name="May 21" sheetId="29" r:id="rId18"/>
    <sheet name="June 21" sheetId="31" r:id="rId19"/>
    <sheet name="July 21" sheetId="32" r:id="rId20"/>
    <sheet name="LIC Paid '21 Month" sheetId="30" r:id="rId21"/>
    <sheet name="LIC Loan_NEW" sheetId="27" r:id="rId22"/>
    <sheet name="Sheet1" sheetId="7" r:id="rId23"/>
    <sheet name="LIC_Policies_dues" sheetId="10" r:id="rId24"/>
    <sheet name="LOAN_Records" sheetId="14" r:id="rId25"/>
    <sheet name="Yearly Fixed Expenses" sheetId="15" r:id="rId26"/>
  </sheets>
  <definedNames>
    <definedName name="_xlnm._FilterDatabase" localSheetId="4" hidden="1">'April 20'!$B$2:$G$2</definedName>
    <definedName name="_xlnm._FilterDatabase" localSheetId="8" hidden="1">'August 20'!$A$3:$D$3</definedName>
    <definedName name="_xlnm._FilterDatabase" localSheetId="12" hidden="1">'December 20'!$A$3:$D$3</definedName>
    <definedName name="_xlnm._FilterDatabase" localSheetId="13" hidden="1">'January 21'!$A$3:$D$3</definedName>
    <definedName name="_xlnm._FilterDatabase" localSheetId="7" hidden="1">'July 20'!$A$3:$E$3</definedName>
    <definedName name="_xlnm._FilterDatabase" localSheetId="6" hidden="1">'June 20'!$A$2:$E$2</definedName>
    <definedName name="_xlnm._FilterDatabase" localSheetId="5" hidden="1">'May 20'!$A$2:$E$2</definedName>
    <definedName name="_xlnm._FilterDatabase" localSheetId="11" hidden="1">'November 20'!$A$3:$D$3</definedName>
    <definedName name="_xlnm._FilterDatabase" localSheetId="10" hidden="1">'October 20'!$A$3:$D$3</definedName>
    <definedName name="_xlnm._FilterDatabase" localSheetId="9" hidden="1">'September 20'!$A$3:$E$3</definedName>
    <definedName name="HREF_txnHistoryList_Header2" localSheetId="0">'LIC Details'!$B$8</definedName>
    <definedName name="HREF_txnHistoryList_Header3" localSheetId="0">'LIC Details'!$C$8</definedName>
    <definedName name="HREF_txnHistoryList_Header5" localSheetId="0">'LIC Details'!$E$8</definedName>
    <definedName name="HREF_txnHistoryList_Header6" localSheetId="0">'LIC Details'!$F$8</definedName>
    <definedName name="HREF_txnHistoryList_Header7" localSheetId="0">'LIC Details'!$G$8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31" l="1"/>
  <c r="H26" i="31"/>
  <c r="G12" i="30"/>
  <c r="E27" i="32"/>
  <c r="F27" i="32" s="1"/>
  <c r="E26" i="32"/>
  <c r="F26" i="32" s="1"/>
  <c r="B26" i="32"/>
  <c r="B28" i="32" s="1"/>
  <c r="G17" i="32"/>
  <c r="F19" i="32" s="1"/>
  <c r="H7" i="32"/>
  <c r="E28" i="32" l="1"/>
  <c r="E29" i="31"/>
  <c r="F29" i="31" s="1"/>
  <c r="E28" i="31"/>
  <c r="F28" i="31" s="1"/>
  <c r="B28" i="31"/>
  <c r="B30" i="31" s="1"/>
  <c r="E30" i="31" l="1"/>
  <c r="E16" i="30"/>
  <c r="F16" i="30" s="1"/>
  <c r="E10" i="30"/>
  <c r="G15" i="29"/>
  <c r="F15" i="29"/>
  <c r="F17" i="29" s="1"/>
  <c r="E55" i="28" l="1"/>
  <c r="E54" i="28"/>
  <c r="B54" i="28"/>
  <c r="E25" i="29" l="1"/>
  <c r="B24" i="29"/>
  <c r="B38" i="28" l="1"/>
  <c r="F25" i="29" l="1"/>
  <c r="E24" i="29"/>
  <c r="B26" i="29"/>
  <c r="B25" i="28"/>
  <c r="B27" i="28"/>
  <c r="B23" i="28"/>
  <c r="E26" i="29" l="1"/>
  <c r="F24" i="29"/>
  <c r="B5" i="15"/>
  <c r="B18" i="28"/>
  <c r="B16" i="28" l="1"/>
  <c r="F10" i="27" l="1"/>
  <c r="D16" i="27"/>
  <c r="J16" i="27"/>
  <c r="F55" i="28" l="1"/>
  <c r="F54" i="28"/>
  <c r="J7" i="28"/>
  <c r="B55" i="28" s="1"/>
  <c r="D15" i="27"/>
  <c r="B56" i="28" l="1"/>
  <c r="E56" i="28" l="1"/>
  <c r="F7" i="27"/>
  <c r="B17" i="26" l="1"/>
  <c r="B19" i="26" s="1"/>
  <c r="E18" i="26"/>
  <c r="F18" i="26" s="1"/>
  <c r="F17" i="26"/>
  <c r="E17" i="26"/>
  <c r="B16" i="25"/>
  <c r="B18" i="25" s="1"/>
  <c r="E17" i="25"/>
  <c r="F17" i="25" s="1"/>
  <c r="E16" i="25"/>
  <c r="F16" i="25" s="1"/>
  <c r="E19" i="26" l="1"/>
  <c r="E18" i="25"/>
  <c r="G12" i="22"/>
  <c r="L6" i="22" l="1"/>
  <c r="L6" i="19"/>
  <c r="J21" i="24" l="1"/>
  <c r="K21" i="24" s="1"/>
  <c r="B29" i="22"/>
  <c r="B30" i="22" s="1"/>
  <c r="B35" i="24"/>
  <c r="C34" i="24"/>
  <c r="B29" i="24"/>
  <c r="B30" i="24" s="1"/>
  <c r="J20" i="24"/>
  <c r="G20" i="24"/>
  <c r="G22" i="24" s="1"/>
  <c r="L6" i="23"/>
  <c r="B35" i="23"/>
  <c r="C34" i="23" s="1"/>
  <c r="J21" i="23"/>
  <c r="K21" i="23" s="1"/>
  <c r="J20" i="23"/>
  <c r="G20" i="23"/>
  <c r="G22" i="23" s="1"/>
  <c r="E7" i="23"/>
  <c r="B29" i="23"/>
  <c r="B30" i="23" s="1"/>
  <c r="B35" i="22"/>
  <c r="C34" i="22" s="1"/>
  <c r="J21" i="22"/>
  <c r="K21" i="22" s="1"/>
  <c r="J20" i="22"/>
  <c r="G20" i="22"/>
  <c r="G22" i="22" s="1"/>
  <c r="G20" i="19"/>
  <c r="G22" i="19" s="1"/>
  <c r="J21" i="19"/>
  <c r="K21" i="19" s="1"/>
  <c r="J20" i="19"/>
  <c r="K20" i="19" s="1"/>
  <c r="I20" i="17"/>
  <c r="I22" i="17"/>
  <c r="J22" i="22" l="1"/>
  <c r="K20" i="23"/>
  <c r="J22" i="23"/>
  <c r="J22" i="24"/>
  <c r="K20" i="24"/>
  <c r="J22" i="19"/>
  <c r="K20" i="22"/>
  <c r="M6" i="17"/>
  <c r="H24" i="17"/>
  <c r="I21" i="17"/>
  <c r="H4" i="15" l="1"/>
  <c r="G4" i="15"/>
  <c r="G3" i="15"/>
  <c r="G5" i="15" s="1"/>
  <c r="B22" i="15"/>
  <c r="B17" i="15"/>
  <c r="D17" i="15" s="1"/>
  <c r="B16" i="15"/>
  <c r="D16" i="15" s="1"/>
  <c r="B14" i="15"/>
  <c r="B3" i="15"/>
  <c r="B4" i="15"/>
  <c r="H3" i="15" l="1"/>
  <c r="H5" i="15" s="1"/>
  <c r="E7" i="19"/>
  <c r="A6" i="19"/>
  <c r="D11" i="15" l="1"/>
  <c r="D10" i="15"/>
  <c r="C31" i="14" l="1"/>
  <c r="C16" i="14"/>
  <c r="E9" i="14"/>
  <c r="E22" i="14"/>
  <c r="B35" i="19"/>
  <c r="C34" i="19" s="1"/>
  <c r="B29" i="19"/>
  <c r="B30" i="19" s="1"/>
  <c r="L8" i="16"/>
  <c r="M9" i="9"/>
  <c r="F7" i="17"/>
  <c r="C33" i="14" l="1"/>
  <c r="G6" i="16"/>
  <c r="A6" i="17"/>
  <c r="B29" i="17" s="1"/>
  <c r="B35" i="17" l="1"/>
  <c r="C34" i="17"/>
  <c r="H31" i="17"/>
  <c r="B30" i="17"/>
  <c r="A6" i="16"/>
  <c r="E7" i="16"/>
  <c r="D14" i="15"/>
  <c r="B35" i="16"/>
  <c r="C34" i="16" s="1"/>
  <c r="K32" i="16"/>
  <c r="K33" i="16" s="1"/>
  <c r="G29" i="16"/>
  <c r="G31" i="16" s="1"/>
  <c r="D9" i="15"/>
  <c r="D8" i="15"/>
  <c r="D7" i="15"/>
  <c r="D6" i="15"/>
  <c r="D5" i="15"/>
  <c r="D4" i="15"/>
  <c r="D3" i="15"/>
  <c r="D15" i="15"/>
  <c r="B29" i="16" l="1"/>
  <c r="B30" i="16" s="1"/>
  <c r="B23" i="9"/>
  <c r="C22" i="9" s="1"/>
  <c r="I11" i="7"/>
  <c r="H11" i="7"/>
  <c r="D22" i="15" l="1"/>
  <c r="B26" i="15"/>
  <c r="H7" i="9"/>
  <c r="H22" i="9" s="1"/>
  <c r="L25" i="9"/>
  <c r="L26" i="9" s="1"/>
  <c r="G5" i="8" l="1"/>
  <c r="M6" i="9"/>
  <c r="C18" i="14" l="1"/>
  <c r="C22" i="14"/>
  <c r="C3" i="14"/>
  <c r="C9" i="14"/>
  <c r="H24" i="9" l="1"/>
  <c r="F8" i="9"/>
  <c r="G9" i="10"/>
  <c r="A15" i="8" l="1"/>
  <c r="A12" i="8"/>
  <c r="O17" i="10" l="1"/>
  <c r="O21" i="10"/>
  <c r="L5" i="10"/>
  <c r="F4" i="10" l="1"/>
  <c r="A4" i="6"/>
  <c r="C17" i="10" l="1"/>
  <c r="C18" i="10" s="1"/>
  <c r="D15" i="10"/>
  <c r="C15" i="10"/>
  <c r="E15" i="10" s="1"/>
  <c r="B17" i="9" l="1"/>
  <c r="B18" i="9" s="1"/>
  <c r="B21" i="8"/>
  <c r="B22" i="8" s="1"/>
  <c r="C20" i="7" l="1"/>
  <c r="D13" i="7"/>
  <c r="D12" i="7"/>
  <c r="D11" i="7"/>
  <c r="D10" i="7"/>
  <c r="D9" i="7"/>
  <c r="D8" i="7"/>
  <c r="D6" i="7"/>
  <c r="D3" i="7"/>
  <c r="B20" i="6" l="1"/>
  <c r="B21" i="6" s="1"/>
  <c r="D21" i="5" l="1"/>
  <c r="D22" i="5" s="1"/>
  <c r="M23" i="3" l="1"/>
  <c r="B29" i="3"/>
  <c r="B32" i="3" l="1"/>
  <c r="J13" i="3"/>
  <c r="J17" i="3" s="1"/>
  <c r="G1" i="3" l="1"/>
  <c r="B28" i="2" l="1"/>
  <c r="G1" i="2" l="1"/>
  <c r="B20" i="1" l="1"/>
  <c r="B19" i="1"/>
  <c r="E22" i="1" l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tc={E779BFCF-D12F-4676-90E7-EA4CBF7D42B3}</author>
    <author>tc={2BF63EB9-D792-4B2E-80C3-A7A8D7C15443}</author>
  </authors>
  <commentList>
    <comment ref="A7" authorId="0" shapeId="0" xr:uid="{E779BFCF-D12F-4676-90E7-EA4CBF7D42B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6000 * 1 year
LIC =          4000 * 2 years
LIC =          3000 * 3 years
Prisha =     2000 * 5 years</t>
      </text>
    </comment>
    <comment ref="H7" authorId="1" shapeId="0" xr:uid="{2BF63EB9-D792-4B2E-80C3-A7A8D7C1544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tc={BD7E5772-A2A6-44D1-AC79-5F9083F4A2C4}</author>
    <author>tc={AA467EB1-FCF0-4F30-83C6-A412EFD0DAED}</author>
  </authors>
  <commentList>
    <comment ref="A6" authorId="0" shapeId="0" xr:uid="{BD7E5772-A2A6-44D1-AC79-5F9083F4A2C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6" authorId="1" shapeId="0" xr:uid="{AA467EB1-FCF0-4F30-83C6-A412EFD0DAED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tc={CEB1D6F4-F178-4608-818B-82669DE2805C}</author>
    <author>tc={7C01AFBF-0FE5-44C4-82D3-CEFA300E5FE4}</author>
  </authors>
  <commentList>
    <comment ref="A6" authorId="0" shapeId="0" xr:uid="{CEB1D6F4-F178-4608-818B-82669DE2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H14" authorId="1" shapeId="0" xr:uid="{7C01AFBF-0FE5-44C4-82D3-CEFA300E5FE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tc={234B9044-A728-4785-BD9F-0EBF1B367F8E}</author>
    <author>tc={3286EEC4-07C4-439E-88B5-6B2E08EB6DF9}</author>
    <author>tc={887778B9-50DB-4EC0-A4F7-9025F300F597}</author>
  </authors>
  <commentList>
    <comment ref="A6" authorId="0" shapeId="0" xr:uid="{234B9044-A728-4785-BD9F-0EBF1B367F8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9" authorId="1" shapeId="0" xr:uid="{3286EEC4-07C4-439E-88B5-6B2E08EB6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887778B9-50DB-4EC0-A4F7-9025F300F59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tc={85EA069F-FD86-4086-93F6-4BC18653117E}</author>
    <author>tc={C53F0259-19EF-4BB4-9453-8A474BBA00AA}</author>
    <author>tc={C47CBDB5-6A1C-4A68-9490-1878D37C469F}</author>
    <author>tc={4735312A-C54C-4F68-BAC3-D651D2B707F7}</author>
  </authors>
  <commentList>
    <comment ref="A9" authorId="0" shapeId="0" xr:uid="{85EA069F-FD86-4086-93F6-4BC1865311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C53F0259-19EF-4BB4-9453-8A474BBA00AA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C47CBDB5-6A1C-4A68-9490-1878D37C469F}">
      <text>
        <t>[Threaded comment]
Your version of Excel allows you to read this threaded comment; however, any edits to it will get removed if the file is opened in a newer version of Excel. Learn more: https://go.microsoft.com/fwlink/?linkid=870924
Comment:
    LIC =          3000 * 2 years [ 72000 ]
LIC =          2000 * 3 years [ 72000 ]
Prisha =     3000 * 5 years [ 180000 ]</t>
      </text>
    </comment>
    <comment ref="A14" authorId="3" shapeId="0" xr:uid="{4735312A-C54C-4F68-BAC3-D651D2B707F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tc={F41D52FB-E1AB-4D2B-B0BA-9DC56DE0CDA7}</author>
    <author>tc={2A2FD7E1-0E85-47E8-83B5-86C8081E55C0}</author>
    <author>tc={9F490F86-5A60-4E01-B4B4-1303F1A839E0}</author>
    <author>tc={F153432C-94FA-4328-B700-843776B7207C}</author>
  </authors>
  <commentList>
    <comment ref="A9" authorId="0" shapeId="0" xr:uid="{F41D52FB-E1AB-4D2B-B0BA-9DC56DE0CDA7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2A2FD7E1-0E85-47E8-83B5-86C8081E55C0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9F490F86-5A60-4E01-B4B4-1303F1A839E0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F153432C-94FA-4328-B700-843776B7207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tc={BEA1AB63-A272-4B60-8275-5167E54D1FB5}</author>
    <author>tc={E87E8C77-BEFE-4344-9542-42F20C7E8FC3}</author>
    <author>tc={E1AE5808-0D0F-4896-AB13-EBEB6896197A}</author>
    <author>tc={65D61D3C-8385-4C55-80C5-AE47510FE88C}</author>
  </authors>
  <commentList>
    <comment ref="A8" authorId="0" shapeId="0" xr:uid="{BEA1AB63-A272-4B60-8275-5167E54D1FB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8" authorId="1" shapeId="0" xr:uid="{E87E8C77-BEFE-4344-9542-42F20C7E8FC3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E1AE5808-0D0F-4896-AB13-EBEB6896197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65D61D3C-8385-4C55-80C5-AE47510FE88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tc={7F714332-EBF5-4533-8071-261D74FE1F55}</author>
    <author>tc={87994374-0C4E-40B7-89F1-79CB3526D84A}</author>
  </authors>
  <commentList>
    <comment ref="B8" authorId="0" shapeId="0" xr:uid="{7F714332-EBF5-4533-8071-261D74FE1F5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B9" authorId="1" shapeId="0" xr:uid="{87994374-0C4E-40B7-89F1-79CB3526D84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tc={368AAD3D-413A-4E6D-BCB9-FFFBA280766E}</author>
  </authors>
  <commentList>
    <comment ref="B8" authorId="0" shapeId="0" xr:uid="{368AAD3D-413A-4E6D-BCB9-FFFBA280766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sharedStrings.xml><?xml version="1.0" encoding="utf-8"?>
<sst xmlns="http://schemas.openxmlformats.org/spreadsheetml/2006/main" count="1811" uniqueCount="410">
  <si>
    <t>Value Date</t>
  </si>
  <si>
    <t>Transaction Date</t>
  </si>
  <si>
    <t>Cheque Number</t>
  </si>
  <si>
    <t>Transaction Remarks</t>
  </si>
  <si>
    <t>Withdrawal Amount (INR)</t>
  </si>
  <si>
    <t>Deposit Amount (INR)</t>
  </si>
  <si>
    <t>27/02/2020</t>
  </si>
  <si>
    <t>BIL/ONL/001930381881/Life Insur/LIC</t>
  </si>
  <si>
    <t>_RICI8563192/LIC HLF 1 Insta</t>
  </si>
  <si>
    <t>29/02/2020</t>
  </si>
  <si>
    <t>BIL/ONL/001932502600/Life Insur/LIC</t>
  </si>
  <si>
    <t>_RICI8570531/LIC HLF 2</t>
  </si>
  <si>
    <t>BIL/ONL/001932506033/Life Insur/LIC</t>
  </si>
  <si>
    <t>_RICI8570576/LIC HLF 3</t>
  </si>
  <si>
    <t>Online Payment</t>
  </si>
  <si>
    <t xml:space="preserve">Balance = </t>
  </si>
  <si>
    <t>Bike Repair</t>
  </si>
  <si>
    <t>Paid</t>
  </si>
  <si>
    <t>Home Use</t>
  </si>
  <si>
    <t>Pocket Money</t>
  </si>
  <si>
    <t>Petrol</t>
  </si>
  <si>
    <t>Snacks</t>
  </si>
  <si>
    <t>RD</t>
  </si>
  <si>
    <t>Home Loan (IDBI)</t>
  </si>
  <si>
    <t>Shine Job Portal</t>
  </si>
  <si>
    <t>HDFC Credit Card Payment</t>
  </si>
  <si>
    <t>Prisha Dance Class</t>
  </si>
  <si>
    <t>Yoga Class</t>
  </si>
  <si>
    <t xml:space="preserve">Train Ticket to Mumbai for Marriage </t>
  </si>
  <si>
    <t>Bus to Pune</t>
  </si>
  <si>
    <t>Marriage Expenses</t>
  </si>
  <si>
    <t>Total Paid</t>
  </si>
  <si>
    <t>From Bank</t>
  </si>
  <si>
    <t>To Bank</t>
  </si>
  <si>
    <t>Status</t>
  </si>
  <si>
    <t>ICICI</t>
  </si>
  <si>
    <t>Cash</t>
  </si>
  <si>
    <t>Home Loan (SBI)</t>
  </si>
  <si>
    <t>IDBI</t>
  </si>
  <si>
    <t>RD - ICICI</t>
  </si>
  <si>
    <t>HDFC</t>
  </si>
  <si>
    <t>Electric Bill</t>
  </si>
  <si>
    <t>Mobikwik</t>
  </si>
  <si>
    <t>PhonePe</t>
  </si>
  <si>
    <t>Pocket Money + Petrol</t>
  </si>
  <si>
    <t>LWP-Atos-Syntel</t>
  </si>
  <si>
    <t>Internet for 6 Months to Saurabh</t>
  </si>
  <si>
    <t>Phone Pe</t>
  </si>
  <si>
    <t>Seeds Purchased</t>
  </si>
  <si>
    <t>Net Banking</t>
  </si>
  <si>
    <t>Rupal Blood Report</t>
  </si>
  <si>
    <t>Debit Card</t>
  </si>
  <si>
    <t>SOLID Priciples UDEMY</t>
  </si>
  <si>
    <t>Travel Exp…Car from Mumbai</t>
  </si>
  <si>
    <t>UPI</t>
  </si>
  <si>
    <t>Fixed</t>
  </si>
  <si>
    <t>LIC HLF YRLY -1: 903789781</t>
  </si>
  <si>
    <t>Online</t>
  </si>
  <si>
    <t>LIC HLF YRLY -2: 903789782</t>
  </si>
  <si>
    <t xml:space="preserve">14,890.33	</t>
  </si>
  <si>
    <t>LIC HLF YRLY -3: 903789783</t>
  </si>
  <si>
    <t>Aviator Charges</t>
  </si>
  <si>
    <t>Prisha Dance Class Fees</t>
  </si>
  <si>
    <t>Prisha Picnic for 5 Days</t>
  </si>
  <si>
    <t>HDFC Credit Card Payment Mobile Last Advanced EMI</t>
  </si>
  <si>
    <t>Heuver Watch</t>
  </si>
  <si>
    <t>In Hand</t>
  </si>
  <si>
    <t>SBI</t>
  </si>
  <si>
    <t>Loan Transfer</t>
  </si>
  <si>
    <t>Advanced Cash Withdrawal</t>
  </si>
  <si>
    <t>2nd April 20</t>
  </si>
  <si>
    <t>4th April 20</t>
  </si>
  <si>
    <t>MSEB</t>
  </si>
  <si>
    <t>Prisha School Fees</t>
  </si>
  <si>
    <t>SBBPS PayPal NetBanking</t>
  </si>
  <si>
    <t>13th April 20</t>
  </si>
  <si>
    <t>Inverter Purchase For Home</t>
  </si>
  <si>
    <t>BHIM UPI Phone Pe</t>
  </si>
  <si>
    <t>21st April 20</t>
  </si>
  <si>
    <t>Grain Storage</t>
  </si>
  <si>
    <t>Vegetables</t>
  </si>
  <si>
    <t>Card Swipe</t>
  </si>
  <si>
    <t>Grain &amp; Groceries</t>
  </si>
  <si>
    <t>Phone Pe/Google Pay</t>
  </si>
  <si>
    <t>Groceries</t>
  </si>
  <si>
    <t>12th April 20</t>
  </si>
  <si>
    <t>Amount Paid</t>
  </si>
  <si>
    <t>Description</t>
  </si>
  <si>
    <t>Home Use (Advanced Purchased in April Month)</t>
  </si>
  <si>
    <t>LIC Premium May_20</t>
  </si>
  <si>
    <t>BHIM UPI</t>
  </si>
  <si>
    <t>5th May 2020</t>
  </si>
  <si>
    <t>1st May 2020</t>
  </si>
  <si>
    <t>4th May 2020</t>
  </si>
  <si>
    <t>-</t>
  </si>
  <si>
    <t>19th May 2020</t>
  </si>
  <si>
    <t>Internet - 3 Months</t>
  </si>
  <si>
    <t>2nd May 2020</t>
  </si>
  <si>
    <t>Dance Class Fees</t>
  </si>
  <si>
    <t>6th May 2020</t>
  </si>
  <si>
    <t>Idea Recharge for Internet to Prisha Idea &amp; Jimish Idea number</t>
  </si>
  <si>
    <t>Freecharge</t>
  </si>
  <si>
    <t>LinkedIn</t>
  </si>
  <si>
    <t>Auto Deducted</t>
  </si>
  <si>
    <t>8th May 2020</t>
  </si>
  <si>
    <t>Byjus Subscription</t>
  </si>
  <si>
    <t>10th May 2020</t>
  </si>
  <si>
    <t>Games Purchsed Prisha</t>
  </si>
  <si>
    <t>Remaining</t>
  </si>
  <si>
    <t>Paid Date</t>
  </si>
  <si>
    <t>Home Use (Advanced Purchased in April Month) Tentative</t>
  </si>
  <si>
    <t>7th June 2020</t>
  </si>
  <si>
    <t>31st May 2020</t>
  </si>
  <si>
    <t>LIC Premium June_20</t>
  </si>
  <si>
    <t>June 20 Month</t>
  </si>
  <si>
    <t>Mediclaim [Yearly]</t>
  </si>
  <si>
    <t>1st June 2020</t>
  </si>
  <si>
    <t>4th June 2020</t>
  </si>
  <si>
    <t>30th June 2020</t>
  </si>
  <si>
    <t>Sona [Shrinathji Frame]</t>
  </si>
  <si>
    <t>Gemini [Garam Masala, Broom &amp; Others]</t>
  </si>
  <si>
    <t>6th June 2020</t>
  </si>
  <si>
    <t>Carom Board</t>
  </si>
  <si>
    <t>15th June 2020</t>
  </si>
  <si>
    <t>Reversal Prisha Trip Expense</t>
  </si>
  <si>
    <t>SBPPS</t>
  </si>
  <si>
    <t>IDBI ATM</t>
  </si>
  <si>
    <t>9th June 2020</t>
  </si>
  <si>
    <t>Syntel Loan Re-payment Last Installment</t>
  </si>
  <si>
    <r>
      <rPr>
        <b/>
        <sz val="11"/>
        <color theme="1"/>
        <rFont val="Calibri"/>
        <family val="2"/>
        <scheme val="minor"/>
      </rPr>
      <t>Syntel Bank Account:</t>
    </r>
    <r>
      <rPr>
        <sz val="11"/>
        <color theme="1"/>
        <rFont val="Calibri"/>
        <family val="2"/>
        <scheme val="minor"/>
      </rPr>
      <t xml:space="preserve">
JPMorgan Chase Bank </t>
    </r>
  </si>
  <si>
    <t>10th June 2020</t>
  </si>
  <si>
    <t>Plural sight Installment</t>
  </si>
  <si>
    <t>Unpaid</t>
  </si>
  <si>
    <t>Finally Paid Amount</t>
  </si>
  <si>
    <t>Paid Date/Desc</t>
  </si>
  <si>
    <t>Comments</t>
  </si>
  <si>
    <t>Paid: 05/07/2020</t>
  </si>
  <si>
    <t>Rupal New Specs</t>
  </si>
  <si>
    <t>Vision Specs</t>
  </si>
  <si>
    <t>Paid: 05/06/2020</t>
  </si>
  <si>
    <t>SBI: Auto Deduct</t>
  </si>
  <si>
    <t>Paid: 17/07/2020</t>
  </si>
  <si>
    <t>RD New - ICICI</t>
  </si>
  <si>
    <t>RD New - SBI</t>
  </si>
  <si>
    <t>SBI RD</t>
  </si>
  <si>
    <t>Paid: 02/07/2020</t>
  </si>
  <si>
    <t>Byjus Prisha Fees</t>
  </si>
  <si>
    <t>Auto Deduct</t>
  </si>
  <si>
    <t>PPF Transfer</t>
  </si>
  <si>
    <t>SBI PPF</t>
  </si>
  <si>
    <t>Paid: 16/07/2020</t>
  </si>
  <si>
    <t>Paid: 06/07/2020</t>
  </si>
  <si>
    <t>Society Maintenance (Till March 2020)</t>
  </si>
  <si>
    <t>Property Tax [Yearly]</t>
  </si>
  <si>
    <t>Paid: 07/07/2020</t>
  </si>
  <si>
    <t>Sona Loan-1 [50000]</t>
  </si>
  <si>
    <t>Bank of India</t>
  </si>
  <si>
    <t xml:space="preserve">Loan Balance: 45000 </t>
  </si>
  <si>
    <t>202210110002538:
BKID0002022</t>
  </si>
  <si>
    <t>Pluralsight Online payment</t>
  </si>
  <si>
    <t>Paid: 16/7/2020</t>
  </si>
  <si>
    <t>Ketan Loan</t>
  </si>
  <si>
    <t>Dena Bank</t>
  </si>
  <si>
    <t>Paid: 17/7/2020</t>
  </si>
  <si>
    <t>To be Paid</t>
  </si>
  <si>
    <t>Total In Hand</t>
  </si>
  <si>
    <t>Finally Paid</t>
  </si>
  <si>
    <t>Home Expenses</t>
  </si>
  <si>
    <t>Paid: 31/01/2020</t>
  </si>
  <si>
    <t>To Be Paid</t>
  </si>
  <si>
    <t>Paid: 20/08/2020</t>
  </si>
  <si>
    <t>Sona Loan-1 [Bal: 45000]</t>
  </si>
  <si>
    <t>Paid: 31/07/2020</t>
  </si>
  <si>
    <t>Prisha School fees Installemnt-2</t>
  </si>
  <si>
    <t>IDBI Netbanking</t>
  </si>
  <si>
    <t>Paid: 10/08/2020</t>
  </si>
  <si>
    <t>D'Mart Bed sheet Purchase</t>
  </si>
  <si>
    <t>Paid: 23/08/2020</t>
  </si>
  <si>
    <t>Plastic Chair &amp; Table</t>
  </si>
  <si>
    <t>IDFC First Bank (Open new account)</t>
  </si>
  <si>
    <t>IDBI-Rupal</t>
  </si>
  <si>
    <t>Cheque</t>
  </si>
  <si>
    <t>Paid: 28/08/2020</t>
  </si>
  <si>
    <t>Cash ATM</t>
  </si>
  <si>
    <t>Raksha Bandhan Cover</t>
  </si>
  <si>
    <t>LIC Half Yearly</t>
  </si>
  <si>
    <t>LIC Payment Gateway</t>
  </si>
  <si>
    <t>LIC Half Yearly 470</t>
  </si>
  <si>
    <t>AHM transfer Monthly</t>
  </si>
  <si>
    <t>IDFC Fund Monthly - 4th Installment</t>
  </si>
  <si>
    <t>Savings Transfer</t>
  </si>
  <si>
    <t>KTK</t>
  </si>
  <si>
    <t>Prisha Doctor Treatment</t>
  </si>
  <si>
    <t>45000 Remaining</t>
  </si>
  <si>
    <t>AHM transfer</t>
  </si>
  <si>
    <t>IDBI Transfers</t>
  </si>
  <si>
    <t>SBI Transfers</t>
  </si>
  <si>
    <t>Jimish-IDBI</t>
  </si>
  <si>
    <t>Byjus Prisha Fees - 4th Inst.</t>
  </si>
  <si>
    <t>SBI - AHM</t>
  </si>
  <si>
    <t>Remaining: 8250</t>
  </si>
  <si>
    <t>Dry Fruits</t>
  </si>
  <si>
    <t>Loan Balance: 200000</t>
  </si>
  <si>
    <t>For Society Maintenance (March '20)</t>
  </si>
  <si>
    <t>PPF Transfer - SBI</t>
  </si>
  <si>
    <t>IDFC Fund Monthly Inst. - 4th Installment</t>
  </si>
  <si>
    <t>Non-Refundable</t>
  </si>
  <si>
    <t>Savings of the Month</t>
  </si>
  <si>
    <t>&lt;&lt; Remaining</t>
  </si>
  <si>
    <t>Byjus Prisha Fees - 5th Inst.</t>
  </si>
  <si>
    <t>Society Maintenance - 1st Installment [March '20]</t>
  </si>
  <si>
    <t>Home for Diwali</t>
  </si>
  <si>
    <t>Prisha Fees Last Installment</t>
  </si>
  <si>
    <t>Payment Gateway</t>
  </si>
  <si>
    <t>Lonavala Trip</t>
  </si>
  <si>
    <t>Diwali Covers</t>
  </si>
  <si>
    <t>IDFC</t>
  </si>
  <si>
    <t>Byjus Prisha Fees - Last Inst.</t>
  </si>
  <si>
    <t>2021/January</t>
  </si>
  <si>
    <t>1st Installment</t>
  </si>
  <si>
    <t>SBI - KTK</t>
  </si>
  <si>
    <t xml:space="preserve">Non-Refundable = </t>
  </si>
  <si>
    <t xml:space="preserve">Savings of the Month = </t>
  </si>
  <si>
    <t>LIC May'20</t>
  </si>
  <si>
    <t>LIC June 20</t>
  </si>
  <si>
    <t>Prisha Fees 2nd Inst</t>
  </si>
  <si>
    <t>Mediclaim</t>
  </si>
  <si>
    <t>Property Tax</t>
  </si>
  <si>
    <t>Society Maintenance</t>
  </si>
  <si>
    <t>LIC HLF Yrly 1st Inst.</t>
  </si>
  <si>
    <t>Prisha Fees 3rd Inst</t>
  </si>
  <si>
    <t>Diwali</t>
  </si>
  <si>
    <t>LIC</t>
  </si>
  <si>
    <t>Prisha Fees Last Inst</t>
  </si>
  <si>
    <t>Total Yrly Expense</t>
  </si>
  <si>
    <t>Balance: July 20</t>
  </si>
  <si>
    <t>Policy#</t>
  </si>
  <si>
    <t>Sona</t>
  </si>
  <si>
    <t>Ketan</t>
  </si>
  <si>
    <t>Total</t>
  </si>
  <si>
    <t>Loan Sona</t>
  </si>
  <si>
    <t>Vidhi Marriage Gift</t>
  </si>
  <si>
    <t xml:space="preserve">Frame </t>
  </si>
  <si>
    <t>Remaining May Month</t>
  </si>
  <si>
    <t>Remaining June Month</t>
  </si>
  <si>
    <t>Pending Loan Statement</t>
  </si>
  <si>
    <t>Paid date</t>
  </si>
  <si>
    <t xml:space="preserve">Vidhi Marriage + Taken Loan for Home </t>
  </si>
  <si>
    <t>Shrinathji Frame</t>
  </si>
  <si>
    <t>[July '20]</t>
  </si>
  <si>
    <t>30th June '2020</t>
  </si>
  <si>
    <t>[August '20]</t>
  </si>
  <si>
    <t>[September '20]</t>
  </si>
  <si>
    <t>[October '20]</t>
  </si>
  <si>
    <t>Ketan for Home</t>
  </si>
  <si>
    <t>Taken Loan for Home</t>
  </si>
  <si>
    <t>16th July '2020</t>
  </si>
  <si>
    <t>[December '20]</t>
  </si>
  <si>
    <t>[April '20]</t>
  </si>
  <si>
    <t>HDFC Mobile Phone Loan</t>
  </si>
  <si>
    <t>[Bill July '20]</t>
  </si>
  <si>
    <t>[Bill August '20]</t>
  </si>
  <si>
    <t>[Bill September '20]</t>
  </si>
  <si>
    <t>BYJUS 0% LOAN [6 Months Installments]</t>
  </si>
  <si>
    <r>
      <rPr>
        <b/>
        <sz val="11"/>
        <color theme="1"/>
        <rFont val="Calibri"/>
        <family val="2"/>
        <scheme val="minor"/>
      </rPr>
      <t>July '20</t>
    </r>
    <r>
      <rPr>
        <sz val="11"/>
        <color theme="1"/>
        <rFont val="Calibri"/>
        <family val="2"/>
        <scheme val="minor"/>
      </rPr>
      <t xml:space="preserve"> [1st Installment]</t>
    </r>
  </si>
  <si>
    <r>
      <rPr>
        <b/>
        <sz val="11"/>
        <color theme="1"/>
        <rFont val="Calibri"/>
        <family val="2"/>
        <scheme val="minor"/>
      </rPr>
      <t>August '20</t>
    </r>
    <r>
      <rPr>
        <sz val="11"/>
        <color theme="1"/>
        <rFont val="Calibri"/>
        <family val="2"/>
        <scheme val="minor"/>
      </rPr>
      <t xml:space="preserve"> [2nd Installment]</t>
    </r>
  </si>
  <si>
    <r>
      <rPr>
        <b/>
        <sz val="11"/>
        <color theme="1"/>
        <rFont val="Calibri"/>
        <family val="2"/>
        <scheme val="minor"/>
      </rPr>
      <t>September '20</t>
    </r>
    <r>
      <rPr>
        <sz val="11"/>
        <color theme="1"/>
        <rFont val="Calibri"/>
        <family val="2"/>
        <scheme val="minor"/>
      </rPr>
      <t xml:space="preserve"> [3rd Installment]</t>
    </r>
  </si>
  <si>
    <r>
      <rPr>
        <b/>
        <sz val="11"/>
        <color theme="1"/>
        <rFont val="Calibri"/>
        <family val="2"/>
        <scheme val="minor"/>
      </rPr>
      <t>October '20</t>
    </r>
    <r>
      <rPr>
        <sz val="11"/>
        <color theme="1"/>
        <rFont val="Calibri"/>
        <family val="2"/>
        <scheme val="minor"/>
      </rPr>
      <t xml:space="preserve"> [4th Installment]</t>
    </r>
  </si>
  <si>
    <r>
      <rPr>
        <b/>
        <sz val="11"/>
        <color theme="1"/>
        <rFont val="Calibri"/>
        <family val="2"/>
        <scheme val="minor"/>
      </rPr>
      <t>November '20</t>
    </r>
    <r>
      <rPr>
        <sz val="11"/>
        <color theme="1"/>
        <rFont val="Calibri"/>
        <family val="2"/>
        <scheme val="minor"/>
      </rPr>
      <t xml:space="preserve"> [5th Installment]</t>
    </r>
  </si>
  <si>
    <r>
      <rPr>
        <b/>
        <sz val="11"/>
        <color theme="1"/>
        <rFont val="Calibri"/>
        <family val="2"/>
        <scheme val="minor"/>
      </rPr>
      <t>December '20</t>
    </r>
    <r>
      <rPr>
        <sz val="11"/>
        <color theme="1"/>
        <rFont val="Calibri"/>
        <family val="2"/>
        <scheme val="minor"/>
      </rPr>
      <t xml:space="preserve"> [6th Installment]</t>
    </r>
  </si>
  <si>
    <t>Total Remaining Pending Loan</t>
  </si>
  <si>
    <t>Yearly</t>
  </si>
  <si>
    <t>Monthly</t>
  </si>
  <si>
    <t>Home Loan</t>
  </si>
  <si>
    <t>Non-refundable</t>
  </si>
  <si>
    <t>Non-Profit</t>
  </si>
  <si>
    <t>Electric City Bill</t>
  </si>
  <si>
    <t>Spciety Maitenance</t>
  </si>
  <si>
    <t>School Fees</t>
  </si>
  <si>
    <t>Government Tax</t>
  </si>
  <si>
    <t>Company Variable</t>
  </si>
  <si>
    <t>RD Monthly + PPF</t>
  </si>
  <si>
    <t>IDF Fund Personal</t>
  </si>
  <si>
    <t>K.T.K Fund Pesonal</t>
  </si>
  <si>
    <t>Fixed Non-refundable Expense</t>
  </si>
  <si>
    <t>Cab for Family members</t>
  </si>
  <si>
    <t>Milk &amp; Other Expoenses</t>
  </si>
  <si>
    <t>Home Use ( Cash )</t>
  </si>
  <si>
    <t>IDFC Savings</t>
  </si>
  <si>
    <t>IDFC SIP</t>
  </si>
  <si>
    <t>IDFC-2</t>
  </si>
  <si>
    <t>IDBI - IDBI-2</t>
  </si>
  <si>
    <t>Prisha Passport Renewal</t>
  </si>
  <si>
    <t>Jemini for Rings</t>
  </si>
  <si>
    <t>Ketan - HDFC</t>
  </si>
  <si>
    <t>Prisha Fees-3rd Inst ( to IDBI-Rupal )</t>
  </si>
  <si>
    <t>Society Maitenance</t>
  </si>
  <si>
    <t>IDBI - Kotak(Society)</t>
  </si>
  <si>
    <t>Prisha Fees-4th Inst ( to IDBI-Rupal )</t>
  </si>
  <si>
    <t>Loan Date</t>
  </si>
  <si>
    <t>Loan Amount</t>
  </si>
  <si>
    <t>Paid Status</t>
  </si>
  <si>
    <t>SR#</t>
  </si>
  <si>
    <t>Applicable Interest</t>
  </si>
  <si>
    <t xml:space="preserve">PAID </t>
  </si>
  <si>
    <t>Gold Ring</t>
  </si>
  <si>
    <t>LIC LOAN re-payment</t>
  </si>
  <si>
    <t>Ketan Patel Loan</t>
  </si>
  <si>
    <t>Class Fees</t>
  </si>
  <si>
    <t>Paid April'21</t>
  </si>
  <si>
    <t>Paid 28th March '21</t>
  </si>
  <si>
    <t>Electric Bill Feb &amp; March '21</t>
  </si>
  <si>
    <t>31st March '21 Transferred to Gemini online</t>
  </si>
  <si>
    <t>Paid 31st March '21</t>
  </si>
  <si>
    <t>Paid Immediately in 1st April '21</t>
  </si>
  <si>
    <t>Computer Laptop repair</t>
  </si>
  <si>
    <t>Paid 29th March '21</t>
  </si>
  <si>
    <t>AHM transfer Last Interest Paid</t>
  </si>
  <si>
    <t>Prisha Private Tution Class Fees ( Advanced paid )</t>
  </si>
  <si>
    <t>Prisha Private Tution Class Fees ( 1st Installment )</t>
  </si>
  <si>
    <t>Ketan Loan Cleared</t>
  </si>
  <si>
    <t>BOI -KETAN MUMMY</t>
  </si>
  <si>
    <t>Paid from LIC Loan</t>
  </si>
  <si>
    <t>LIC Half Yearly Paid</t>
  </si>
  <si>
    <t>Paid from Salary</t>
  </si>
  <si>
    <t>Feb &amp; March bill, Paid from Salary</t>
  </si>
  <si>
    <t>Paid fron Salary</t>
  </si>
  <si>
    <t>Gold Ring Repair</t>
  </si>
  <si>
    <t>Cash Transffered Online</t>
  </si>
  <si>
    <t>Lenovo Laptop Repair</t>
  </si>
  <si>
    <t>LIC Loan</t>
  </si>
  <si>
    <t>Disbursement in Bank</t>
  </si>
  <si>
    <t>RD Maturity</t>
  </si>
  <si>
    <t>April '21</t>
  </si>
  <si>
    <t>Salary + Variable</t>
  </si>
  <si>
    <t>Pay From</t>
  </si>
  <si>
    <t>FD</t>
  </si>
  <si>
    <t>Salary</t>
  </si>
  <si>
    <t>PAID</t>
  </si>
  <si>
    <t>Paid Immediately in March '21
Policy#903569252</t>
  </si>
  <si>
    <t>Paid Immediately in March '21
Policy#903569253</t>
  </si>
  <si>
    <t>Massage 3200(papa) 800(me)</t>
  </si>
  <si>
    <t>Blood Test Strips [ 50 pcs ]</t>
  </si>
  <si>
    <t>Papa Blood Test</t>
  </si>
  <si>
    <t>Cab to Pune</t>
  </si>
  <si>
    <t>Prisha School Fees 1st Inst</t>
  </si>
  <si>
    <t>Online Transff</t>
  </si>
  <si>
    <t>Cash Paid</t>
  </si>
  <si>
    <t>Papa Doctor follow up</t>
  </si>
  <si>
    <t>Mummy X-Ray</t>
  </si>
  <si>
    <t>Transf. to another bank Ac</t>
  </si>
  <si>
    <t>Class Fees 1st Installment</t>
  </si>
  <si>
    <t>Transf. via PhonePe Using Contact Number</t>
  </si>
  <si>
    <t>PhonePe Scan</t>
  </si>
  <si>
    <t>Mummy Report [ Nidhi ]</t>
  </si>
  <si>
    <t>Papa Medicines</t>
  </si>
  <si>
    <t>Daily Milk for Home</t>
  </si>
  <si>
    <t>Uber Remaining Balance</t>
  </si>
  <si>
    <t>Mummy X-Ray at Home</t>
  </si>
  <si>
    <t>Cash Withrawal</t>
  </si>
  <si>
    <t>Papa Reports [ Nakoda - Pulse ] + Doctor Follow Up</t>
  </si>
  <si>
    <t>KTK Transf</t>
  </si>
  <si>
    <t>LIC Yearly</t>
  </si>
  <si>
    <t>Roof</t>
  </si>
  <si>
    <t>Servant Mumbai Home</t>
  </si>
  <si>
    <t>Cash Withdrawal</t>
  </si>
  <si>
    <t>Paid from LIC Loan
Paid on 22 April '2021</t>
  </si>
  <si>
    <t>Paid from LIC Loan
Paid on 24 April '2021</t>
  </si>
  <si>
    <t>Cab to Pune (Rupal &amp; Prisha)</t>
  </si>
  <si>
    <t>Mummy Bosy Cleaning….Bai</t>
  </si>
  <si>
    <t>Mobile Purchase</t>
  </si>
  <si>
    <t>Paid from LIC Loan
Paid on 23 April '2021</t>
  </si>
  <si>
    <t>Cab to Pune ( Mummy &amp; Papa )</t>
  </si>
  <si>
    <t>Gillete Blade &amp; Razor ( D'Mart )</t>
  </si>
  <si>
    <t>Dettol Spray + Dettol Sanitizer</t>
  </si>
  <si>
    <t>Snacks for mom dad</t>
  </si>
  <si>
    <t>Papa Report at evening</t>
  </si>
  <si>
    <t>Medicines</t>
  </si>
  <si>
    <t>Petrol Mahek Bike</t>
  </si>
  <si>
    <t>Rupal Transferred</t>
  </si>
  <si>
    <t>IDBI - Rupal</t>
  </si>
  <si>
    <t>Prisha School Books</t>
  </si>
  <si>
    <t>D'Mart Shopee</t>
  </si>
  <si>
    <t>IDFC-Rupal</t>
  </si>
  <si>
    <t>IDFC2</t>
  </si>
  <si>
    <t>Lenovo Laptop Charger</t>
  </si>
  <si>
    <t>LIC Online</t>
  </si>
  <si>
    <t>LIC Paid '21 Month</t>
  </si>
  <si>
    <t>May '21</t>
  </si>
  <si>
    <t>Month</t>
  </si>
  <si>
    <t>Amount</t>
  </si>
  <si>
    <t>Paid Month</t>
  </si>
  <si>
    <t>From
Bank</t>
  </si>
  <si>
    <t>June '21</t>
  </si>
  <si>
    <t>Doctor Appointment Followup PAPA</t>
  </si>
  <si>
    <t>Sona Loan</t>
  </si>
  <si>
    <t>Amazon - Filters 12 pcs</t>
  </si>
  <si>
    <t>All Loan Cleared</t>
  </si>
  <si>
    <t>Papa Doctor Followup</t>
  </si>
  <si>
    <t>Mummy Doctor Followup</t>
  </si>
  <si>
    <t>Prisha School Fees [2nd Installment]</t>
  </si>
  <si>
    <t>CAB: Pune to Mumbai</t>
  </si>
  <si>
    <t>CAB: Mumbai to Pune</t>
  </si>
  <si>
    <t>Paid 01/06.2021</t>
  </si>
  <si>
    <t>LIC Yeraly Premium</t>
  </si>
  <si>
    <t>LIC Gateway</t>
  </si>
  <si>
    <t>Minimum Balance (IDBI)</t>
  </si>
  <si>
    <t>Minimum Balance (SBI)</t>
  </si>
  <si>
    <t>c</t>
  </si>
  <si>
    <t>Mediclaim Policy Renewal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</si>
</sst>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0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E0E1E2"/>
      </right>
      <top style="medium">
        <color rgb="FFE0E1E2"/>
      </top>
      <bottom/>
      <diagonal/>
    </border>
    <border>
      <left/>
      <right style="medium">
        <color rgb="FFE0E1E2"/>
      </right>
      <top/>
      <bottom style="medium">
        <color rgb="FFE0E1E2"/>
      </bottom>
      <diagonal/>
    </border>
    <border>
      <left style="medium">
        <color rgb="FFE0E1E2"/>
      </left>
      <right style="medium">
        <color rgb="FFE0E1E2"/>
      </right>
      <top style="medium">
        <color rgb="FFE0E1E2"/>
      </top>
      <bottom/>
      <diagonal/>
    </border>
    <border>
      <left style="medium">
        <color rgb="FFE0E1E2"/>
      </left>
      <right style="medium">
        <color rgb="FFE0E1E2"/>
      </right>
      <top/>
      <bottom style="medium">
        <color rgb="FFE0E1E2"/>
      </bottom>
      <diagonal/>
    </border>
    <border>
      <left/>
      <right style="medium">
        <color rgb="FFE7E7E7"/>
      </right>
      <top style="medium">
        <color rgb="FFE7E7E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4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applyFill="1"/>
    <xf numFmtId="0" fontId="3" fillId="0" borderId="0" xfId="0" applyFont="1" applyAlignment="1">
      <alignment horizontal="center"/>
    </xf>
    <xf numFmtId="0" fontId="0" fillId="2" borderId="0" xfId="0" applyFill="1" applyAlignment="1">
      <alignment wrapText="1"/>
    </xf>
    <xf numFmtId="0" fontId="4" fillId="2" borderId="0" xfId="0" applyFont="1" applyFill="1"/>
    <xf numFmtId="0" fontId="0" fillId="0" borderId="0" xfId="0" applyFill="1" applyAlignment="1">
      <alignment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/>
    <xf numFmtId="0" fontId="5" fillId="0" borderId="0" xfId="0" applyFont="1" applyFill="1"/>
    <xf numFmtId="0" fontId="5" fillId="0" borderId="0" xfId="0" applyFont="1"/>
    <xf numFmtId="0" fontId="5" fillId="2" borderId="0" xfId="0" applyFont="1" applyFill="1"/>
    <xf numFmtId="0" fontId="4" fillId="0" borderId="0" xfId="0" applyFont="1" applyFill="1"/>
    <xf numFmtId="0" fontId="4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16" fontId="1" fillId="0" borderId="0" xfId="0" applyNumberFormat="1" applyFont="1" applyAlignment="1"/>
    <xf numFmtId="0" fontId="3" fillId="0" borderId="0" xfId="0" applyFont="1" applyFill="1"/>
    <xf numFmtId="0" fontId="0" fillId="0" borderId="6" xfId="0" applyBorder="1"/>
    <xf numFmtId="0" fontId="0" fillId="0" borderId="7" xfId="0" applyBorder="1"/>
    <xf numFmtId="17" fontId="1" fillId="0" borderId="0" xfId="0" applyNumberFormat="1" applyFont="1"/>
    <xf numFmtId="17" fontId="1" fillId="0" borderId="6" xfId="0" applyNumberFormat="1" applyFont="1" applyBorder="1"/>
    <xf numFmtId="0" fontId="1" fillId="0" borderId="0" xfId="0" applyFont="1"/>
    <xf numFmtId="17" fontId="1" fillId="0" borderId="7" xfId="0" applyNumberFormat="1" applyFont="1" applyBorder="1"/>
    <xf numFmtId="16" fontId="1" fillId="0" borderId="7" xfId="0" applyNumberFormat="1" applyFont="1" applyBorder="1"/>
    <xf numFmtId="0" fontId="1" fillId="2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/>
    <xf numFmtId="3" fontId="3" fillId="0" borderId="0" xfId="0" applyNumberFormat="1" applyFont="1" applyFill="1" applyAlignment="1"/>
    <xf numFmtId="0" fontId="1" fillId="0" borderId="0" xfId="0" applyFont="1" applyFill="1" applyAlignment="1"/>
    <xf numFmtId="0" fontId="1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right" wrapText="1"/>
    </xf>
    <xf numFmtId="4" fontId="0" fillId="2" borderId="0" xfId="0" applyNumberForma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16" fontId="1" fillId="9" borderId="0" xfId="0" applyNumberFormat="1" applyFont="1" applyFill="1" applyAlignment="1"/>
    <xf numFmtId="16" fontId="0" fillId="9" borderId="0" xfId="0" applyNumberFormat="1" applyFill="1"/>
    <xf numFmtId="0" fontId="0" fillId="9" borderId="0" xfId="0" applyFill="1"/>
    <xf numFmtId="0" fontId="0" fillId="6" borderId="0" xfId="0" applyFill="1"/>
    <xf numFmtId="4" fontId="0" fillId="0" borderId="0" xfId="0" applyNumberFormat="1" applyAlignment="1">
      <alignment horizontal="left"/>
    </xf>
    <xf numFmtId="3" fontId="0" fillId="0" borderId="0" xfId="0" applyNumberFormat="1"/>
    <xf numFmtId="0" fontId="1" fillId="0" borderId="0" xfId="0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9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16" fontId="1" fillId="9" borderId="0" xfId="0" applyNumberFormat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16" fontId="0" fillId="9" borderId="0" xfId="0" applyNumberForma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17" fontId="0" fillId="0" borderId="0" xfId="0" applyNumberFormat="1"/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right"/>
    </xf>
    <xf numFmtId="0" fontId="1" fillId="6" borderId="6" xfId="0" applyFont="1" applyFill="1" applyBorder="1"/>
    <xf numFmtId="0" fontId="16" fillId="0" borderId="6" xfId="0" applyFont="1" applyFill="1" applyBorder="1"/>
    <xf numFmtId="0" fontId="14" fillId="7" borderId="6" xfId="0" applyFont="1" applyFill="1" applyBorder="1" applyAlignment="1">
      <alignment horizontal="left"/>
    </xf>
    <xf numFmtId="0" fontId="15" fillId="0" borderId="8" xfId="0" applyFont="1" applyBorder="1" applyAlignment="1">
      <alignment horizontal="right" wrapText="1"/>
    </xf>
    <xf numFmtId="0" fontId="15" fillId="0" borderId="8" xfId="0" applyFont="1" applyBorder="1" applyAlignment="1">
      <alignment horizontal="left" vertical="center"/>
    </xf>
    <xf numFmtId="0" fontId="1" fillId="6" borderId="7" xfId="0" applyFont="1" applyFill="1" applyBorder="1" applyAlignment="1"/>
    <xf numFmtId="0" fontId="0" fillId="6" borderId="7" xfId="0" applyFill="1" applyBorder="1"/>
    <xf numFmtId="0" fontId="1" fillId="6" borderId="10" xfId="0" applyFont="1" applyFill="1" applyBorder="1"/>
    <xf numFmtId="0" fontId="8" fillId="6" borderId="7" xfId="0" applyFont="1" applyFill="1" applyBorder="1" applyAlignment="1">
      <alignment horizontal="center" vertical="center"/>
    </xf>
    <xf numFmtId="0" fontId="0" fillId="6" borderId="10" xfId="0" applyFill="1" applyBorder="1"/>
    <xf numFmtId="0" fontId="18" fillId="6" borderId="9" xfId="0" applyFont="1" applyFill="1" applyBorder="1"/>
    <xf numFmtId="0" fontId="11" fillId="6" borderId="7" xfId="0" applyFont="1" applyFill="1" applyBorder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0" fillId="7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1" fillId="6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2" fillId="0" borderId="0" xfId="0" applyNumberFormat="1" applyFont="1"/>
    <xf numFmtId="4" fontId="19" fillId="0" borderId="0" xfId="0" applyNumberFormat="1" applyFont="1"/>
    <xf numFmtId="0" fontId="19" fillId="0" borderId="0" xfId="0" applyFont="1"/>
    <xf numFmtId="4" fontId="21" fillId="0" borderId="0" xfId="0" applyNumberFormat="1" applyFont="1"/>
    <xf numFmtId="0" fontId="21" fillId="0" borderId="0" xfId="0" applyFont="1"/>
    <xf numFmtId="14" fontId="21" fillId="0" borderId="0" xfId="0" applyNumberFormat="1" applyFont="1"/>
    <xf numFmtId="14" fontId="2" fillId="0" borderId="0" xfId="0" applyNumberFormat="1" applyFont="1"/>
    <xf numFmtId="14" fontId="19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4" fontId="21" fillId="2" borderId="0" xfId="0" applyNumberFormat="1" applyFont="1" applyFill="1"/>
    <xf numFmtId="10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21" fillId="2" borderId="0" xfId="0" applyFont="1" applyFill="1"/>
    <xf numFmtId="14" fontId="21" fillId="2" borderId="0" xfId="0" applyNumberFormat="1" applyFont="1" applyFill="1"/>
    <xf numFmtId="14" fontId="3" fillId="2" borderId="0" xfId="0" applyNumberFormat="1" applyFont="1" applyFill="1"/>
    <xf numFmtId="0" fontId="2" fillId="0" borderId="0" xfId="0" applyFont="1" applyAlignment="1">
      <alignment horizontal="center" vertical="center"/>
    </xf>
    <xf numFmtId="0" fontId="19" fillId="2" borderId="0" xfId="0" applyFont="1" applyFill="1"/>
    <xf numFmtId="14" fontId="19" fillId="2" borderId="0" xfId="0" applyNumberFormat="1" applyFont="1" applyFill="1"/>
    <xf numFmtId="4" fontId="19" fillId="2" borderId="0" xfId="0" applyNumberFormat="1" applyFont="1" applyFill="1"/>
    <xf numFmtId="14" fontId="0" fillId="2" borderId="0" xfId="0" applyNumberFormat="1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1" fillId="0" borderId="6" xfId="0" applyFont="1" applyBorder="1" applyAlignment="1">
      <alignment horizontal="right"/>
    </xf>
    <xf numFmtId="4" fontId="1" fillId="0" borderId="6" xfId="0" applyNumberFormat="1" applyFont="1" applyBorder="1"/>
    <xf numFmtId="15" fontId="0" fillId="0" borderId="0" xfId="0" applyNumberFormat="1"/>
    <xf numFmtId="4" fontId="8" fillId="0" borderId="0" xfId="0" applyNumberFormat="1" applyFont="1"/>
    <xf numFmtId="4" fontId="22" fillId="0" borderId="0" xfId="0" applyNumberFormat="1" applyFont="1"/>
    <xf numFmtId="4" fontId="8" fillId="0" borderId="6" xfId="0" applyNumberFormat="1" applyFont="1" applyBorder="1"/>
    <xf numFmtId="0" fontId="11" fillId="0" borderId="0" xfId="0" applyFont="1"/>
    <xf numFmtId="4" fontId="11" fillId="0" borderId="0" xfId="0" applyNumberFormat="1" applyFont="1"/>
    <xf numFmtId="0" fontId="8" fillId="0" borderId="0" xfId="0" applyFont="1" applyFill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4" fontId="6" fillId="3" borderId="3" xfId="0" applyNumberFormat="1" applyFont="1" applyFill="1" applyBorder="1" applyAlignment="1">
      <alignment horizontal="right" vertical="center" wrapText="1"/>
    </xf>
    <xf numFmtId="4" fontId="6" fillId="3" borderId="4" xfId="0" applyNumberFormat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0" fillId="5" borderId="0" xfId="0" applyNumberFormat="1" applyFont="1" applyFill="1" applyAlignment="1">
      <alignment horizontal="center"/>
    </xf>
    <xf numFmtId="16" fontId="10" fillId="7" borderId="0" xfId="0" applyNumberFormat="1" applyFont="1" applyFill="1" applyAlignment="1">
      <alignment horizontal="center" vertical="center"/>
    </xf>
    <xf numFmtId="16" fontId="10" fillId="8" borderId="0" xfId="0" applyNumberFormat="1" applyFont="1" applyFill="1" applyAlignment="1">
      <alignment horizontal="center" vertical="center"/>
    </xf>
    <xf numFmtId="16" fontId="13" fillId="7" borderId="0" xfId="0" applyNumberFormat="1" applyFont="1" applyFill="1" applyAlignment="1">
      <alignment horizontal="center" vertical="center"/>
    </xf>
    <xf numFmtId="16" fontId="13" fillId="8" borderId="0" xfId="0" applyNumberFormat="1" applyFont="1" applyFill="1" applyAlignment="1">
      <alignment horizontal="center" vertical="center"/>
    </xf>
    <xf numFmtId="16" fontId="13" fillId="5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7" fillId="2" borderId="6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7CB0970-F951-4DD8-8F3F-2DDD7EC65EB9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25</xdr:row>
      <xdr:rowOff>323850</xdr:rowOff>
    </xdr:from>
    <xdr:to>
      <xdr:col>3</xdr:col>
      <xdr:colOff>914400</xdr:colOff>
      <xdr:row>27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041147C-184E-4D96-936E-4A068F5F4416}"/>
            </a:ext>
          </a:extLst>
        </xdr:cNvPr>
        <xdr:cNvCxnSpPr/>
      </xdr:nvCxnSpPr>
      <xdr:spPr>
        <a:xfrm>
          <a:off x="1219200" y="5486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16F886A-A61E-4B7E-9FFA-348E83ABF500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C38808F-8828-439C-B376-18E2EAB9A613}"/>
            </a:ext>
          </a:extLst>
        </xdr:cNvPr>
        <xdr:cNvCxnSpPr/>
      </xdr:nvCxnSpPr>
      <xdr:spPr>
        <a:xfrm>
          <a:off x="7019925" y="5486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C3016B2-EB65-42D1-915D-ACFADB83200B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16</xdr:row>
      <xdr:rowOff>323850</xdr:rowOff>
    </xdr:from>
    <xdr:to>
      <xdr:col>3</xdr:col>
      <xdr:colOff>914400</xdr:colOff>
      <xdr:row>18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CF950D4-1587-4C59-9B5D-22CF250F6F06}"/>
            </a:ext>
          </a:extLst>
        </xdr:cNvPr>
        <xdr:cNvCxnSpPr/>
      </xdr:nvCxnSpPr>
      <xdr:spPr>
        <a:xfrm>
          <a:off x="1219200" y="3390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15</xdr:row>
      <xdr:rowOff>323850</xdr:rowOff>
    </xdr:from>
    <xdr:to>
      <xdr:col>3</xdr:col>
      <xdr:colOff>914400</xdr:colOff>
      <xdr:row>17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1A6A0C4-1EF5-44CB-98F8-44962063B141}"/>
            </a:ext>
          </a:extLst>
        </xdr:cNvPr>
        <xdr:cNvCxnSpPr/>
      </xdr:nvCxnSpPr>
      <xdr:spPr>
        <a:xfrm>
          <a:off x="7019925" y="5105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53</xdr:row>
      <xdr:rowOff>323850</xdr:rowOff>
    </xdr:from>
    <xdr:to>
      <xdr:col>3</xdr:col>
      <xdr:colOff>914400</xdr:colOff>
      <xdr:row>55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415E96-CDC3-41CD-BFAD-528365964891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23</xdr:row>
      <xdr:rowOff>323850</xdr:rowOff>
    </xdr:from>
    <xdr:to>
      <xdr:col>3</xdr:col>
      <xdr:colOff>914400</xdr:colOff>
      <xdr:row>25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BF4CD9-C92D-46C7-B823-0ED00F91663B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27</xdr:row>
      <xdr:rowOff>323850</xdr:rowOff>
    </xdr:from>
    <xdr:to>
      <xdr:col>3</xdr:col>
      <xdr:colOff>914400</xdr:colOff>
      <xdr:row>29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7CF0472-C456-4361-83B3-6F202377037C}"/>
            </a:ext>
          </a:extLst>
        </xdr:cNvPr>
        <xdr:cNvCxnSpPr/>
      </xdr:nvCxnSpPr>
      <xdr:spPr>
        <a:xfrm>
          <a:off x="1219200" y="5105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ah, Jimish" id="{A40AD1FD-EE49-4CC6-BEFC-81CD31439168}" userId="S::jimish.shah@atos.net::92f2d697-65b5-4e56-88fe-c262ca00d5f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0-06-17T04:44:43.67" personId="{A40AD1FD-EE49-4CC6-BEFC-81CD31439168}" id="{E779BFCF-D12F-4676-90E7-EA4CBF7D42B3}">
    <text>Yrly =          6000 * 1 year
LIC =          4000 * 2 years
LIC =          3000 * 3 years
Prisha =     2000 * 5 years</text>
  </threadedComment>
  <threadedComment ref="H7" dT="2020-06-17T04:44:43.67" personId="{A40AD1FD-EE49-4CC6-BEFC-81CD31439168}" id="{2BF63EB9-D792-4B2E-80C3-A7A8D7C15443}">
    <text>Yrly =          7000 * 1 year [ 84000  ]
LIC =          3000 * 2 years [ 72000 ]
LIC =          2000 * 3 years [ 72000 ]
Prisha =     3000 * 5 years [ 180000 ]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BD7E5772-A2A6-44D1-AC79-5F9083F4A2C4}">
    <text>Yrly =          7000 * 1 year [ 84000  ]
LIC =          3000 * 2 years [ 72000 ]
LIC =          2000 * 3 years [ 72000 ]
Prisha =     3000 * 5 years [ 180000 ]</text>
  </threadedComment>
  <threadedComment ref="G6" dT="2020-06-17T04:44:43.67" personId="{A40AD1FD-EE49-4CC6-BEFC-81CD31439168}" id="{AA467EB1-FCF0-4F30-83C6-A412EFD0DAED}">
    <text>Yrly =          7000 * 1 year [ 84000  ]
LIC =          3000 * 2 years [ 72000 ]
LIC =          2000 * 3 years [ 72000 ]
Prisha =     3000 * 5 years [ 180000 ]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CEB1D6F4-F178-4608-818B-82669DE2805C}">
    <text>Yrly =          7000 * 1 year [ 84000  ]
LIC =          3000 * 2 years [ 72000 ]
LIC =          2000 * 3 years [ 72000 ]
Prisha =     3000 * 5 years [ 180000 ]</text>
  </threadedComment>
  <threadedComment ref="H14" dT="2020-06-17T04:44:43.67" personId="{A40AD1FD-EE49-4CC6-BEFC-81CD31439168}" id="{7C01AFBF-0FE5-44C4-82D3-CEFA300E5FE4}">
    <text>Yrly =          7000 * 1 year [ 84000  ]
LIC =          3000 * 2 years [ 72000 ]
LIC =          2000 * 3 years [ 72000 ]
Prisha =     3000 * 5 years [ 180000 ]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234B9044-A728-4785-BD9F-0EBF1B367F8E}">
    <text>Yrly =          7000 * 1 year [ 84000  ]
LIC =          3000 * 2 years [ 72000 ]
LIC =          2000 * 3 years [ 72000 ]
Prisha =     3000 * 5 years [ 180000 ]</text>
  </threadedComment>
  <threadedComment ref="G9" dT="2020-09-16T05:25:13.30" personId="{A40AD1FD-EE49-4CC6-BEFC-81CD31439168}" id="{3286EEC4-07C4-439E-88B5-6B2E08EB6DF9}">
    <text>Society Maintenance 20000.00/4</text>
  </threadedComment>
  <threadedComment ref="G13" dT="2020-06-17T04:44:43.67" personId="{A40AD1FD-EE49-4CC6-BEFC-81CD31439168}" id="{887778B9-50DB-4EC0-A4F7-9025F300F597}">
    <text>Yrly =          7000 * 1 year [ 84000  ]
LIC =          3000 * 2 years [ 72000 ]
LIC =          2000 * 3 years [ 72000 ]
Prisha =     3000 * 5 years [ 180000 ]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85EA069F-FD86-4086-93F6-4BC18653117E}">
    <text>Society Maintenance 20000.00/4</text>
  </threadedComment>
  <threadedComment ref="G9" dT="2020-09-16T05:25:13.30" personId="{A40AD1FD-EE49-4CC6-BEFC-81CD31439168}" id="{C53F0259-19EF-4BB4-9453-8A474BBA00AA}">
    <text>Society Maintenance 20000.00/4</text>
  </threadedComment>
  <threadedComment ref="G13" dT="2020-06-17T04:44:43.67" personId="{A40AD1FD-EE49-4CC6-BEFC-81CD31439168}" id="{C47CBDB5-6A1C-4A68-9490-1878D37C469F}">
    <text>LIC =          3000 * 2 years [ 72000 ]
LIC =          2000 * 3 years [ 72000 ]
Prisha =     3000 * 5 years [ 180000 ]</text>
  </threadedComment>
  <threadedComment ref="A14" dT="2020-06-17T04:44:43.67" personId="{A40AD1FD-EE49-4CC6-BEFC-81CD31439168}" id="{4735312A-C54C-4F68-BAC3-D651D2B707F7}">
    <text>Yrly =          7000 * 1 year [ 84000  ]
LIC =          3000 * 2 years [ 72000 ]
LIC =          2000 * 3 years [ 72000 ]
Prisha =     3000 * 5 years [ 180000 ]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F41D52FB-E1AB-4D2B-B0BA-9DC56DE0CDA7}">
    <text>Society Maintenance 20000.00/4</text>
  </threadedComment>
  <threadedComment ref="G9" dT="2020-09-16T05:25:13.30" personId="{A40AD1FD-EE49-4CC6-BEFC-81CD31439168}" id="{2A2FD7E1-0E85-47E8-83B5-86C8081E55C0}">
    <text>Society Maintenance 20000.00/4</text>
  </threadedComment>
  <threadedComment ref="A14" dT="2020-06-17T04:44:43.67" personId="{A40AD1FD-EE49-4CC6-BEFC-81CD31439168}" id="{9F490F86-5A60-4E01-B4B4-1303F1A839E0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F153432C-94FA-4328-B700-843776B7207C}">
    <text>Yrly =          7000 * 1 year [ 84000  ]
LIC =          3000 * 2 years [ 72000 ]
LIC =          2000 * 3 years [ 72000 ]
Prisha =     3000 * 5 years [ 180000 ]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8" dT="2020-09-16T05:25:13.30" personId="{A40AD1FD-EE49-4CC6-BEFC-81CD31439168}" id="{BEA1AB63-A272-4B60-8275-5167E54D1FB5}">
    <text>Society Maintenance 20000.00/4</text>
  </threadedComment>
  <threadedComment ref="G8" dT="2020-09-16T05:25:13.30" personId="{A40AD1FD-EE49-4CC6-BEFC-81CD31439168}" id="{E87E8C77-BEFE-4344-9542-42F20C7E8FC3}">
    <text>Society Maintenance 20000.00/4</text>
  </threadedComment>
  <threadedComment ref="A14" dT="2020-06-17T04:44:43.67" personId="{A40AD1FD-EE49-4CC6-BEFC-81CD31439168}" id="{E1AE5808-0D0F-4896-AB13-EBEB6896197A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65D61D3C-8385-4C55-80C5-AE47510FE88C}">
    <text>Yrly =          7000 * 1 year [ 84000  ]
LIC =          3000 * 2 years [ 72000 ]
LIC =          2000 * 3 years [ 72000 ]
Prisha =     3000 * 5 years [ 180000 ]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8" dT="2020-09-16T05:25:13.30" personId="{A40AD1FD-EE49-4CC6-BEFC-81CD31439168}" id="{7F714332-EBF5-4533-8071-261D74FE1F55}">
    <text>Society Maintenance 20000.00/4</text>
  </threadedComment>
  <threadedComment ref="B9" dT="2020-06-17T04:44:43.67" personId="{A40AD1FD-EE49-4CC6-BEFC-81CD31439168}" id="{87994374-0C4E-40B7-89F1-79CB3526D84A}">
    <text>Yrly =          7000 * 1 year [ 84000  ]
LIC =          3000 * 2 years [ 72000 ]
LIC =          2000 * 3 years [ 72000 ]
Prisha =     3000 * 5 years [ 180000 ]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8" dT="2020-06-17T04:44:43.67" personId="{A40AD1FD-EE49-4CC6-BEFC-81CD31439168}" id="{368AAD3D-413A-4E6D-BCB9-FFFBA280766E}">
    <text>Yrly =          7000 * 1 year [ 84000  ]
LIC =          3000 * 2 years [ 72000 ]
LIC =          2000 * 3 years [ 72000 ]
Prisha =     3000 * 5 years [ 180000 ]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90BF-866F-4817-88CE-49E134389D92}">
  <dimension ref="A7:H14"/>
  <sheetViews>
    <sheetView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15.85546875" bestFit="1" customWidth="1"/>
    <col min="4" max="4" width="7.42578125" bestFit="1" customWidth="1"/>
    <col min="5" max="5" width="31.5703125" customWidth="1"/>
    <col min="7" max="7" width="20.7109375" bestFit="1" customWidth="1"/>
  </cols>
  <sheetData>
    <row r="7" spans="1:8" ht="15.75" thickBot="1" x14ac:dyDescent="0.3"/>
    <row r="8" spans="1:8" ht="24.75" thickBot="1" x14ac:dyDescent="0.3">
      <c r="B8" s="15" t="s">
        <v>0</v>
      </c>
      <c r="C8" s="15" t="s">
        <v>1</v>
      </c>
      <c r="D8" s="14" t="s">
        <v>2</v>
      </c>
      <c r="E8" s="15" t="s">
        <v>3</v>
      </c>
      <c r="F8" s="15" t="s">
        <v>4</v>
      </c>
      <c r="G8" s="15" t="s">
        <v>5</v>
      </c>
    </row>
    <row r="9" spans="1:8" x14ac:dyDescent="0.25">
      <c r="A9" s="227">
        <v>3</v>
      </c>
      <c r="B9" s="229" t="s">
        <v>6</v>
      </c>
      <c r="C9" s="229" t="s">
        <v>6</v>
      </c>
      <c r="D9" s="223"/>
      <c r="E9" s="12" t="s">
        <v>7</v>
      </c>
      <c r="F9" s="225">
        <v>5800</v>
      </c>
    </row>
    <row r="10" spans="1:8" ht="15.75" thickBot="1" x14ac:dyDescent="0.3">
      <c r="A10" s="228"/>
      <c r="B10" s="230"/>
      <c r="C10" s="230"/>
      <c r="D10" s="224"/>
      <c r="E10" s="13" t="s">
        <v>8</v>
      </c>
      <c r="F10" s="226"/>
    </row>
    <row r="11" spans="1:8" x14ac:dyDescent="0.25">
      <c r="A11" s="227">
        <v>15</v>
      </c>
      <c r="B11" s="229" t="s">
        <v>9</v>
      </c>
      <c r="C11" s="229" t="s">
        <v>9</v>
      </c>
      <c r="D11" s="223"/>
      <c r="E11" s="12" t="s">
        <v>10</v>
      </c>
      <c r="F11" s="225">
        <v>5800</v>
      </c>
      <c r="G11" s="221"/>
      <c r="H11" s="225"/>
    </row>
    <row r="12" spans="1:8" ht="15.75" thickBot="1" x14ac:dyDescent="0.3">
      <c r="A12" s="228"/>
      <c r="B12" s="230"/>
      <c r="C12" s="230"/>
      <c r="D12" s="224"/>
      <c r="E12" s="13" t="s">
        <v>11</v>
      </c>
      <c r="F12" s="226"/>
      <c r="G12" s="222"/>
      <c r="H12" s="226"/>
    </row>
    <row r="13" spans="1:8" x14ac:dyDescent="0.25">
      <c r="A13" s="227">
        <v>16</v>
      </c>
      <c r="B13" s="229" t="s">
        <v>9</v>
      </c>
      <c r="C13" s="229" t="s">
        <v>9</v>
      </c>
      <c r="D13" s="223"/>
      <c r="E13" s="12" t="s">
        <v>12</v>
      </c>
      <c r="F13" s="225">
        <v>5800</v>
      </c>
      <c r="G13" s="221"/>
      <c r="H13" s="225"/>
    </row>
    <row r="14" spans="1:8" ht="15.75" thickBot="1" x14ac:dyDescent="0.3">
      <c r="A14" s="228"/>
      <c r="B14" s="230"/>
      <c r="C14" s="230"/>
      <c r="D14" s="224"/>
      <c r="E14" s="13" t="s">
        <v>13</v>
      </c>
      <c r="F14" s="226"/>
      <c r="G14" s="222"/>
      <c r="H14" s="226"/>
    </row>
  </sheetData>
  <mergeCells count="19">
    <mergeCell ref="A9:A10"/>
    <mergeCell ref="B9:B10"/>
    <mergeCell ref="C9:C10"/>
    <mergeCell ref="D9:D10"/>
    <mergeCell ref="F9:F10"/>
    <mergeCell ref="G11:G12"/>
    <mergeCell ref="D11:D12"/>
    <mergeCell ref="H11:H12"/>
    <mergeCell ref="A13:A14"/>
    <mergeCell ref="B13:B14"/>
    <mergeCell ref="C13:C14"/>
    <mergeCell ref="D13:D14"/>
    <mergeCell ref="F13:F14"/>
    <mergeCell ref="G13:G14"/>
    <mergeCell ref="H13:H14"/>
    <mergeCell ref="A11:A12"/>
    <mergeCell ref="B11:B12"/>
    <mergeCell ref="C11:C12"/>
    <mergeCell ref="F11:F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DF4C-E589-40E1-A0AE-E73051B40D9F}">
  <dimension ref="A1:N35"/>
  <sheetViews>
    <sheetView topLeftCell="A4" workbookViewId="0">
      <selection activeCell="H4" sqref="H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1" style="57" bestFit="1" customWidth="1"/>
    <col min="6" max="6" width="14.5703125" style="111" customWidth="1"/>
    <col min="7" max="7" width="1.85546875" style="117" customWidth="1"/>
    <col min="8" max="8" width="17" style="64" bestFit="1" customWidth="1"/>
    <col min="9" max="9" width="24.7109375" style="119" bestFit="1" customWidth="1"/>
    <col min="10" max="10" width="14.85546875" style="57" bestFit="1" customWidth="1"/>
    <col min="11" max="11" width="12.42578125" style="57" bestFit="1" customWidth="1"/>
    <col min="12" max="12" width="15.7109375" style="84" bestFit="1" customWidth="1"/>
    <col min="13" max="13" width="12" style="57" bestFit="1" customWidth="1"/>
    <col min="14" max="14" width="18" style="113" bestFit="1" customWidth="1"/>
  </cols>
  <sheetData>
    <row r="1" spans="1:14" ht="23.25" x14ac:dyDescent="0.35">
      <c r="A1" s="237">
        <v>44075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</row>
    <row r="2" spans="1:14" ht="23.25" x14ac:dyDescent="0.25">
      <c r="A2" s="235" t="s">
        <v>132</v>
      </c>
      <c r="B2" s="235"/>
      <c r="C2" s="235"/>
      <c r="D2" s="235"/>
      <c r="E2" s="235"/>
      <c r="F2" s="235"/>
      <c r="G2" s="114"/>
      <c r="H2" s="236" t="s">
        <v>166</v>
      </c>
      <c r="I2" s="236"/>
      <c r="J2" s="236"/>
      <c r="K2" s="236"/>
      <c r="L2" s="236"/>
      <c r="M2" s="236"/>
    </row>
    <row r="3" spans="1:14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116"/>
      <c r="H3" s="66" t="s">
        <v>86</v>
      </c>
      <c r="I3" s="11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56" t="s">
        <v>17</v>
      </c>
      <c r="F4" s="106"/>
      <c r="H4" s="144">
        <v>5000</v>
      </c>
      <c r="I4" s="121" t="s">
        <v>88</v>
      </c>
      <c r="J4" s="107" t="s">
        <v>183</v>
      </c>
      <c r="K4" s="107" t="s">
        <v>35</v>
      </c>
      <c r="L4" s="56" t="s">
        <v>17</v>
      </c>
    </row>
    <row r="5" spans="1:14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56" t="s">
        <v>17</v>
      </c>
      <c r="F5" s="108"/>
      <c r="H5" s="147">
        <v>27000</v>
      </c>
      <c r="I5" s="118" t="s">
        <v>37</v>
      </c>
      <c r="J5" s="154" t="s">
        <v>38</v>
      </c>
      <c r="K5" s="15" t="s">
        <v>38</v>
      </c>
      <c r="L5" s="154" t="s">
        <v>17</v>
      </c>
      <c r="M5" s="109"/>
    </row>
    <row r="6" spans="1:14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F6" s="108"/>
      <c r="H6" s="147">
        <v>6667</v>
      </c>
      <c r="I6" s="121" t="s">
        <v>146</v>
      </c>
      <c r="J6" s="154" t="s">
        <v>38</v>
      </c>
      <c r="K6" s="107" t="s">
        <v>147</v>
      </c>
      <c r="L6" s="154" t="s">
        <v>17</v>
      </c>
      <c r="M6" s="57">
        <f>6667*3</f>
        <v>20001</v>
      </c>
      <c r="N6" s="120" t="s">
        <v>169</v>
      </c>
    </row>
    <row r="7" spans="1:14" x14ac:dyDescent="0.25">
      <c r="A7" s="83">
        <v>3000</v>
      </c>
      <c r="B7" s="104" t="s">
        <v>148</v>
      </c>
      <c r="C7" s="57" t="s">
        <v>67</v>
      </c>
      <c r="D7" s="57" t="s">
        <v>149</v>
      </c>
      <c r="F7" s="111">
        <f>40000/6</f>
        <v>6666.666666666667</v>
      </c>
      <c r="H7" s="147">
        <v>2000</v>
      </c>
      <c r="I7" s="104" t="s">
        <v>184</v>
      </c>
      <c r="J7" s="143" t="s">
        <v>67</v>
      </c>
      <c r="K7" s="143" t="s">
        <v>38</v>
      </c>
      <c r="L7" s="154" t="s">
        <v>17</v>
      </c>
    </row>
    <row r="8" spans="1:14" ht="30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56" t="s">
        <v>17</v>
      </c>
      <c r="F8" s="108"/>
      <c r="H8" s="147">
        <v>17400</v>
      </c>
      <c r="I8" s="118" t="s">
        <v>185</v>
      </c>
      <c r="J8" s="154" t="s">
        <v>38</v>
      </c>
      <c r="K8" s="108" t="s">
        <v>186</v>
      </c>
      <c r="L8" s="154" t="s">
        <v>17</v>
      </c>
    </row>
    <row r="9" spans="1:14" ht="30" x14ac:dyDescent="0.25">
      <c r="A9" s="145">
        <v>1250</v>
      </c>
      <c r="B9" s="118" t="s">
        <v>41</v>
      </c>
      <c r="C9" s="15" t="s">
        <v>38</v>
      </c>
      <c r="D9" s="15" t="s">
        <v>72</v>
      </c>
      <c r="E9" s="56" t="s">
        <v>17</v>
      </c>
      <c r="F9" s="105"/>
      <c r="H9" s="147">
        <v>470</v>
      </c>
      <c r="I9" s="118" t="s">
        <v>187</v>
      </c>
      <c r="J9" s="154" t="s">
        <v>38</v>
      </c>
      <c r="K9" s="108" t="s">
        <v>186</v>
      </c>
      <c r="L9" s="154" t="s">
        <v>17</v>
      </c>
    </row>
    <row r="10" spans="1:14" ht="30" x14ac:dyDescent="0.25">
      <c r="A10" s="83">
        <v>1500</v>
      </c>
      <c r="B10" s="118" t="s">
        <v>188</v>
      </c>
      <c r="C10" s="143" t="s">
        <v>35</v>
      </c>
      <c r="D10" s="143" t="s">
        <v>67</v>
      </c>
      <c r="H10" s="147">
        <v>3500</v>
      </c>
      <c r="I10" s="104" t="s">
        <v>189</v>
      </c>
      <c r="J10" s="155" t="s">
        <v>38</v>
      </c>
      <c r="K10" s="143" t="s">
        <v>180</v>
      </c>
      <c r="L10" s="154" t="s">
        <v>17</v>
      </c>
    </row>
    <row r="11" spans="1:14" ht="30" x14ac:dyDescent="0.25">
      <c r="A11" s="145">
        <v>17400</v>
      </c>
      <c r="B11" s="118" t="s">
        <v>185</v>
      </c>
      <c r="C11" s="15" t="s">
        <v>38</v>
      </c>
      <c r="D11" s="108" t="s">
        <v>186</v>
      </c>
      <c r="E11" s="84" t="s">
        <v>17</v>
      </c>
      <c r="H11" s="147">
        <v>1500</v>
      </c>
      <c r="I11" s="118" t="s">
        <v>190</v>
      </c>
      <c r="J11" s="154" t="s">
        <v>38</v>
      </c>
      <c r="K11" s="15" t="s">
        <v>191</v>
      </c>
      <c r="L11" s="154" t="s">
        <v>17</v>
      </c>
    </row>
    <row r="12" spans="1:14" x14ac:dyDescent="0.25">
      <c r="A12" s="144" t="s">
        <v>94</v>
      </c>
      <c r="B12" s="121" t="s">
        <v>25</v>
      </c>
      <c r="C12" s="107" t="s">
        <v>35</v>
      </c>
      <c r="D12" s="107" t="s">
        <v>40</v>
      </c>
      <c r="E12" s="56" t="s">
        <v>17</v>
      </c>
      <c r="F12" s="112"/>
      <c r="H12" s="147">
        <v>3000</v>
      </c>
      <c r="I12" s="118" t="s">
        <v>192</v>
      </c>
      <c r="J12" s="154" t="s">
        <v>38</v>
      </c>
      <c r="K12" s="15" t="s">
        <v>43</v>
      </c>
      <c r="L12" s="154" t="s">
        <v>17</v>
      </c>
    </row>
    <row r="13" spans="1:14" ht="30" x14ac:dyDescent="0.25">
      <c r="A13" s="145">
        <v>15000</v>
      </c>
      <c r="B13" s="118" t="s">
        <v>155</v>
      </c>
      <c r="C13" s="15" t="s">
        <v>38</v>
      </c>
      <c r="D13" s="15" t="s">
        <v>156</v>
      </c>
      <c r="E13" s="84" t="s">
        <v>17</v>
      </c>
      <c r="F13" s="110" t="s">
        <v>193</v>
      </c>
    </row>
    <row r="14" spans="1:14" x14ac:dyDescent="0.25">
      <c r="H14" s="148">
        <v>15000</v>
      </c>
      <c r="I14" s="118" t="s">
        <v>143</v>
      </c>
      <c r="J14" s="156" t="s">
        <v>67</v>
      </c>
      <c r="K14" s="15" t="s">
        <v>144</v>
      </c>
      <c r="L14" s="156" t="s">
        <v>17</v>
      </c>
    </row>
    <row r="15" spans="1:14" x14ac:dyDescent="0.25">
      <c r="A15" s="145"/>
      <c r="C15" s="15"/>
      <c r="D15" s="15"/>
      <c r="E15" s="84"/>
      <c r="H15" s="148">
        <v>3000</v>
      </c>
      <c r="I15" s="104" t="s">
        <v>148</v>
      </c>
      <c r="J15" s="160" t="s">
        <v>67</v>
      </c>
      <c r="K15" s="57" t="s">
        <v>149</v>
      </c>
      <c r="L15" s="156" t="s">
        <v>17</v>
      </c>
    </row>
    <row r="16" spans="1:14" x14ac:dyDescent="0.25">
      <c r="H16" s="161">
        <v>1500</v>
      </c>
      <c r="I16" s="118" t="s">
        <v>194</v>
      </c>
      <c r="J16" s="158" t="s">
        <v>35</v>
      </c>
      <c r="K16" s="143" t="s">
        <v>67</v>
      </c>
      <c r="L16" s="159" t="s">
        <v>17</v>
      </c>
    </row>
    <row r="17" spans="1:14" x14ac:dyDescent="0.25">
      <c r="H17" s="145">
        <v>0</v>
      </c>
      <c r="I17" s="121" t="s">
        <v>25</v>
      </c>
      <c r="J17" s="159" t="s">
        <v>35</v>
      </c>
      <c r="K17" s="107" t="s">
        <v>40</v>
      </c>
      <c r="L17" s="159" t="s">
        <v>94</v>
      </c>
    </row>
    <row r="18" spans="1:14" x14ac:dyDescent="0.25">
      <c r="A18" s="145"/>
      <c r="B18" s="118"/>
      <c r="C18" s="15"/>
      <c r="D18" s="15"/>
      <c r="E18" s="84"/>
      <c r="H18" s="161">
        <v>1430</v>
      </c>
      <c r="I18" s="118" t="s">
        <v>41</v>
      </c>
      <c r="J18" s="159" t="s">
        <v>35</v>
      </c>
      <c r="K18" s="15" t="s">
        <v>72</v>
      </c>
      <c r="L18" s="159"/>
    </row>
    <row r="19" spans="1:14" ht="45" x14ac:dyDescent="0.25">
      <c r="A19" s="145"/>
      <c r="B19" s="118"/>
      <c r="C19" s="15"/>
      <c r="D19" s="15"/>
      <c r="E19" s="84"/>
      <c r="M19" s="108" t="s">
        <v>157</v>
      </c>
      <c r="N19" s="104" t="s">
        <v>158</v>
      </c>
    </row>
    <row r="20" spans="1:14" x14ac:dyDescent="0.25">
      <c r="A20" s="145"/>
      <c r="B20" s="118"/>
      <c r="C20" s="15"/>
      <c r="D20" s="15"/>
      <c r="E20" s="84"/>
      <c r="H20" s="145" t="s">
        <v>195</v>
      </c>
      <c r="I20" s="146">
        <f>SUM(H5:H13)</f>
        <v>61537</v>
      </c>
      <c r="J20" s="15"/>
      <c r="K20" s="15"/>
      <c r="M20" s="108"/>
      <c r="N20" s="104"/>
    </row>
    <row r="21" spans="1:14" x14ac:dyDescent="0.25">
      <c r="A21" s="145"/>
      <c r="B21" s="118"/>
      <c r="C21" s="15"/>
      <c r="D21" s="15"/>
      <c r="E21" s="84"/>
      <c r="H21" s="145" t="s">
        <v>196</v>
      </c>
      <c r="I21" s="149">
        <f>SUM(H14:H15)</f>
        <v>18000</v>
      </c>
      <c r="J21" s="15"/>
      <c r="K21" s="15"/>
      <c r="M21" s="108"/>
      <c r="N21" s="104"/>
    </row>
    <row r="22" spans="1:14" x14ac:dyDescent="0.25">
      <c r="A22" s="145"/>
      <c r="B22" s="118"/>
      <c r="C22" s="15"/>
      <c r="D22" s="15"/>
      <c r="E22" s="84"/>
      <c r="H22" s="145" t="s">
        <v>35</v>
      </c>
      <c r="I22" s="157">
        <f>SUM(H16:H19)</f>
        <v>2930</v>
      </c>
      <c r="J22" s="15"/>
      <c r="K22" s="15"/>
      <c r="M22" s="108"/>
      <c r="N22" s="104"/>
    </row>
    <row r="23" spans="1:14" x14ac:dyDescent="0.25">
      <c r="A23" s="145"/>
      <c r="B23" s="118"/>
      <c r="C23" s="15"/>
      <c r="D23" s="15"/>
      <c r="E23" s="84"/>
      <c r="H23" s="145"/>
      <c r="I23" s="118"/>
      <c r="J23" s="15"/>
      <c r="K23" s="15"/>
      <c r="M23" s="108"/>
      <c r="N23" s="104"/>
    </row>
    <row r="24" spans="1:14" x14ac:dyDescent="0.25">
      <c r="A24" s="145"/>
      <c r="B24" s="118"/>
      <c r="C24" s="15"/>
      <c r="D24" s="15"/>
      <c r="E24" s="84"/>
      <c r="H24" s="82">
        <f>SUM(H4:H19)</f>
        <v>87467</v>
      </c>
      <c r="I24" s="104" t="s">
        <v>31</v>
      </c>
      <c r="J24" s="15"/>
      <c r="K24" s="15"/>
      <c r="M24" s="108"/>
      <c r="N24" s="104"/>
    </row>
    <row r="25" spans="1:14" x14ac:dyDescent="0.25">
      <c r="A25" s="145"/>
      <c r="B25" s="118"/>
      <c r="C25" s="15"/>
      <c r="D25" s="15"/>
      <c r="E25" s="84"/>
      <c r="H25" s="82">
        <v>85000</v>
      </c>
      <c r="I25" s="104" t="s">
        <v>66</v>
      </c>
      <c r="J25" s="15"/>
      <c r="K25" s="15"/>
      <c r="M25" s="108"/>
      <c r="N25" s="104"/>
    </row>
    <row r="26" spans="1:14" x14ac:dyDescent="0.25">
      <c r="A26" s="145"/>
      <c r="B26" s="118"/>
      <c r="C26" s="15"/>
      <c r="D26" s="15"/>
      <c r="E26" s="84"/>
      <c r="H26" s="145"/>
      <c r="I26" s="118"/>
      <c r="J26" s="15"/>
      <c r="K26" s="15"/>
      <c r="M26" s="108"/>
      <c r="N26" s="104"/>
    </row>
    <row r="27" spans="1:14" x14ac:dyDescent="0.25">
      <c r="A27" s="145"/>
      <c r="B27" s="118"/>
      <c r="C27" s="15"/>
      <c r="D27" s="15"/>
      <c r="E27" s="84"/>
      <c r="H27" s="145"/>
      <c r="I27" s="118"/>
      <c r="J27" s="15"/>
      <c r="K27" s="15"/>
      <c r="M27" s="108"/>
      <c r="N27" s="104"/>
    </row>
    <row r="28" spans="1:14" x14ac:dyDescent="0.25">
      <c r="A28" s="82" t="s">
        <v>66</v>
      </c>
      <c r="B28" s="119">
        <v>85000</v>
      </c>
    </row>
    <row r="29" spans="1:14" x14ac:dyDescent="0.25">
      <c r="A29" s="82" t="s">
        <v>164</v>
      </c>
      <c r="B29" s="119">
        <f>SUM(A4:A27)</f>
        <v>91817</v>
      </c>
    </row>
    <row r="30" spans="1:14" x14ac:dyDescent="0.25">
      <c r="A30" s="83" t="s">
        <v>108</v>
      </c>
      <c r="B30" s="119">
        <f>B28-B29</f>
        <v>-6817</v>
      </c>
    </row>
    <row r="31" spans="1:14" x14ac:dyDescent="0.25">
      <c r="H31" s="83">
        <f>H25-H24</f>
        <v>-2467</v>
      </c>
      <c r="I31" s="104" t="s">
        <v>108</v>
      </c>
    </row>
    <row r="32" spans="1:14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E3" xr:uid="{5E88C536-5958-427A-9B09-8A0CA9C64EFD}"/>
  <mergeCells count="3">
    <mergeCell ref="A1:M1"/>
    <mergeCell ref="A2:F2"/>
    <mergeCell ref="H2:M2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D1A4-8CFD-4603-9E3E-703AAFEA7A34}">
  <dimension ref="A1:M35"/>
  <sheetViews>
    <sheetView topLeftCell="A4" workbookViewId="0">
      <selection activeCell="L6" sqref="L6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79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37">
        <v>44105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</row>
    <row r="2" spans="1:13" ht="23.25" x14ac:dyDescent="0.25">
      <c r="A2" s="235" t="s">
        <v>132</v>
      </c>
      <c r="B2" s="235"/>
      <c r="C2" s="235"/>
      <c r="D2" s="235"/>
      <c r="E2" s="235"/>
      <c r="F2" s="114"/>
      <c r="G2" s="236" t="s">
        <v>166</v>
      </c>
      <c r="H2" s="236"/>
      <c r="I2" s="236"/>
      <c r="J2" s="236"/>
      <c r="K2" s="236"/>
      <c r="L2" s="23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176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177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178"/>
      <c r="G5" s="161">
        <v>27000</v>
      </c>
      <c r="H5" s="118" t="s">
        <v>37</v>
      </c>
      <c r="I5" s="107" t="s">
        <v>38</v>
      </c>
      <c r="J5" s="107" t="s">
        <v>38</v>
      </c>
      <c r="K5" s="56" t="s">
        <v>17</v>
      </c>
      <c r="L5" s="109"/>
    </row>
    <row r="6" spans="1:13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E6" s="178"/>
      <c r="G6" s="161">
        <v>6667</v>
      </c>
      <c r="H6" s="164" t="s">
        <v>198</v>
      </c>
      <c r="I6" s="107" t="s">
        <v>38</v>
      </c>
      <c r="J6" s="107" t="s">
        <v>147</v>
      </c>
      <c r="K6" s="84" t="s">
        <v>17</v>
      </c>
      <c r="L6" s="57">
        <f>6667*2</f>
        <v>13334</v>
      </c>
      <c r="M6" s="120" t="s">
        <v>169</v>
      </c>
    </row>
    <row r="7" spans="1:13" x14ac:dyDescent="0.25">
      <c r="A7" s="83">
        <v>3000</v>
      </c>
      <c r="B7" s="104" t="s">
        <v>148</v>
      </c>
      <c r="C7" s="57" t="s">
        <v>67</v>
      </c>
      <c r="D7" s="57" t="s">
        <v>149</v>
      </c>
      <c r="E7" s="179">
        <f>40000/6</f>
        <v>6666.666666666667</v>
      </c>
      <c r="G7" s="161">
        <v>1400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17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x14ac:dyDescent="0.25">
      <c r="A9" s="145">
        <v>1250</v>
      </c>
      <c r="B9" s="118" t="s">
        <v>41</v>
      </c>
      <c r="C9" s="15" t="s">
        <v>38</v>
      </c>
      <c r="D9" s="15" t="s">
        <v>72</v>
      </c>
      <c r="E9" s="180"/>
      <c r="G9" s="161">
        <v>6442</v>
      </c>
      <c r="H9" s="104" t="s">
        <v>191</v>
      </c>
      <c r="I9" s="169" t="s">
        <v>35</v>
      </c>
      <c r="J9" s="169" t="s">
        <v>94</v>
      </c>
      <c r="K9" s="84" t="s">
        <v>17</v>
      </c>
      <c r="L9" s="57">
        <v>1750</v>
      </c>
      <c r="M9" s="113" t="s">
        <v>200</v>
      </c>
    </row>
    <row r="10" spans="1:13" x14ac:dyDescent="0.25">
      <c r="A10" s="83">
        <v>1500</v>
      </c>
      <c r="B10" s="118" t="s">
        <v>188</v>
      </c>
      <c r="C10" s="143" t="s">
        <v>35</v>
      </c>
      <c r="D10" s="143" t="s">
        <v>67</v>
      </c>
      <c r="G10" s="161">
        <v>2500</v>
      </c>
      <c r="H10" s="104" t="s">
        <v>201</v>
      </c>
      <c r="I10" s="143" t="s">
        <v>38</v>
      </c>
      <c r="J10" s="143"/>
      <c r="K10" s="84" t="s">
        <v>17</v>
      </c>
    </row>
    <row r="11" spans="1:13" x14ac:dyDescent="0.25">
      <c r="A11" s="83">
        <v>25000</v>
      </c>
      <c r="B11" s="104" t="s">
        <v>161</v>
      </c>
      <c r="C11" s="143" t="s">
        <v>35</v>
      </c>
      <c r="D11" s="143" t="s">
        <v>67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45">
        <v>5000</v>
      </c>
      <c r="B12" s="118" t="s">
        <v>203</v>
      </c>
      <c r="C12" s="15" t="s">
        <v>38</v>
      </c>
      <c r="D12" s="108" t="s">
        <v>186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44"/>
      <c r="B13" s="121"/>
      <c r="C13" s="107"/>
      <c r="D13" s="107"/>
      <c r="E13" s="181"/>
      <c r="G13" s="165">
        <v>15000</v>
      </c>
      <c r="H13" s="118" t="s">
        <v>143</v>
      </c>
      <c r="I13" s="107" t="s">
        <v>67</v>
      </c>
      <c r="J13" s="107" t="s">
        <v>144</v>
      </c>
      <c r="K13" s="84" t="s">
        <v>17</v>
      </c>
    </row>
    <row r="14" spans="1:13" ht="30" x14ac:dyDescent="0.25">
      <c r="A14" s="145">
        <v>15000</v>
      </c>
      <c r="B14" s="118" t="s">
        <v>155</v>
      </c>
      <c r="C14" s="15" t="s">
        <v>38</v>
      </c>
      <c r="D14" s="15" t="s">
        <v>156</v>
      </c>
      <c r="E14" s="182" t="s">
        <v>193</v>
      </c>
      <c r="G14" s="166">
        <v>3000</v>
      </c>
      <c r="H14" s="104" t="s">
        <v>204</v>
      </c>
      <c r="I14" s="169" t="s">
        <v>67</v>
      </c>
      <c r="J14" s="169" t="s">
        <v>149</v>
      </c>
      <c r="K14" s="84" t="s">
        <v>17</v>
      </c>
      <c r="L14" s="108"/>
      <c r="M14" s="104"/>
    </row>
    <row r="15" spans="1:13" ht="30" x14ac:dyDescent="0.25">
      <c r="A15" s="145"/>
      <c r="B15" s="118"/>
      <c r="C15" s="15"/>
      <c r="D15" s="15"/>
      <c r="G15" s="165">
        <v>3500</v>
      </c>
      <c r="H15" s="104" t="s">
        <v>205</v>
      </c>
      <c r="I15" s="170"/>
      <c r="J15" s="170"/>
      <c r="K15" s="84" t="s">
        <v>17</v>
      </c>
      <c r="L15" s="108"/>
      <c r="M15" s="104"/>
    </row>
    <row r="16" spans="1:13" x14ac:dyDescent="0.25"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77009</v>
      </c>
      <c r="H20" s="104" t="s">
        <v>31</v>
      </c>
      <c r="I20" s="167" t="s">
        <v>206</v>
      </c>
      <c r="J20" s="158">
        <f>SUM(G4:G12)</f>
        <v>55509</v>
      </c>
      <c r="K20" s="84">
        <f>J20*12</f>
        <v>666108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88000</v>
      </c>
      <c r="H21" s="104" t="s">
        <v>66</v>
      </c>
      <c r="I21" s="167" t="s">
        <v>207</v>
      </c>
      <c r="J21" s="84">
        <f>SUM(G13:G19)</f>
        <v>21500</v>
      </c>
      <c r="K21" s="84">
        <f>J21*12</f>
        <v>258000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10991</v>
      </c>
      <c r="H22" s="104" t="s">
        <v>208</v>
      </c>
      <c r="I22" s="15"/>
      <c r="J22" s="168">
        <f>SUM(J20:J21)</f>
        <v>77009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104417</v>
      </c>
    </row>
    <row r="30" spans="1:13" x14ac:dyDescent="0.25">
      <c r="A30" s="83" t="s">
        <v>108</v>
      </c>
      <c r="B30" s="119">
        <f>B28-B29</f>
        <v>-19417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639D-B7AB-4E06-9D99-0693DB167D14}">
  <dimension ref="A1:M35"/>
  <sheetViews>
    <sheetView workbookViewId="0">
      <selection activeCell="H14" sqref="H1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37">
        <v>44136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</row>
    <row r="2" spans="1:13" ht="23.25" x14ac:dyDescent="0.25">
      <c r="A2" s="235" t="s">
        <v>132</v>
      </c>
      <c r="B2" s="235"/>
      <c r="C2" s="235"/>
      <c r="D2" s="235"/>
      <c r="E2" s="235"/>
      <c r="F2" s="114"/>
      <c r="G2" s="236" t="s">
        <v>166</v>
      </c>
      <c r="H2" s="236"/>
      <c r="I2" s="236"/>
      <c r="J2" s="236"/>
      <c r="K2" s="236"/>
      <c r="L2" s="23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209</v>
      </c>
      <c r="C6" s="107" t="s">
        <v>38</v>
      </c>
      <c r="D6" s="107" t="s">
        <v>147</v>
      </c>
      <c r="E6" s="108"/>
      <c r="G6" s="161">
        <v>6667</v>
      </c>
      <c r="H6" s="164" t="s">
        <v>209</v>
      </c>
      <c r="I6" s="107" t="s">
        <v>38</v>
      </c>
      <c r="J6" s="107" t="s">
        <v>147</v>
      </c>
      <c r="K6" s="84" t="s">
        <v>17</v>
      </c>
      <c r="L6" s="57">
        <f>6667*1</f>
        <v>6667</v>
      </c>
      <c r="M6" s="120" t="s">
        <v>169</v>
      </c>
    </row>
    <row r="7" spans="1:13" x14ac:dyDescent="0.25">
      <c r="A7" s="144">
        <v>1250</v>
      </c>
      <c r="B7" s="118" t="s">
        <v>41</v>
      </c>
      <c r="C7" s="107" t="s">
        <v>38</v>
      </c>
      <c r="D7" s="107" t="s">
        <v>72</v>
      </c>
      <c r="G7" s="161">
        <v>2800</v>
      </c>
      <c r="H7" s="118" t="s">
        <v>41</v>
      </c>
      <c r="I7" s="107" t="s">
        <v>38</v>
      </c>
      <c r="J7" s="107" t="s">
        <v>72</v>
      </c>
    </row>
    <row r="8" spans="1:13" x14ac:dyDescent="0.25">
      <c r="A8" s="144">
        <v>1500</v>
      </c>
      <c r="B8" s="118" t="s">
        <v>194</v>
      </c>
      <c r="C8" s="169" t="s">
        <v>35</v>
      </c>
      <c r="D8" s="169" t="s">
        <v>199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04" t="s">
        <v>210</v>
      </c>
      <c r="C9" s="169" t="s">
        <v>35</v>
      </c>
      <c r="D9" s="169" t="s">
        <v>67</v>
      </c>
      <c r="E9" s="105"/>
      <c r="G9" s="161">
        <v>0</v>
      </c>
      <c r="H9" s="104" t="s">
        <v>210</v>
      </c>
      <c r="I9" s="169" t="s">
        <v>35</v>
      </c>
      <c r="J9" s="169" t="s">
        <v>67</v>
      </c>
    </row>
    <row r="10" spans="1:13" x14ac:dyDescent="0.25">
      <c r="A10" s="144">
        <v>1500</v>
      </c>
      <c r="B10" s="104" t="s">
        <v>201</v>
      </c>
      <c r="C10" s="143" t="s">
        <v>38</v>
      </c>
      <c r="D10" s="143"/>
      <c r="G10" s="161">
        <v>5000</v>
      </c>
      <c r="H10" s="104" t="s">
        <v>211</v>
      </c>
      <c r="I10" s="143" t="s">
        <v>38</v>
      </c>
      <c r="J10" s="143"/>
    </row>
    <row r="11" spans="1:13" ht="30" x14ac:dyDescent="0.25">
      <c r="A11" s="144">
        <v>15000</v>
      </c>
      <c r="B11" s="104" t="s">
        <v>212</v>
      </c>
      <c r="C11" s="169" t="s">
        <v>35</v>
      </c>
      <c r="D11" s="171" t="s">
        <v>213</v>
      </c>
      <c r="G11" s="161">
        <v>15000</v>
      </c>
      <c r="H11" s="104" t="s">
        <v>214</v>
      </c>
      <c r="I11" s="169" t="s">
        <v>35</v>
      </c>
      <c r="J11" s="171" t="s">
        <v>213</v>
      </c>
    </row>
    <row r="12" spans="1:13" ht="30" x14ac:dyDescent="0.25">
      <c r="A12" s="144"/>
      <c r="B12" s="118" t="s">
        <v>161</v>
      </c>
      <c r="C12" s="107" t="s">
        <v>35</v>
      </c>
      <c r="D12" s="163" t="s">
        <v>67</v>
      </c>
      <c r="E12" s="108" t="s">
        <v>202</v>
      </c>
      <c r="G12" s="145">
        <f>1000*2+500*5+2000+1000+1000</f>
        <v>8500</v>
      </c>
      <c r="H12" s="118" t="s">
        <v>215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18" t="s">
        <v>155</v>
      </c>
      <c r="C13" s="107" t="s">
        <v>38</v>
      </c>
      <c r="D13" s="107" t="s">
        <v>156</v>
      </c>
      <c r="E13" s="108" t="s">
        <v>157</v>
      </c>
      <c r="G13" s="165">
        <v>8000</v>
      </c>
      <c r="H13" s="118" t="s">
        <v>143</v>
      </c>
      <c r="I13" s="107" t="s">
        <v>67</v>
      </c>
      <c r="J13" s="107" t="s">
        <v>144</v>
      </c>
      <c r="K13" s="84" t="s">
        <v>17</v>
      </c>
      <c r="L13" s="108"/>
      <c r="M13" s="104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6">
        <v>0</v>
      </c>
      <c r="H14" s="104" t="s">
        <v>148</v>
      </c>
      <c r="I14" s="169" t="s">
        <v>67</v>
      </c>
      <c r="J14" s="169" t="s">
        <v>149</v>
      </c>
      <c r="K14" s="84" t="s">
        <v>17</v>
      </c>
    </row>
    <row r="15" spans="1:13" ht="30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5" t="s">
        <v>94</v>
      </c>
      <c r="H15" s="104" t="s">
        <v>189</v>
      </c>
      <c r="I15" s="169" t="s">
        <v>35</v>
      </c>
      <c r="J15" s="169" t="s">
        <v>216</v>
      </c>
      <c r="K15" s="84" t="s">
        <v>94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84467</v>
      </c>
      <c r="H20" s="104" t="s">
        <v>31</v>
      </c>
      <c r="I20" s="172" t="s">
        <v>206</v>
      </c>
      <c r="J20" s="158">
        <f>SUM(G4:G12)</f>
        <v>76467</v>
      </c>
      <c r="K20" s="84">
        <f>J20*12</f>
        <v>917604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88450</v>
      </c>
      <c r="H21" s="104" t="s">
        <v>66</v>
      </c>
      <c r="I21" s="172" t="s">
        <v>207</v>
      </c>
      <c r="J21" s="84">
        <f>SUM(G13:G19)</f>
        <v>8000</v>
      </c>
      <c r="K21" s="84">
        <f>J21*12</f>
        <v>96000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3983</v>
      </c>
      <c r="H22" s="104" t="s">
        <v>108</v>
      </c>
      <c r="I22" s="15"/>
      <c r="J22" s="168">
        <f>SUM(J20:J21)</f>
        <v>84467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88417</v>
      </c>
    </row>
    <row r="30" spans="1:13" x14ac:dyDescent="0.25">
      <c r="A30" s="83" t="s">
        <v>108</v>
      </c>
      <c r="B30" s="119">
        <f>B28-B29</f>
        <v>-3417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FA24-459C-4976-91B4-7C2120855C43}">
  <dimension ref="A1:M35"/>
  <sheetViews>
    <sheetView workbookViewId="0">
      <selection activeCell="G13" sqref="G13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37">
        <v>44166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</row>
    <row r="2" spans="1:13" ht="23.25" x14ac:dyDescent="0.25">
      <c r="A2" s="235" t="s">
        <v>132</v>
      </c>
      <c r="B2" s="235"/>
      <c r="C2" s="235"/>
      <c r="D2" s="235"/>
      <c r="E2" s="235"/>
      <c r="F2" s="114"/>
      <c r="G2" s="236" t="s">
        <v>166</v>
      </c>
      <c r="H2" s="236"/>
      <c r="I2" s="236"/>
      <c r="J2" s="236"/>
      <c r="K2" s="236"/>
      <c r="L2" s="23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183</v>
      </c>
      <c r="D4" s="107" t="s">
        <v>35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21" t="s">
        <v>37</v>
      </c>
      <c r="C5" s="15" t="s">
        <v>38</v>
      </c>
      <c r="D5" s="15" t="s">
        <v>38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217</v>
      </c>
      <c r="C6" s="15" t="s">
        <v>67</v>
      </c>
      <c r="D6" s="15" t="s">
        <v>144</v>
      </c>
      <c r="E6" s="108"/>
      <c r="G6" s="161">
        <v>6667</v>
      </c>
      <c r="H6" s="164" t="s">
        <v>217</v>
      </c>
      <c r="I6" s="107" t="s">
        <v>38</v>
      </c>
      <c r="J6" s="107" t="s">
        <v>147</v>
      </c>
      <c r="K6" s="84" t="s">
        <v>17</v>
      </c>
      <c r="L6" s="57">
        <f>6667*0</f>
        <v>0</v>
      </c>
      <c r="M6" s="120" t="s">
        <v>169</v>
      </c>
    </row>
    <row r="7" spans="1:13" x14ac:dyDescent="0.25">
      <c r="A7" s="144">
        <v>1250</v>
      </c>
      <c r="B7" s="121" t="s">
        <v>41</v>
      </c>
      <c r="C7" s="57" t="s">
        <v>67</v>
      </c>
      <c r="D7" s="57" t="s">
        <v>149</v>
      </c>
      <c r="E7" s="111">
        <f>40000/6</f>
        <v>6666.666666666667</v>
      </c>
      <c r="G7" s="161">
        <v>1050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1500</v>
      </c>
      <c r="B8" s="121" t="s">
        <v>194</v>
      </c>
      <c r="C8" s="107" t="s">
        <v>38</v>
      </c>
      <c r="D8" s="107" t="s">
        <v>147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73" t="s">
        <v>210</v>
      </c>
      <c r="C9" s="15" t="s">
        <v>38</v>
      </c>
      <c r="D9" s="15" t="s">
        <v>72</v>
      </c>
      <c r="E9" s="105"/>
      <c r="G9" s="161">
        <v>6500</v>
      </c>
      <c r="H9" s="104" t="s">
        <v>285</v>
      </c>
      <c r="I9" s="169" t="s">
        <v>35</v>
      </c>
      <c r="J9" s="169" t="s">
        <v>43</v>
      </c>
      <c r="K9" s="84" t="s">
        <v>17</v>
      </c>
    </row>
    <row r="10" spans="1:13" x14ac:dyDescent="0.25">
      <c r="A10" s="144">
        <v>1500</v>
      </c>
      <c r="B10" s="173" t="s">
        <v>201</v>
      </c>
      <c r="C10" s="143" t="s">
        <v>35</v>
      </c>
      <c r="D10" s="143" t="s">
        <v>67</v>
      </c>
      <c r="G10" s="161">
        <v>750</v>
      </c>
      <c r="H10" s="104" t="s">
        <v>286</v>
      </c>
      <c r="I10" s="143" t="s">
        <v>35</v>
      </c>
      <c r="J10" s="169" t="s">
        <v>43</v>
      </c>
      <c r="K10" s="84" t="s">
        <v>17</v>
      </c>
    </row>
    <row r="11" spans="1:13" x14ac:dyDescent="0.25">
      <c r="A11" s="144"/>
      <c r="B11" s="173"/>
      <c r="C11" s="143" t="s">
        <v>35</v>
      </c>
      <c r="D11" s="143" t="s">
        <v>67</v>
      </c>
      <c r="G11" s="161"/>
      <c r="H11" s="104"/>
      <c r="I11" s="169"/>
      <c r="J11" s="171"/>
    </row>
    <row r="12" spans="1:13" ht="30" x14ac:dyDescent="0.25">
      <c r="A12" s="144"/>
      <c r="B12" s="121" t="s">
        <v>161</v>
      </c>
      <c r="C12" s="15" t="s">
        <v>38</v>
      </c>
      <c r="D12" s="108" t="s">
        <v>186</v>
      </c>
      <c r="G12" s="145" t="s">
        <v>94</v>
      </c>
      <c r="H12" s="118" t="s">
        <v>161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21" t="s">
        <v>155</v>
      </c>
      <c r="C13" s="107"/>
      <c r="D13" s="107"/>
      <c r="E13" s="112"/>
      <c r="G13" s="64" t="s">
        <v>94</v>
      </c>
      <c r="H13" s="118" t="s">
        <v>155</v>
      </c>
      <c r="I13" s="107" t="s">
        <v>38</v>
      </c>
      <c r="J13" s="107" t="s">
        <v>156</v>
      </c>
      <c r="L13" s="108" t="s">
        <v>157</v>
      </c>
      <c r="M13" s="104" t="s">
        <v>158</v>
      </c>
    </row>
    <row r="14" spans="1:13" ht="30" x14ac:dyDescent="0.25">
      <c r="A14" s="144">
        <v>15000</v>
      </c>
      <c r="B14" s="121" t="s">
        <v>143</v>
      </c>
      <c r="C14" s="15" t="s">
        <v>38</v>
      </c>
      <c r="D14" s="15" t="s">
        <v>156</v>
      </c>
      <c r="E14" s="110" t="s">
        <v>193</v>
      </c>
      <c r="G14" s="165">
        <v>8000</v>
      </c>
      <c r="H14" s="118" t="s">
        <v>143</v>
      </c>
      <c r="I14" s="107" t="s">
        <v>67</v>
      </c>
      <c r="J14" s="107" t="s">
        <v>144</v>
      </c>
      <c r="K14" s="84" t="s">
        <v>17</v>
      </c>
    </row>
    <row r="15" spans="1:13" x14ac:dyDescent="0.25">
      <c r="A15" s="175">
        <v>3000</v>
      </c>
      <c r="B15" s="173" t="s">
        <v>148</v>
      </c>
      <c r="C15" s="15"/>
      <c r="D15" s="15"/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73" t="s">
        <v>189</v>
      </c>
      <c r="G16" s="165">
        <v>3500</v>
      </c>
      <c r="H16" s="104" t="s">
        <v>189</v>
      </c>
      <c r="I16" s="169" t="s">
        <v>35</v>
      </c>
      <c r="J16" s="169" t="s">
        <v>216</v>
      </c>
      <c r="K16" s="84" t="s">
        <v>17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67967</v>
      </c>
      <c r="H20" s="104" t="s">
        <v>31</v>
      </c>
      <c r="I20" s="172" t="s">
        <v>206</v>
      </c>
      <c r="J20" s="158">
        <f>SUM(G4:G13)</f>
        <v>53467</v>
      </c>
      <c r="K20" s="84">
        <f>J20*12</f>
        <v>641604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207</v>
      </c>
      <c r="J21" s="84">
        <f>SUM(G14:G19)</f>
        <v>14500</v>
      </c>
      <c r="K21" s="84">
        <f>J21*12</f>
        <v>174000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17033</v>
      </c>
      <c r="H22" s="104" t="s">
        <v>108</v>
      </c>
      <c r="I22" s="15"/>
      <c r="J22" s="168">
        <f>SUM(J20:J21)</f>
        <v>67967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73417</v>
      </c>
    </row>
    <row r="30" spans="1:13" x14ac:dyDescent="0.25">
      <c r="A30" s="83" t="s">
        <v>108</v>
      </c>
      <c r="B30" s="119">
        <f>B28-B29</f>
        <v>11583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188F-B179-41F9-B538-1BB08E66E500}">
  <dimension ref="A1:M35"/>
  <sheetViews>
    <sheetView topLeftCell="A3" workbookViewId="0">
      <selection activeCell="B9" sqref="B9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37" t="s">
        <v>218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</row>
    <row r="2" spans="1:13" ht="23.25" x14ac:dyDescent="0.25">
      <c r="A2" s="235" t="s">
        <v>132</v>
      </c>
      <c r="B2" s="235"/>
      <c r="C2" s="235"/>
      <c r="D2" s="235"/>
      <c r="E2" s="235"/>
      <c r="F2" s="114"/>
      <c r="G2" s="236" t="s">
        <v>166</v>
      </c>
      <c r="H2" s="236"/>
      <c r="I2" s="236"/>
      <c r="J2" s="236"/>
      <c r="K2" s="236"/>
      <c r="L2" s="23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/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/>
      <c r="L5" s="109"/>
    </row>
    <row r="6" spans="1:13" x14ac:dyDescent="0.25">
      <c r="A6" s="144">
        <v>1250</v>
      </c>
      <c r="B6" s="118" t="s">
        <v>41</v>
      </c>
      <c r="C6" s="107" t="s">
        <v>38</v>
      </c>
      <c r="D6" s="107" t="s">
        <v>72</v>
      </c>
      <c r="E6" s="108"/>
      <c r="G6" s="161">
        <v>1750</v>
      </c>
      <c r="H6" s="118" t="s">
        <v>41</v>
      </c>
      <c r="I6" s="107" t="s">
        <v>38</v>
      </c>
      <c r="J6" s="107" t="s">
        <v>72</v>
      </c>
    </row>
    <row r="7" spans="1:13" x14ac:dyDescent="0.25">
      <c r="A7" s="144">
        <v>1500</v>
      </c>
      <c r="B7" s="118" t="s">
        <v>194</v>
      </c>
      <c r="C7" s="169" t="s">
        <v>35</v>
      </c>
      <c r="D7" s="169" t="s">
        <v>199</v>
      </c>
      <c r="G7" s="161">
        <v>1500</v>
      </c>
      <c r="H7" s="118" t="s">
        <v>194</v>
      </c>
      <c r="I7" s="169" t="s">
        <v>35</v>
      </c>
      <c r="J7" s="169" t="s">
        <v>199</v>
      </c>
    </row>
    <row r="8" spans="1:13" ht="30" x14ac:dyDescent="0.25">
      <c r="A8" s="144">
        <v>7500</v>
      </c>
      <c r="B8" s="104" t="s">
        <v>210</v>
      </c>
      <c r="C8" s="169" t="s">
        <v>35</v>
      </c>
      <c r="D8" s="169" t="s">
        <v>67</v>
      </c>
      <c r="E8" s="108"/>
      <c r="G8" s="161">
        <v>7500</v>
      </c>
      <c r="H8" s="104" t="s">
        <v>210</v>
      </c>
      <c r="I8" s="169" t="s">
        <v>35</v>
      </c>
      <c r="J8" s="169" t="s">
        <v>67</v>
      </c>
    </row>
    <row r="9" spans="1:13" x14ac:dyDescent="0.25">
      <c r="A9" s="144">
        <v>1500</v>
      </c>
      <c r="B9" s="104" t="s">
        <v>201</v>
      </c>
      <c r="C9" s="143" t="s">
        <v>38</v>
      </c>
      <c r="D9" s="143"/>
      <c r="E9" s="105"/>
      <c r="G9" s="161"/>
      <c r="H9" s="104"/>
      <c r="I9" s="143" t="s">
        <v>38</v>
      </c>
      <c r="J9" s="143"/>
    </row>
    <row r="10" spans="1:13" x14ac:dyDescent="0.25">
      <c r="A10" s="144"/>
      <c r="B10" s="104"/>
      <c r="C10" s="169"/>
      <c r="D10" s="171"/>
      <c r="G10" s="161"/>
      <c r="H10" s="104"/>
      <c r="I10" s="169"/>
      <c r="J10" s="171"/>
    </row>
    <row r="11" spans="1:13" ht="30" x14ac:dyDescent="0.25">
      <c r="A11" s="144"/>
      <c r="B11" s="118" t="s">
        <v>161</v>
      </c>
      <c r="C11" s="107" t="s">
        <v>35</v>
      </c>
      <c r="D11" s="163" t="s">
        <v>67</v>
      </c>
      <c r="E11" s="108" t="s">
        <v>202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74"/>
      <c r="B12" s="118" t="s">
        <v>155</v>
      </c>
      <c r="C12" s="107" t="s">
        <v>38</v>
      </c>
      <c r="D12" s="107" t="s">
        <v>156</v>
      </c>
      <c r="E12" s="108" t="s">
        <v>157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74"/>
      <c r="E13" s="112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5">
        <v>8000</v>
      </c>
      <c r="H14" s="118" t="s">
        <v>143</v>
      </c>
      <c r="I14" s="107" t="s">
        <v>67</v>
      </c>
      <c r="J14" s="107" t="s">
        <v>144</v>
      </c>
    </row>
    <row r="15" spans="1:13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G16" s="165">
        <v>3500</v>
      </c>
      <c r="H16" s="104" t="s">
        <v>189</v>
      </c>
      <c r="I16" s="169" t="s">
        <v>35</v>
      </c>
      <c r="J16" s="169" t="s">
        <v>216</v>
      </c>
      <c r="L16" s="108"/>
      <c r="M16" s="104"/>
    </row>
    <row r="17" spans="1:13" x14ac:dyDescent="0.25">
      <c r="A17" s="175">
        <v>7500</v>
      </c>
      <c r="B17" s="104" t="s">
        <v>219</v>
      </c>
      <c r="C17" s="143" t="s">
        <v>38</v>
      </c>
      <c r="D17" s="143" t="s">
        <v>220</v>
      </c>
      <c r="G17" s="166">
        <v>7500</v>
      </c>
      <c r="H17" s="104" t="s">
        <v>219</v>
      </c>
      <c r="I17" s="143" t="s">
        <v>38</v>
      </c>
      <c r="J17" s="143" t="s">
        <v>220</v>
      </c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69750</v>
      </c>
      <c r="H20" s="104" t="s">
        <v>31</v>
      </c>
      <c r="I20" s="172" t="s">
        <v>221</v>
      </c>
      <c r="J20" s="158">
        <f>SUM(G4:G12)</f>
        <v>47750</v>
      </c>
      <c r="K20" s="84">
        <f>J20*12</f>
        <v>573000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222</v>
      </c>
      <c r="J21" s="84">
        <f>SUM(G14:G19)</f>
        <v>22000</v>
      </c>
      <c r="K21" s="84">
        <f>J21*12</f>
        <v>264000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15250</v>
      </c>
      <c r="H22" s="104" t="s">
        <v>108</v>
      </c>
      <c r="I22" s="15"/>
      <c r="J22" s="168">
        <f>SUM(J20:J21)</f>
        <v>69750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66750</v>
      </c>
    </row>
    <row r="30" spans="1:13" x14ac:dyDescent="0.25">
      <c r="A30" s="83" t="s">
        <v>108</v>
      </c>
      <c r="B30" s="119">
        <f>B28-B29</f>
        <v>18250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82E4-EE4B-49C5-896A-A120699020DF}">
  <dimension ref="A1:H24"/>
  <sheetViews>
    <sheetView workbookViewId="0">
      <selection activeCell="E4" sqref="E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2.425781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37">
        <v>44228</v>
      </c>
      <c r="B1" s="237"/>
      <c r="C1" s="237"/>
      <c r="D1" s="237"/>
      <c r="E1" s="237"/>
      <c r="F1" s="237"/>
      <c r="G1" s="237"/>
    </row>
    <row r="2" spans="1:8" ht="23.25" x14ac:dyDescent="0.25">
      <c r="A2" s="114"/>
      <c r="B2" s="236" t="s">
        <v>166</v>
      </c>
      <c r="C2" s="236"/>
      <c r="D2" s="236"/>
      <c r="E2" s="236"/>
      <c r="F2" s="236"/>
      <c r="G2" s="23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1">
        <v>3000</v>
      </c>
      <c r="C8" s="104" t="s">
        <v>292</v>
      </c>
      <c r="D8" s="169" t="s">
        <v>35</v>
      </c>
      <c r="E8" s="169" t="s">
        <v>67</v>
      </c>
    </row>
    <row r="9" spans="1:8" x14ac:dyDescent="0.25">
      <c r="B9" s="165">
        <v>10000</v>
      </c>
      <c r="C9" s="118" t="s">
        <v>288</v>
      </c>
      <c r="D9" s="107" t="s">
        <v>67</v>
      </c>
      <c r="E9" s="107" t="s">
        <v>144</v>
      </c>
    </row>
    <row r="10" spans="1:8" x14ac:dyDescent="0.25">
      <c r="B10" s="165">
        <v>10000</v>
      </c>
      <c r="C10" s="118" t="s">
        <v>289</v>
      </c>
      <c r="D10" s="169" t="s">
        <v>67</v>
      </c>
      <c r="E10" s="169" t="s">
        <v>149</v>
      </c>
      <c r="G10" s="108"/>
      <c r="H10" s="104"/>
    </row>
    <row r="11" spans="1:8" x14ac:dyDescent="0.25">
      <c r="B11" s="165">
        <v>3500</v>
      </c>
      <c r="C11" s="104" t="s">
        <v>290</v>
      </c>
      <c r="D11" s="169" t="s">
        <v>35</v>
      </c>
      <c r="E11" s="169" t="s">
        <v>216</v>
      </c>
      <c r="G11" s="108"/>
      <c r="H11" s="104"/>
    </row>
    <row r="12" spans="1:8" ht="30" x14ac:dyDescent="0.25">
      <c r="B12" s="166">
        <v>15000</v>
      </c>
      <c r="C12" s="104" t="s">
        <v>295</v>
      </c>
      <c r="D12" s="143" t="s">
        <v>38</v>
      </c>
      <c r="E12" s="143" t="s">
        <v>291</v>
      </c>
      <c r="G12" s="108"/>
      <c r="H12" s="104"/>
    </row>
    <row r="13" spans="1:8" x14ac:dyDescent="0.25">
      <c r="B13" s="145">
        <v>500</v>
      </c>
      <c r="C13" s="118" t="s">
        <v>293</v>
      </c>
      <c r="D13" s="15" t="s">
        <v>35</v>
      </c>
      <c r="E13" s="15" t="s">
        <v>294</v>
      </c>
      <c r="G13" s="108"/>
      <c r="H13" s="104"/>
    </row>
    <row r="14" spans="1:8" x14ac:dyDescent="0.25">
      <c r="B14" s="145">
        <v>1500</v>
      </c>
      <c r="C14" s="118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B15" s="145"/>
      <c r="C15" s="118"/>
      <c r="D15" s="15"/>
      <c r="E15" s="15"/>
      <c r="G15" s="108"/>
      <c r="H15" s="104"/>
    </row>
    <row r="16" spans="1:8" x14ac:dyDescent="0.25">
      <c r="B16" s="162"/>
      <c r="C16" s="118"/>
      <c r="D16" s="15"/>
      <c r="E16" s="15"/>
      <c r="G16" s="108"/>
      <c r="H16" s="104"/>
    </row>
    <row r="17" spans="2:8" ht="30" x14ac:dyDescent="0.25">
      <c r="B17" s="82">
        <f>SUM(B4:B16)</f>
        <v>83500</v>
      </c>
      <c r="C17" s="104" t="s">
        <v>31</v>
      </c>
      <c r="D17" s="172" t="s">
        <v>221</v>
      </c>
      <c r="E17" s="158">
        <f>SUM(B4:B8)</f>
        <v>43000</v>
      </c>
      <c r="F17" s="84">
        <f>E17*12</f>
        <v>516000</v>
      </c>
      <c r="G17" s="108"/>
      <c r="H17" s="104"/>
    </row>
    <row r="18" spans="2:8" ht="30" x14ac:dyDescent="0.25">
      <c r="B18" s="82">
        <v>85000</v>
      </c>
      <c r="C18" s="104" t="s">
        <v>66</v>
      </c>
      <c r="D18" s="172" t="s">
        <v>222</v>
      </c>
      <c r="E18" s="84">
        <f>SUM(B9:B16)</f>
        <v>40500</v>
      </c>
      <c r="F18" s="84">
        <f>E18*12</f>
        <v>486000</v>
      </c>
      <c r="G18" s="108"/>
      <c r="H18" s="104"/>
    </row>
    <row r="19" spans="2:8" x14ac:dyDescent="0.25">
      <c r="B19" s="83">
        <f>B18-B17</f>
        <v>1500</v>
      </c>
      <c r="C19" s="104" t="s">
        <v>108</v>
      </c>
      <c r="D19" s="15"/>
      <c r="E19" s="168">
        <f>SUM(E17:E18)</f>
        <v>83500</v>
      </c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  <row r="24" spans="2:8" x14ac:dyDescent="0.25">
      <c r="B24" s="145"/>
      <c r="C24" s="118"/>
      <c r="D24" s="15"/>
      <c r="E24" s="15"/>
      <c r="G24" s="108"/>
      <c r="H24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88F5-B144-4712-A68D-0D54D3DA480D}">
  <dimension ref="A1:H23"/>
  <sheetViews>
    <sheetView workbookViewId="0">
      <selection activeCell="B4" sqref="B4:E7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37">
        <v>44256</v>
      </c>
      <c r="B1" s="237"/>
      <c r="C1" s="237"/>
      <c r="D1" s="237"/>
      <c r="E1" s="237"/>
      <c r="F1" s="237"/>
      <c r="G1" s="237"/>
    </row>
    <row r="2" spans="1:8" ht="23.25" x14ac:dyDescent="0.25">
      <c r="A2" s="114"/>
      <c r="B2" s="236" t="s">
        <v>166</v>
      </c>
      <c r="C2" s="236"/>
      <c r="D2" s="236"/>
      <c r="E2" s="236"/>
      <c r="F2" s="236"/>
      <c r="G2" s="23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5">
        <v>10000</v>
      </c>
      <c r="C8" s="118" t="s">
        <v>288</v>
      </c>
      <c r="D8" s="107" t="s">
        <v>67</v>
      </c>
      <c r="E8" s="107" t="s">
        <v>144</v>
      </c>
    </row>
    <row r="9" spans="1:8" x14ac:dyDescent="0.25">
      <c r="B9" s="165">
        <v>10000</v>
      </c>
      <c r="C9" s="118" t="s">
        <v>289</v>
      </c>
      <c r="D9" s="169" t="s">
        <v>67</v>
      </c>
      <c r="E9" s="169" t="s">
        <v>149</v>
      </c>
      <c r="G9" s="108"/>
      <c r="H9" s="104"/>
    </row>
    <row r="10" spans="1:8" x14ac:dyDescent="0.25">
      <c r="B10" s="165">
        <v>3500</v>
      </c>
      <c r="C10" s="104" t="s">
        <v>290</v>
      </c>
      <c r="D10" s="169" t="s">
        <v>35</v>
      </c>
      <c r="E10" s="169" t="s">
        <v>216</v>
      </c>
      <c r="G10" s="108"/>
      <c r="H10" s="104"/>
    </row>
    <row r="11" spans="1:8" ht="30" x14ac:dyDescent="0.25">
      <c r="B11" s="166">
        <v>15000</v>
      </c>
      <c r="C11" s="104" t="s">
        <v>298</v>
      </c>
      <c r="D11" s="143" t="s">
        <v>38</v>
      </c>
      <c r="E11" s="143" t="s">
        <v>291</v>
      </c>
      <c r="G11" s="108"/>
      <c r="H11" s="104"/>
    </row>
    <row r="12" spans="1:8" x14ac:dyDescent="0.25">
      <c r="B12" s="166">
        <v>17500</v>
      </c>
      <c r="C12" s="104" t="s">
        <v>185</v>
      </c>
      <c r="D12" s="15" t="s">
        <v>38</v>
      </c>
      <c r="E12" s="15" t="s">
        <v>294</v>
      </c>
      <c r="G12" s="108"/>
      <c r="H12" s="104"/>
    </row>
    <row r="13" spans="1:8" x14ac:dyDescent="0.25">
      <c r="B13" s="162">
        <v>18000</v>
      </c>
      <c r="C13" s="118" t="s">
        <v>296</v>
      </c>
      <c r="D13" s="15" t="s">
        <v>38</v>
      </c>
      <c r="E13" s="15" t="s">
        <v>297</v>
      </c>
      <c r="G13" s="108"/>
      <c r="H13" s="104"/>
    </row>
    <row r="14" spans="1:8" x14ac:dyDescent="0.25">
      <c r="B14" s="162">
        <v>1500</v>
      </c>
      <c r="C14" s="104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G15" s="108"/>
      <c r="H15" s="104"/>
    </row>
    <row r="16" spans="1:8" ht="30" x14ac:dyDescent="0.25">
      <c r="B16" s="82">
        <f>SUM(B4:B14)</f>
        <v>115500</v>
      </c>
      <c r="C16" s="104" t="s">
        <v>31</v>
      </c>
      <c r="D16" s="172" t="s">
        <v>221</v>
      </c>
      <c r="E16" s="158">
        <f>SUM(B4:B7)</f>
        <v>40000</v>
      </c>
      <c r="F16" s="84">
        <f>E16*12</f>
        <v>480000</v>
      </c>
      <c r="G16" s="108"/>
      <c r="H16" s="104"/>
    </row>
    <row r="17" spans="2:8" ht="30" x14ac:dyDescent="0.25">
      <c r="B17" s="82">
        <v>85000</v>
      </c>
      <c r="C17" s="104" t="s">
        <v>66</v>
      </c>
      <c r="D17" s="172" t="s">
        <v>222</v>
      </c>
      <c r="E17" s="84">
        <f>SUM(B8:B14)</f>
        <v>75500</v>
      </c>
      <c r="F17" s="84">
        <f>E17*12</f>
        <v>906000</v>
      </c>
      <c r="G17" s="108"/>
      <c r="H17" s="104"/>
    </row>
    <row r="18" spans="2:8" x14ac:dyDescent="0.25">
      <c r="B18" s="83">
        <f>B17-B16</f>
        <v>-30500</v>
      </c>
      <c r="C18" s="104" t="s">
        <v>108</v>
      </c>
      <c r="D18" s="15"/>
      <c r="E18" s="168">
        <f>SUM(E16:E17)</f>
        <v>115500</v>
      </c>
      <c r="G18" s="108"/>
      <c r="H18" s="104"/>
    </row>
    <row r="19" spans="2:8" x14ac:dyDescent="0.25">
      <c r="B19" s="145"/>
      <c r="C19" s="118"/>
      <c r="D19" s="15"/>
      <c r="E19" s="15"/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BCD7-403F-4682-8C4D-9874D3ECF04E}">
  <dimension ref="A1:K56"/>
  <sheetViews>
    <sheetView workbookViewId="0">
      <selection sqref="A1:G1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143" bestFit="1" customWidth="1"/>
    <col min="5" max="5" width="22.7109375" style="143" bestFit="1" customWidth="1"/>
    <col min="6" max="6" width="15.7109375" style="84" bestFit="1" customWidth="1"/>
    <col min="7" max="7" width="24.7109375" style="111" customWidth="1"/>
    <col min="8" max="8" width="18" style="113" bestFit="1" customWidth="1"/>
    <col min="9" max="9" width="22.85546875" customWidth="1"/>
    <col min="10" max="10" width="18.42578125" style="113" bestFit="1" customWidth="1"/>
    <col min="11" max="11" width="20.5703125" style="113" bestFit="1" customWidth="1"/>
  </cols>
  <sheetData>
    <row r="1" spans="1:11" ht="23.25" x14ac:dyDescent="0.35">
      <c r="A1" s="237">
        <v>44287</v>
      </c>
      <c r="B1" s="237"/>
      <c r="C1" s="237"/>
      <c r="D1" s="237"/>
      <c r="E1" s="237"/>
      <c r="F1" s="237"/>
      <c r="G1" s="237"/>
    </row>
    <row r="2" spans="1:11" ht="23.25" x14ac:dyDescent="0.25">
      <c r="A2" s="114"/>
      <c r="B2" s="236" t="s">
        <v>166</v>
      </c>
      <c r="C2" s="236"/>
      <c r="D2" s="236"/>
      <c r="E2" s="236"/>
      <c r="F2" s="236"/>
      <c r="G2" s="236"/>
    </row>
    <row r="3" spans="1:11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85" t="s">
        <v>135</v>
      </c>
      <c r="I3" s="238" t="s">
        <v>66</v>
      </c>
      <c r="J3" s="238"/>
      <c r="K3" s="195" t="s">
        <v>331</v>
      </c>
    </row>
    <row r="4" spans="1:11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 t="s">
        <v>17</v>
      </c>
      <c r="G4" s="111" t="s">
        <v>324</v>
      </c>
      <c r="H4" s="194"/>
      <c r="I4" t="s">
        <v>330</v>
      </c>
      <c r="J4" s="113">
        <v>299000</v>
      </c>
      <c r="K4" s="113" t="s">
        <v>216</v>
      </c>
    </row>
    <row r="5" spans="1:11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 t="s">
        <v>17</v>
      </c>
      <c r="G5" s="111" t="s">
        <v>324</v>
      </c>
      <c r="I5" t="s">
        <v>334</v>
      </c>
      <c r="J5" s="196">
        <v>110000</v>
      </c>
      <c r="K5" s="113" t="s">
        <v>35</v>
      </c>
    </row>
    <row r="6" spans="1:11" ht="30" x14ac:dyDescent="0.25">
      <c r="B6" s="161">
        <v>2000</v>
      </c>
      <c r="C6" s="118" t="s">
        <v>41</v>
      </c>
      <c r="D6" s="107" t="s">
        <v>38</v>
      </c>
      <c r="E6" s="107" t="s">
        <v>72</v>
      </c>
      <c r="F6" s="84" t="s">
        <v>17</v>
      </c>
      <c r="G6" s="119" t="s">
        <v>325</v>
      </c>
      <c r="I6" s="41" t="s">
        <v>332</v>
      </c>
      <c r="J6" s="196"/>
      <c r="K6" s="113" t="s">
        <v>38</v>
      </c>
    </row>
    <row r="7" spans="1:11" ht="30" x14ac:dyDescent="0.25">
      <c r="B7" s="161">
        <v>800</v>
      </c>
      <c r="C7" s="118" t="s">
        <v>317</v>
      </c>
      <c r="D7" s="169" t="s">
        <v>35</v>
      </c>
      <c r="E7" s="169" t="s">
        <v>199</v>
      </c>
      <c r="I7" s="83" t="s">
        <v>239</v>
      </c>
      <c r="J7" s="120">
        <f>SUM(J4:J6)</f>
        <v>409000</v>
      </c>
    </row>
    <row r="8" spans="1:11" ht="30" x14ac:dyDescent="0.25">
      <c r="B8" s="82">
        <v>2000</v>
      </c>
      <c r="C8" s="104" t="s">
        <v>318</v>
      </c>
      <c r="D8" s="15" t="s">
        <v>38</v>
      </c>
      <c r="E8" s="15"/>
      <c r="F8" s="84" t="s">
        <v>17</v>
      </c>
      <c r="G8" s="110" t="s">
        <v>326</v>
      </c>
    </row>
    <row r="9" spans="1:11" ht="30" x14ac:dyDescent="0.25">
      <c r="B9" s="82">
        <v>10000</v>
      </c>
      <c r="C9" s="104" t="s">
        <v>319</v>
      </c>
      <c r="G9" s="108"/>
      <c r="H9" s="104"/>
    </row>
    <row r="10" spans="1:11" x14ac:dyDescent="0.25">
      <c r="B10" s="162">
        <v>18000</v>
      </c>
      <c r="C10" s="118" t="s">
        <v>296</v>
      </c>
      <c r="D10" s="15" t="s">
        <v>38</v>
      </c>
      <c r="E10" s="15" t="s">
        <v>297</v>
      </c>
      <c r="F10" s="84" t="s">
        <v>17</v>
      </c>
      <c r="G10" s="108" t="s">
        <v>322</v>
      </c>
      <c r="H10" s="41">
        <v>10000</v>
      </c>
      <c r="I10" s="41" t="s">
        <v>308</v>
      </c>
      <c r="J10" s="41"/>
      <c r="K10" s="41" t="s">
        <v>336</v>
      </c>
    </row>
    <row r="11" spans="1:11" x14ac:dyDescent="0.25">
      <c r="B11" s="162">
        <v>1500</v>
      </c>
      <c r="C11" s="104" t="s">
        <v>19</v>
      </c>
      <c r="D11" s="15" t="s">
        <v>35</v>
      </c>
      <c r="E11" s="15" t="s">
        <v>36</v>
      </c>
      <c r="G11" s="110" t="s">
        <v>326</v>
      </c>
      <c r="H11" s="41">
        <v>25000</v>
      </c>
      <c r="I11" s="41" t="s">
        <v>278</v>
      </c>
      <c r="J11" s="41"/>
      <c r="K11" s="41" t="s">
        <v>336</v>
      </c>
    </row>
    <row r="12" spans="1:11" x14ac:dyDescent="0.25">
      <c r="B12" s="82">
        <v>200000</v>
      </c>
      <c r="C12" s="104" t="s">
        <v>320</v>
      </c>
      <c r="D12" s="143" t="s">
        <v>216</v>
      </c>
      <c r="E12" s="143" t="s">
        <v>321</v>
      </c>
      <c r="F12" s="84" t="s">
        <v>17</v>
      </c>
      <c r="G12" s="108" t="s">
        <v>322</v>
      </c>
      <c r="H12" s="205">
        <v>1900</v>
      </c>
      <c r="I12" s="205" t="s">
        <v>311</v>
      </c>
      <c r="J12" s="205" t="s">
        <v>313</v>
      </c>
      <c r="K12" s="41" t="s">
        <v>337</v>
      </c>
    </row>
    <row r="13" spans="1:11" x14ac:dyDescent="0.25">
      <c r="B13" s="82">
        <v>17400</v>
      </c>
      <c r="C13" s="104" t="s">
        <v>323</v>
      </c>
      <c r="D13" s="143" t="s">
        <v>216</v>
      </c>
      <c r="E13" s="143" t="s">
        <v>232</v>
      </c>
      <c r="F13" s="84" t="s">
        <v>17</v>
      </c>
      <c r="G13" s="108" t="s">
        <v>322</v>
      </c>
      <c r="H13" s="205">
        <v>2500</v>
      </c>
      <c r="I13" s="205" t="s">
        <v>315</v>
      </c>
      <c r="J13" s="205" t="s">
        <v>316</v>
      </c>
      <c r="K13" s="41" t="s">
        <v>337</v>
      </c>
    </row>
    <row r="14" spans="1:11" x14ac:dyDescent="0.25">
      <c r="B14" s="82">
        <v>25000</v>
      </c>
      <c r="C14" s="104" t="s">
        <v>327</v>
      </c>
      <c r="D14" s="143" t="s">
        <v>216</v>
      </c>
      <c r="E14" s="143" t="s">
        <v>328</v>
      </c>
      <c r="F14" s="84" t="s">
        <v>17</v>
      </c>
      <c r="G14" s="108" t="s">
        <v>322</v>
      </c>
      <c r="H14" s="104"/>
    </row>
    <row r="15" spans="1:11" x14ac:dyDescent="0.25">
      <c r="B15" s="162">
        <v>2500</v>
      </c>
      <c r="C15" s="104" t="s">
        <v>329</v>
      </c>
      <c r="D15" s="15" t="s">
        <v>35</v>
      </c>
      <c r="E15" s="15" t="s">
        <v>36</v>
      </c>
      <c r="F15" s="84" t="s">
        <v>17</v>
      </c>
      <c r="G15" s="108" t="s">
        <v>324</v>
      </c>
      <c r="H15" s="104"/>
    </row>
    <row r="16" spans="1:11" ht="30" x14ac:dyDescent="0.25">
      <c r="B16" s="162">
        <f>3200+800</f>
        <v>4000</v>
      </c>
      <c r="C16" s="104" t="s">
        <v>341</v>
      </c>
      <c r="D16" s="15" t="s">
        <v>35</v>
      </c>
      <c r="E16" s="15" t="s">
        <v>36</v>
      </c>
      <c r="F16" s="84" t="s">
        <v>17</v>
      </c>
      <c r="G16" s="108" t="s">
        <v>324</v>
      </c>
      <c r="H16" s="104"/>
    </row>
    <row r="17" spans="2:8" x14ac:dyDescent="0.25">
      <c r="B17" s="162">
        <v>1050</v>
      </c>
      <c r="C17" s="104" t="s">
        <v>342</v>
      </c>
      <c r="D17" s="15" t="s">
        <v>35</v>
      </c>
      <c r="E17" s="15" t="s">
        <v>81</v>
      </c>
      <c r="F17" s="84" t="s">
        <v>17</v>
      </c>
      <c r="G17" s="108" t="s">
        <v>324</v>
      </c>
      <c r="H17" s="104"/>
    </row>
    <row r="18" spans="2:8" x14ac:dyDescent="0.25">
      <c r="B18" s="162">
        <f>400*3+200</f>
        <v>1400</v>
      </c>
      <c r="C18" s="104" t="s">
        <v>343</v>
      </c>
      <c r="D18" s="15" t="s">
        <v>35</v>
      </c>
      <c r="E18" s="15" t="s">
        <v>347</v>
      </c>
      <c r="F18" s="84" t="s">
        <v>17</v>
      </c>
      <c r="G18" s="108" t="s">
        <v>324</v>
      </c>
      <c r="H18" s="104"/>
    </row>
    <row r="19" spans="2:8" x14ac:dyDescent="0.25">
      <c r="B19" s="162">
        <v>15600</v>
      </c>
      <c r="C19" s="104" t="s">
        <v>345</v>
      </c>
      <c r="D19" s="143" t="s">
        <v>67</v>
      </c>
      <c r="E19" s="143" t="s">
        <v>346</v>
      </c>
      <c r="F19" s="84" t="s">
        <v>17</v>
      </c>
      <c r="G19" s="110" t="s">
        <v>350</v>
      </c>
    </row>
    <row r="20" spans="2:8" x14ac:dyDescent="0.25">
      <c r="B20" s="162">
        <v>300</v>
      </c>
      <c r="C20" s="119" t="s">
        <v>348</v>
      </c>
      <c r="D20" s="143" t="s">
        <v>35</v>
      </c>
      <c r="E20" s="143" t="s">
        <v>347</v>
      </c>
      <c r="F20" s="84" t="s">
        <v>17</v>
      </c>
      <c r="G20" s="110" t="s">
        <v>324</v>
      </c>
    </row>
    <row r="21" spans="2:8" x14ac:dyDescent="0.25">
      <c r="B21" s="162">
        <v>1500</v>
      </c>
      <c r="C21" s="119" t="s">
        <v>349</v>
      </c>
      <c r="D21" s="143" t="s">
        <v>35</v>
      </c>
      <c r="E21" s="143" t="s">
        <v>347</v>
      </c>
      <c r="F21" s="84" t="s">
        <v>17</v>
      </c>
      <c r="G21" s="110" t="s">
        <v>324</v>
      </c>
    </row>
    <row r="22" spans="2:8" ht="30" x14ac:dyDescent="0.25">
      <c r="B22" s="162">
        <v>10000</v>
      </c>
      <c r="C22" s="119" t="s">
        <v>351</v>
      </c>
      <c r="D22" s="143" t="s">
        <v>67</v>
      </c>
      <c r="E22" s="143" t="s">
        <v>43</v>
      </c>
      <c r="F22" s="84" t="s">
        <v>17</v>
      </c>
      <c r="G22" s="110" t="s">
        <v>352</v>
      </c>
    </row>
    <row r="23" spans="2:8" x14ac:dyDescent="0.25">
      <c r="B23" s="82">
        <f>950+1800</f>
        <v>2750</v>
      </c>
      <c r="C23" s="119" t="s">
        <v>354</v>
      </c>
      <c r="D23" s="143" t="s">
        <v>35</v>
      </c>
      <c r="E23" s="143" t="s">
        <v>43</v>
      </c>
      <c r="F23" s="84" t="s">
        <v>17</v>
      </c>
      <c r="G23" s="110" t="s">
        <v>353</v>
      </c>
    </row>
    <row r="24" spans="2:8" x14ac:dyDescent="0.25">
      <c r="B24" s="82">
        <v>1500</v>
      </c>
      <c r="C24" s="119" t="s">
        <v>358</v>
      </c>
      <c r="D24" s="143" t="s">
        <v>35</v>
      </c>
      <c r="E24" s="143" t="s">
        <v>36</v>
      </c>
      <c r="F24" s="84" t="s">
        <v>17</v>
      </c>
      <c r="G24" s="110" t="s">
        <v>359</v>
      </c>
    </row>
    <row r="25" spans="2:8" ht="30" x14ac:dyDescent="0.25">
      <c r="B25" s="82">
        <f>1600+300</f>
        <v>1900</v>
      </c>
      <c r="C25" s="119" t="s">
        <v>360</v>
      </c>
      <c r="D25" s="143" t="s">
        <v>35</v>
      </c>
      <c r="E25" s="143" t="s">
        <v>43</v>
      </c>
      <c r="F25" s="84" t="s">
        <v>17</v>
      </c>
      <c r="G25" s="110" t="s">
        <v>353</v>
      </c>
      <c r="H25" s="104"/>
    </row>
    <row r="26" spans="2:8" x14ac:dyDescent="0.25">
      <c r="B26" s="162"/>
      <c r="C26" s="104" t="s">
        <v>344</v>
      </c>
      <c r="D26" s="15"/>
      <c r="E26" s="15"/>
      <c r="G26" s="108"/>
      <c r="H26" s="104"/>
    </row>
    <row r="27" spans="2:8" x14ac:dyDescent="0.25">
      <c r="B27" s="82">
        <f>500</f>
        <v>500</v>
      </c>
      <c r="C27" s="119" t="s">
        <v>355</v>
      </c>
      <c r="D27" s="143" t="s">
        <v>35</v>
      </c>
      <c r="F27" s="84" t="s">
        <v>17</v>
      </c>
      <c r="G27" s="110"/>
      <c r="H27" s="104"/>
    </row>
    <row r="28" spans="2:8" x14ac:dyDescent="0.25">
      <c r="B28" s="82">
        <v>3000</v>
      </c>
      <c r="C28" s="119" t="s">
        <v>356</v>
      </c>
      <c r="D28" s="143" t="s">
        <v>35</v>
      </c>
      <c r="F28" s="84" t="s">
        <v>17</v>
      </c>
      <c r="G28" s="110"/>
      <c r="H28" s="104"/>
    </row>
    <row r="29" spans="2:8" x14ac:dyDescent="0.25">
      <c r="B29" s="82">
        <v>125</v>
      </c>
      <c r="C29" s="119" t="s">
        <v>357</v>
      </c>
      <c r="D29" s="143" t="s">
        <v>35</v>
      </c>
      <c r="E29" s="143" t="s">
        <v>43</v>
      </c>
      <c r="F29" s="84" t="s">
        <v>17</v>
      </c>
      <c r="G29" s="110"/>
      <c r="H29" s="104"/>
    </row>
    <row r="30" spans="2:8" x14ac:dyDescent="0.25">
      <c r="B30" s="82">
        <v>1000</v>
      </c>
      <c r="C30" s="119" t="s">
        <v>20</v>
      </c>
      <c r="D30" s="143" t="s">
        <v>35</v>
      </c>
      <c r="E30" s="143" t="s">
        <v>36</v>
      </c>
      <c r="F30" s="84" t="s">
        <v>17</v>
      </c>
      <c r="G30" s="110" t="s">
        <v>36</v>
      </c>
      <c r="H30" s="104"/>
    </row>
    <row r="31" spans="2:8" ht="30" x14ac:dyDescent="0.25">
      <c r="B31" s="82">
        <v>8000</v>
      </c>
      <c r="C31" s="119" t="s">
        <v>363</v>
      </c>
      <c r="D31" s="143" t="s">
        <v>216</v>
      </c>
      <c r="E31" s="143" t="s">
        <v>181</v>
      </c>
      <c r="F31" s="84" t="s">
        <v>17</v>
      </c>
      <c r="G31" s="110" t="s">
        <v>366</v>
      </c>
    </row>
    <row r="32" spans="2:8" ht="30" x14ac:dyDescent="0.25">
      <c r="B32" s="82">
        <v>3800</v>
      </c>
      <c r="C32" s="119" t="s">
        <v>364</v>
      </c>
      <c r="D32" s="143" t="s">
        <v>216</v>
      </c>
      <c r="E32" s="143" t="s">
        <v>365</v>
      </c>
      <c r="F32" s="84" t="s">
        <v>17</v>
      </c>
      <c r="G32" s="110" t="s">
        <v>367</v>
      </c>
    </row>
    <row r="33" spans="2:8" ht="30" x14ac:dyDescent="0.25">
      <c r="B33" s="82">
        <v>2050</v>
      </c>
      <c r="C33" s="119" t="s">
        <v>368</v>
      </c>
      <c r="D33" s="143" t="s">
        <v>216</v>
      </c>
      <c r="E33" s="143" t="s">
        <v>365</v>
      </c>
      <c r="F33" s="84" t="s">
        <v>17</v>
      </c>
      <c r="G33" s="110" t="s">
        <v>367</v>
      </c>
    </row>
    <row r="34" spans="2:8" ht="30" x14ac:dyDescent="0.25">
      <c r="B34" s="82">
        <v>1000</v>
      </c>
      <c r="C34" s="119" t="s">
        <v>369</v>
      </c>
      <c r="D34" s="143" t="s">
        <v>216</v>
      </c>
      <c r="E34" s="143" t="s">
        <v>365</v>
      </c>
      <c r="F34" s="84" t="s">
        <v>17</v>
      </c>
      <c r="G34" s="110" t="s">
        <v>367</v>
      </c>
    </row>
    <row r="35" spans="2:8" ht="30" x14ac:dyDescent="0.25">
      <c r="B35" s="82">
        <v>16500</v>
      </c>
      <c r="C35" s="119" t="s">
        <v>370</v>
      </c>
      <c r="D35" s="143" t="s">
        <v>216</v>
      </c>
      <c r="E35" s="143" t="s">
        <v>365</v>
      </c>
      <c r="F35" s="84" t="s">
        <v>17</v>
      </c>
      <c r="G35" s="110" t="s">
        <v>371</v>
      </c>
    </row>
    <row r="36" spans="2:8" ht="30" x14ac:dyDescent="0.25">
      <c r="B36" s="82">
        <v>3500</v>
      </c>
      <c r="C36" s="119" t="s">
        <v>372</v>
      </c>
      <c r="D36" s="143" t="s">
        <v>216</v>
      </c>
      <c r="E36" s="143" t="s">
        <v>365</v>
      </c>
      <c r="F36" s="84" t="s">
        <v>17</v>
      </c>
      <c r="G36" s="110" t="s">
        <v>367</v>
      </c>
    </row>
    <row r="37" spans="2:8" ht="30" x14ac:dyDescent="0.25">
      <c r="B37" s="82">
        <v>2000</v>
      </c>
      <c r="C37" s="119" t="s">
        <v>373</v>
      </c>
      <c r="D37" s="143" t="s">
        <v>35</v>
      </c>
      <c r="E37" s="143" t="s">
        <v>43</v>
      </c>
      <c r="F37" s="84" t="s">
        <v>17</v>
      </c>
      <c r="G37" s="110" t="s">
        <v>337</v>
      </c>
      <c r="H37" s="104"/>
    </row>
    <row r="38" spans="2:8" ht="30" x14ac:dyDescent="0.25">
      <c r="B38" s="82">
        <f>225+235</f>
        <v>460</v>
      </c>
      <c r="C38" s="119" t="s">
        <v>374</v>
      </c>
      <c r="D38" s="143" t="s">
        <v>35</v>
      </c>
      <c r="E38" s="143" t="s">
        <v>43</v>
      </c>
      <c r="F38" s="84" t="s">
        <v>17</v>
      </c>
      <c r="G38" s="110" t="s">
        <v>337</v>
      </c>
      <c r="H38" s="104"/>
    </row>
    <row r="39" spans="2:8" x14ac:dyDescent="0.25">
      <c r="B39" s="82">
        <v>500</v>
      </c>
      <c r="C39" s="119" t="s">
        <v>375</v>
      </c>
      <c r="D39" s="143" t="s">
        <v>67</v>
      </c>
      <c r="E39" s="143" t="s">
        <v>36</v>
      </c>
      <c r="F39" s="84" t="s">
        <v>17</v>
      </c>
      <c r="G39" s="110" t="s">
        <v>337</v>
      </c>
      <c r="H39" s="104"/>
    </row>
    <row r="40" spans="2:8" x14ac:dyDescent="0.25">
      <c r="B40" s="82">
        <v>1250</v>
      </c>
      <c r="C40" s="119" t="s">
        <v>376</v>
      </c>
      <c r="D40" s="143" t="s">
        <v>67</v>
      </c>
      <c r="E40" s="143" t="s">
        <v>43</v>
      </c>
      <c r="F40" s="84" t="s">
        <v>17</v>
      </c>
      <c r="G40" s="110" t="s">
        <v>337</v>
      </c>
      <c r="H40" s="104"/>
    </row>
    <row r="41" spans="2:8" x14ac:dyDescent="0.25">
      <c r="B41" s="82">
        <v>2000</v>
      </c>
      <c r="C41" s="119" t="s">
        <v>377</v>
      </c>
      <c r="D41" s="143" t="s">
        <v>67</v>
      </c>
      <c r="E41" s="143" t="s">
        <v>43</v>
      </c>
      <c r="F41" s="84" t="s">
        <v>17</v>
      </c>
      <c r="G41" s="110" t="s">
        <v>232</v>
      </c>
      <c r="H41" s="104"/>
    </row>
    <row r="42" spans="2:8" x14ac:dyDescent="0.25">
      <c r="B42" s="82">
        <v>150</v>
      </c>
      <c r="C42" s="119" t="s">
        <v>378</v>
      </c>
      <c r="D42" s="143" t="s">
        <v>67</v>
      </c>
      <c r="E42" s="143" t="s">
        <v>36</v>
      </c>
      <c r="F42" s="84" t="s">
        <v>17</v>
      </c>
      <c r="G42" s="110" t="s">
        <v>337</v>
      </c>
    </row>
    <row r="43" spans="2:8" x14ac:dyDescent="0.25">
      <c r="B43" s="82">
        <v>4000</v>
      </c>
      <c r="C43" s="119" t="s">
        <v>379</v>
      </c>
      <c r="D43" s="143" t="s">
        <v>67</v>
      </c>
      <c r="E43" s="143" t="s">
        <v>380</v>
      </c>
      <c r="F43" s="84" t="s">
        <v>17</v>
      </c>
      <c r="G43" s="110" t="s">
        <v>232</v>
      </c>
    </row>
    <row r="44" spans="2:8" x14ac:dyDescent="0.25">
      <c r="B44" s="82">
        <v>2369</v>
      </c>
      <c r="C44" s="119" t="s">
        <v>381</v>
      </c>
      <c r="D44" s="143" t="s">
        <v>67</v>
      </c>
      <c r="E44" s="143" t="s">
        <v>43</v>
      </c>
      <c r="F44" s="84" t="s">
        <v>17</v>
      </c>
      <c r="G44" s="110" t="s">
        <v>337</v>
      </c>
    </row>
    <row r="45" spans="2:8" x14ac:dyDescent="0.25">
      <c r="B45" s="82">
        <v>1000</v>
      </c>
      <c r="C45" s="119" t="s">
        <v>382</v>
      </c>
      <c r="D45" s="143" t="s">
        <v>67</v>
      </c>
      <c r="E45" s="143" t="s">
        <v>43</v>
      </c>
      <c r="F45" s="84" t="s">
        <v>17</v>
      </c>
      <c r="G45" s="110" t="s">
        <v>337</v>
      </c>
    </row>
    <row r="46" spans="2:8" x14ac:dyDescent="0.25">
      <c r="B46" s="82">
        <v>1400</v>
      </c>
      <c r="C46" s="119" t="s">
        <v>385</v>
      </c>
      <c r="D46" s="143" t="s">
        <v>67</v>
      </c>
      <c r="E46" s="143" t="s">
        <v>43</v>
      </c>
      <c r="F46" s="84" t="s">
        <v>17</v>
      </c>
      <c r="G46" s="110" t="s">
        <v>337</v>
      </c>
    </row>
    <row r="47" spans="2:8" x14ac:dyDescent="0.25">
      <c r="B47" s="165">
        <v>10000</v>
      </c>
      <c r="C47" s="118" t="s">
        <v>288</v>
      </c>
      <c r="D47" s="107" t="s">
        <v>216</v>
      </c>
      <c r="E47" s="107" t="s">
        <v>144</v>
      </c>
      <c r="F47" s="84" t="s">
        <v>17</v>
      </c>
      <c r="G47" s="110" t="s">
        <v>337</v>
      </c>
    </row>
    <row r="48" spans="2:8" x14ac:dyDescent="0.25">
      <c r="B48" s="165">
        <v>10000</v>
      </c>
      <c r="C48" s="118" t="s">
        <v>289</v>
      </c>
      <c r="D48" s="169" t="s">
        <v>67</v>
      </c>
      <c r="E48" s="169" t="s">
        <v>149</v>
      </c>
      <c r="F48" s="84" t="s">
        <v>17</v>
      </c>
      <c r="G48" s="110" t="s">
        <v>337</v>
      </c>
    </row>
    <row r="49" spans="2:7" x14ac:dyDescent="0.25">
      <c r="B49" s="165">
        <v>3500</v>
      </c>
      <c r="C49" s="104" t="s">
        <v>290</v>
      </c>
      <c r="D49" s="169" t="s">
        <v>35</v>
      </c>
      <c r="E49" s="169" t="s">
        <v>216</v>
      </c>
      <c r="F49" s="84" t="s">
        <v>17</v>
      </c>
      <c r="G49" s="108" t="s">
        <v>337</v>
      </c>
    </row>
    <row r="50" spans="2:7" x14ac:dyDescent="0.25">
      <c r="B50" s="166">
        <v>3500</v>
      </c>
      <c r="C50" s="104" t="s">
        <v>191</v>
      </c>
      <c r="D50" s="143" t="s">
        <v>35</v>
      </c>
      <c r="E50" s="143" t="s">
        <v>191</v>
      </c>
      <c r="F50" s="84" t="s">
        <v>17</v>
      </c>
      <c r="G50" s="108" t="s">
        <v>324</v>
      </c>
    </row>
    <row r="51" spans="2:7" x14ac:dyDescent="0.25">
      <c r="B51" s="83"/>
      <c r="C51" s="104"/>
      <c r="G51" s="108"/>
    </row>
    <row r="52" spans="2:7" x14ac:dyDescent="0.25">
      <c r="B52" s="145"/>
      <c r="C52" s="118"/>
      <c r="D52" s="15"/>
      <c r="E52" s="15"/>
      <c r="G52" s="108"/>
    </row>
    <row r="53" spans="2:7" x14ac:dyDescent="0.25">
      <c r="B53" s="145"/>
      <c r="C53" s="118"/>
      <c r="D53" s="15"/>
      <c r="E53" s="15"/>
      <c r="G53" s="108"/>
    </row>
    <row r="54" spans="2:7" ht="30" x14ac:dyDescent="0.25">
      <c r="B54" s="82">
        <f>SUM(B4:B52)</f>
        <v>437804</v>
      </c>
      <c r="C54" s="104" t="s">
        <v>31</v>
      </c>
      <c r="D54" s="172" t="s">
        <v>221</v>
      </c>
      <c r="E54" s="158">
        <f>SUM(B4:B46)</f>
        <v>410804</v>
      </c>
      <c r="F54" s="84">
        <f>E54*12</f>
        <v>4929648</v>
      </c>
      <c r="G54" s="108"/>
    </row>
    <row r="55" spans="2:7" ht="30" x14ac:dyDescent="0.25">
      <c r="B55" s="82">
        <f>J7</f>
        <v>409000</v>
      </c>
      <c r="C55" s="104" t="s">
        <v>66</v>
      </c>
      <c r="D55" s="172" t="s">
        <v>222</v>
      </c>
      <c r="E55" s="84">
        <f>SUM(B47:B50)</f>
        <v>27000</v>
      </c>
      <c r="F55" s="84">
        <f>E55*12</f>
        <v>324000</v>
      </c>
      <c r="G55" s="108"/>
    </row>
    <row r="56" spans="2:7" x14ac:dyDescent="0.25">
      <c r="B56" s="83">
        <f>B55-B54</f>
        <v>-28804</v>
      </c>
      <c r="C56" s="104" t="s">
        <v>108</v>
      </c>
      <c r="D56" s="15"/>
      <c r="E56" s="168">
        <f>SUM(E54:E55)</f>
        <v>437804</v>
      </c>
      <c r="G56" s="108"/>
    </row>
  </sheetData>
  <mergeCells count="3">
    <mergeCell ref="A1:G1"/>
    <mergeCell ref="B2:G2"/>
    <mergeCell ref="I3:J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7FF8-7591-4C3B-8C24-D0E331C5B6A1}">
  <dimension ref="A1:H26"/>
  <sheetViews>
    <sheetView workbookViewId="0">
      <selection activeCell="G9" sqref="G9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37">
        <v>44317</v>
      </c>
      <c r="B1" s="237"/>
      <c r="C1" s="237"/>
      <c r="D1" s="237"/>
      <c r="E1" s="237"/>
      <c r="F1" s="237"/>
      <c r="G1" s="237"/>
    </row>
    <row r="2" spans="1:8" ht="23.25" x14ac:dyDescent="0.25">
      <c r="A2" s="114"/>
      <c r="B2" s="236" t="s">
        <v>166</v>
      </c>
      <c r="C2" s="236"/>
      <c r="D2" s="236"/>
      <c r="E2" s="236"/>
      <c r="F2" s="236"/>
      <c r="G2" s="23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15000</v>
      </c>
      <c r="C4" s="121" t="s">
        <v>287</v>
      </c>
      <c r="D4" s="107" t="s">
        <v>35</v>
      </c>
      <c r="E4" s="107" t="s">
        <v>36</v>
      </c>
      <c r="F4" s="56" t="s">
        <v>17</v>
      </c>
    </row>
    <row r="5" spans="1:8" x14ac:dyDescent="0.25">
      <c r="B5" s="161">
        <v>27000</v>
      </c>
      <c r="C5" s="118" t="s">
        <v>37</v>
      </c>
      <c r="D5" s="107" t="s">
        <v>38</v>
      </c>
      <c r="E5" s="107" t="s">
        <v>43</v>
      </c>
      <c r="F5" s="56" t="s">
        <v>17</v>
      </c>
      <c r="G5" s="109"/>
    </row>
    <row r="6" spans="1:8" x14ac:dyDescent="0.25">
      <c r="B6" s="161">
        <v>520</v>
      </c>
      <c r="C6" s="118" t="s">
        <v>41</v>
      </c>
      <c r="D6" s="107" t="s">
        <v>38</v>
      </c>
      <c r="E6" s="107" t="s">
        <v>72</v>
      </c>
      <c r="F6" s="56" t="s">
        <v>17</v>
      </c>
    </row>
    <row r="7" spans="1:8" x14ac:dyDescent="0.25">
      <c r="B7" s="161"/>
      <c r="C7" s="118" t="s">
        <v>361</v>
      </c>
      <c r="D7" s="169" t="s">
        <v>35</v>
      </c>
      <c r="E7" s="169" t="s">
        <v>191</v>
      </c>
      <c r="F7" s="84" t="s">
        <v>94</v>
      </c>
    </row>
    <row r="8" spans="1:8" x14ac:dyDescent="0.25">
      <c r="B8" s="162"/>
      <c r="C8" s="104" t="s">
        <v>19</v>
      </c>
      <c r="D8" s="15" t="s">
        <v>35</v>
      </c>
      <c r="E8" s="15" t="s">
        <v>36</v>
      </c>
      <c r="F8" s="84" t="s">
        <v>94</v>
      </c>
    </row>
    <row r="9" spans="1:8" x14ac:dyDescent="0.25">
      <c r="B9" s="162">
        <v>45000</v>
      </c>
      <c r="C9" s="104" t="s">
        <v>395</v>
      </c>
      <c r="D9" s="143" t="s">
        <v>191</v>
      </c>
      <c r="E9" s="143" t="s">
        <v>43</v>
      </c>
      <c r="F9" s="84" t="s">
        <v>17</v>
      </c>
      <c r="G9" s="108" t="s">
        <v>397</v>
      </c>
      <c r="H9" s="104"/>
    </row>
    <row r="10" spans="1:8" x14ac:dyDescent="0.25">
      <c r="B10" s="162">
        <v>900</v>
      </c>
      <c r="C10" s="104" t="s">
        <v>355</v>
      </c>
      <c r="F10" s="84" t="s">
        <v>17</v>
      </c>
      <c r="G10" s="108"/>
      <c r="H10" s="104"/>
    </row>
    <row r="11" spans="1:8" ht="30" x14ac:dyDescent="0.25">
      <c r="B11" s="82"/>
      <c r="C11" s="104" t="s">
        <v>394</v>
      </c>
      <c r="D11" s="143" t="s">
        <v>35</v>
      </c>
      <c r="E11" s="143" t="s">
        <v>43</v>
      </c>
      <c r="F11" s="84" t="s">
        <v>94</v>
      </c>
      <c r="G11" s="108"/>
      <c r="H11" s="104"/>
    </row>
    <row r="12" spans="1:8" x14ac:dyDescent="0.25">
      <c r="B12" s="82">
        <v>350</v>
      </c>
      <c r="C12" s="104" t="s">
        <v>396</v>
      </c>
      <c r="D12" s="143" t="s">
        <v>35</v>
      </c>
      <c r="E12" s="143" t="s">
        <v>43</v>
      </c>
      <c r="F12" s="84" t="s">
        <v>17</v>
      </c>
      <c r="G12" s="108"/>
      <c r="H12" s="104"/>
    </row>
    <row r="13" spans="1:8" x14ac:dyDescent="0.25">
      <c r="B13" s="165">
        <v>3500</v>
      </c>
      <c r="C13" s="104" t="s">
        <v>383</v>
      </c>
      <c r="D13" s="169" t="s">
        <v>35</v>
      </c>
      <c r="E13" s="169" t="s">
        <v>216</v>
      </c>
      <c r="F13" s="84" t="s">
        <v>17</v>
      </c>
      <c r="G13" s="108"/>
      <c r="H13" s="104"/>
    </row>
    <row r="14" spans="1:8" x14ac:dyDescent="0.25">
      <c r="B14" s="166"/>
      <c r="C14" s="104" t="s">
        <v>290</v>
      </c>
      <c r="D14" s="169" t="s">
        <v>35</v>
      </c>
      <c r="E14" s="169" t="s">
        <v>384</v>
      </c>
      <c r="G14" s="108"/>
      <c r="H14" s="104"/>
    </row>
    <row r="15" spans="1:8" x14ac:dyDescent="0.25">
      <c r="B15" s="166">
        <v>22000</v>
      </c>
      <c r="C15" s="104" t="s">
        <v>362</v>
      </c>
      <c r="D15" s="15" t="s">
        <v>35</v>
      </c>
      <c r="E15" s="15" t="s">
        <v>386</v>
      </c>
      <c r="F15" s="84">
        <f>6330+7115+4968+5216+5484+5719+5983</f>
        <v>40815</v>
      </c>
      <c r="G15" s="211">
        <f>5223+5295+5312+5552+470</f>
        <v>21852</v>
      </c>
      <c r="H15" s="104"/>
    </row>
    <row r="16" spans="1:8" x14ac:dyDescent="0.25">
      <c r="B16" s="145"/>
      <c r="C16" s="118"/>
      <c r="D16" s="15"/>
      <c r="E16" s="15"/>
      <c r="G16" s="108"/>
      <c r="H16" s="104"/>
    </row>
    <row r="17" spans="2:8" x14ac:dyDescent="0.25">
      <c r="F17" s="209">
        <f>F15+G15</f>
        <v>62667</v>
      </c>
      <c r="G17" s="108"/>
      <c r="H17" s="104"/>
    </row>
    <row r="18" spans="2:8" x14ac:dyDescent="0.25">
      <c r="G18" s="108"/>
      <c r="H18" s="104"/>
    </row>
    <row r="19" spans="2:8" x14ac:dyDescent="0.25">
      <c r="G19" s="108"/>
      <c r="H19" s="104"/>
    </row>
    <row r="24" spans="2:8" ht="30" x14ac:dyDescent="0.25">
      <c r="B24" s="82">
        <f>SUM(B4:B22)</f>
        <v>114270</v>
      </c>
      <c r="C24" s="104" t="s">
        <v>31</v>
      </c>
      <c r="D24" s="172" t="s">
        <v>221</v>
      </c>
      <c r="E24" s="158">
        <f>SUM(B4:B6)</f>
        <v>42520</v>
      </c>
      <c r="F24" s="84">
        <f>E24*12</f>
        <v>510240</v>
      </c>
    </row>
    <row r="25" spans="2:8" ht="30" x14ac:dyDescent="0.25">
      <c r="B25" s="82">
        <v>85000</v>
      </c>
      <c r="C25" s="104" t="s">
        <v>66</v>
      </c>
      <c r="D25" s="172" t="s">
        <v>222</v>
      </c>
      <c r="E25" s="84">
        <f>SUM(B13:B22)</f>
        <v>25500</v>
      </c>
      <c r="F25" s="84">
        <f>E25*12</f>
        <v>306000</v>
      </c>
    </row>
    <row r="26" spans="2:8" x14ac:dyDescent="0.25">
      <c r="B26" s="83">
        <f>B25-B24</f>
        <v>-29270</v>
      </c>
      <c r="C26" s="104" t="s">
        <v>108</v>
      </c>
      <c r="D26" s="15"/>
      <c r="E26" s="168">
        <f>SUM(E24:E25)</f>
        <v>68020</v>
      </c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7EAC-117C-4768-95C3-E01293A9B462}">
  <dimension ref="A1:H30"/>
  <sheetViews>
    <sheetView topLeftCell="A11" workbookViewId="0">
      <selection activeCell="F21" sqref="F21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37">
        <v>44348</v>
      </c>
      <c r="B1" s="237"/>
      <c r="C1" s="237"/>
      <c r="D1" s="237"/>
      <c r="E1" s="237"/>
      <c r="F1" s="237"/>
      <c r="G1" s="237"/>
    </row>
    <row r="2" spans="1:8" ht="23.25" x14ac:dyDescent="0.25">
      <c r="A2" s="114"/>
      <c r="B2" s="236" t="s">
        <v>166</v>
      </c>
      <c r="C2" s="236"/>
      <c r="D2" s="236"/>
      <c r="E2" s="236"/>
      <c r="F2" s="236"/>
      <c r="G2" s="23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15000</v>
      </c>
      <c r="C4" s="121" t="s">
        <v>287</v>
      </c>
      <c r="D4" s="107" t="s">
        <v>35</v>
      </c>
      <c r="E4" s="107" t="s">
        <v>180</v>
      </c>
      <c r="F4" s="56" t="s">
        <v>403</v>
      </c>
    </row>
    <row r="5" spans="1:8" x14ac:dyDescent="0.25">
      <c r="B5" s="161">
        <v>27000</v>
      </c>
      <c r="C5" s="118" t="s">
        <v>37</v>
      </c>
      <c r="D5" s="107" t="s">
        <v>35</v>
      </c>
      <c r="E5" s="107" t="s">
        <v>38</v>
      </c>
      <c r="F5" s="56" t="s">
        <v>403</v>
      </c>
      <c r="G5" s="109"/>
    </row>
    <row r="6" spans="1:8" x14ac:dyDescent="0.25">
      <c r="B6" s="161">
        <v>5000</v>
      </c>
      <c r="C6" s="118" t="s">
        <v>406</v>
      </c>
      <c r="D6" s="107" t="s">
        <v>35</v>
      </c>
      <c r="E6" s="107" t="s">
        <v>38</v>
      </c>
      <c r="F6" s="56" t="s">
        <v>403</v>
      </c>
      <c r="G6" s="109"/>
    </row>
    <row r="7" spans="1:8" x14ac:dyDescent="0.25">
      <c r="B7" s="161">
        <v>5000</v>
      </c>
      <c r="C7" s="118" t="s">
        <v>407</v>
      </c>
      <c r="D7" s="107" t="s">
        <v>35</v>
      </c>
      <c r="E7" s="107" t="s">
        <v>67</v>
      </c>
      <c r="F7" s="56" t="s">
        <v>403</v>
      </c>
      <c r="G7" s="109"/>
    </row>
    <row r="8" spans="1:8" x14ac:dyDescent="0.25">
      <c r="B8" s="161">
        <v>1550</v>
      </c>
      <c r="C8" s="118" t="s">
        <v>41</v>
      </c>
      <c r="D8" s="107" t="s">
        <v>35</v>
      </c>
      <c r="E8" s="107" t="s">
        <v>72</v>
      </c>
      <c r="F8" s="56" t="s">
        <v>403</v>
      </c>
    </row>
    <row r="9" spans="1:8" x14ac:dyDescent="0.25">
      <c r="B9" s="161"/>
      <c r="C9" s="118" t="s">
        <v>361</v>
      </c>
      <c r="D9" s="169" t="s">
        <v>35</v>
      </c>
      <c r="E9" s="169" t="s">
        <v>191</v>
      </c>
    </row>
    <row r="10" spans="1:8" x14ac:dyDescent="0.25">
      <c r="B10" s="162"/>
      <c r="C10" s="104" t="s">
        <v>19</v>
      </c>
      <c r="D10" s="15" t="s">
        <v>35</v>
      </c>
      <c r="E10" s="15" t="s">
        <v>36</v>
      </c>
    </row>
    <row r="11" spans="1:8" x14ac:dyDescent="0.25">
      <c r="C11" s="104" t="s">
        <v>401</v>
      </c>
      <c r="D11" s="15"/>
      <c r="E11" s="15"/>
      <c r="G11" s="162">
        <v>2500</v>
      </c>
    </row>
    <row r="12" spans="1:8" x14ac:dyDescent="0.25">
      <c r="C12" s="104" t="s">
        <v>399</v>
      </c>
      <c r="D12" s="15"/>
      <c r="E12" s="15"/>
      <c r="G12" s="162">
        <v>2000</v>
      </c>
    </row>
    <row r="13" spans="1:8" x14ac:dyDescent="0.25">
      <c r="C13" s="104" t="s">
        <v>398</v>
      </c>
      <c r="D13" s="143"/>
      <c r="E13" s="143"/>
      <c r="G13" s="162">
        <v>600</v>
      </c>
    </row>
    <row r="14" spans="1:8" x14ac:dyDescent="0.25">
      <c r="C14" s="104" t="s">
        <v>355</v>
      </c>
      <c r="G14" s="162"/>
      <c r="H14" s="104"/>
    </row>
    <row r="15" spans="1:8" x14ac:dyDescent="0.25">
      <c r="C15" s="104" t="s">
        <v>402</v>
      </c>
      <c r="D15" s="143"/>
      <c r="E15" s="143"/>
      <c r="G15" s="82">
        <v>2500</v>
      </c>
      <c r="H15" s="104"/>
    </row>
    <row r="16" spans="1:8" x14ac:dyDescent="0.25">
      <c r="G16" s="108"/>
      <c r="H16" s="104"/>
    </row>
    <row r="17" spans="2:8" x14ac:dyDescent="0.25">
      <c r="B17" s="165">
        <v>3500</v>
      </c>
      <c r="C17" s="104" t="s">
        <v>383</v>
      </c>
      <c r="D17" s="169" t="s">
        <v>35</v>
      </c>
      <c r="E17" s="169" t="s">
        <v>216</v>
      </c>
      <c r="F17" s="56" t="s">
        <v>403</v>
      </c>
      <c r="G17" s="108"/>
      <c r="H17" s="104"/>
    </row>
    <row r="18" spans="2:8" x14ac:dyDescent="0.25">
      <c r="B18" s="166"/>
      <c r="C18" s="104" t="s">
        <v>290</v>
      </c>
      <c r="D18" s="169" t="s">
        <v>35</v>
      </c>
      <c r="E18" s="169" t="s">
        <v>384</v>
      </c>
      <c r="G18" s="108"/>
      <c r="H18" s="104"/>
    </row>
    <row r="19" spans="2:8" x14ac:dyDescent="0.25">
      <c r="B19" s="220">
        <v>21856</v>
      </c>
      <c r="C19" s="104" t="s">
        <v>404</v>
      </c>
      <c r="D19" s="15" t="s">
        <v>35</v>
      </c>
      <c r="E19" s="15" t="s">
        <v>405</v>
      </c>
      <c r="F19" s="56" t="s">
        <v>403</v>
      </c>
      <c r="G19" s="211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F21" s="108"/>
      <c r="G21" s="108"/>
      <c r="H21" s="104"/>
    </row>
    <row r="22" spans="2:8" x14ac:dyDescent="0.25">
      <c r="G22" s="108"/>
      <c r="H22" s="104"/>
    </row>
    <row r="23" spans="2:8" x14ac:dyDescent="0.25">
      <c r="G23" s="108"/>
      <c r="H23" s="104"/>
    </row>
    <row r="25" spans="2:8" x14ac:dyDescent="0.25">
      <c r="H25" s="113">
        <v>21102.78</v>
      </c>
    </row>
    <row r="26" spans="2:8" x14ac:dyDescent="0.25">
      <c r="H26" s="113">
        <f>H25-16102.78</f>
        <v>4999.9999999999982</v>
      </c>
    </row>
    <row r="27" spans="2:8" x14ac:dyDescent="0.25">
      <c r="H27" s="113">
        <f>H25-H26</f>
        <v>16102.78</v>
      </c>
    </row>
    <row r="28" spans="2:8" ht="30" x14ac:dyDescent="0.25">
      <c r="B28" s="82">
        <f>SUM(B4:B26)</f>
        <v>78906</v>
      </c>
      <c r="C28" s="104" t="s">
        <v>31</v>
      </c>
      <c r="D28" s="172" t="s">
        <v>221</v>
      </c>
      <c r="E28" s="158">
        <f>SUM(B4:B8)</f>
        <v>53550</v>
      </c>
      <c r="F28" s="84">
        <f>E28*12</f>
        <v>642600</v>
      </c>
      <c r="H28" s="113" t="s">
        <v>408</v>
      </c>
    </row>
    <row r="29" spans="2:8" ht="30" x14ac:dyDescent="0.25">
      <c r="B29" s="82">
        <v>85000</v>
      </c>
      <c r="C29" s="104" t="s">
        <v>66</v>
      </c>
      <c r="D29" s="172" t="s">
        <v>222</v>
      </c>
      <c r="E29" s="84">
        <f>SUM(B17:B26)</f>
        <v>25356</v>
      </c>
      <c r="F29" s="84">
        <f>E29*12</f>
        <v>304272</v>
      </c>
    </row>
    <row r="30" spans="2:8" x14ac:dyDescent="0.25">
      <c r="B30" s="83">
        <f>B29-B28</f>
        <v>6094</v>
      </c>
      <c r="C30" s="104" t="s">
        <v>108</v>
      </c>
      <c r="D30" s="15"/>
      <c r="E30" s="168">
        <f>SUM(E28:E29)</f>
        <v>78906</v>
      </c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CAFD-E759-4ED0-A2ED-96F522B36E8D}">
  <dimension ref="A1:I22"/>
  <sheetViews>
    <sheetView workbookViewId="0">
      <selection activeCell="B12" sqref="B12"/>
    </sheetView>
  </sheetViews>
  <sheetFormatPr defaultRowHeight="15" x14ac:dyDescent="0.25"/>
  <cols>
    <col min="1" max="1" width="9.7109375" bestFit="1" customWidth="1"/>
    <col min="4" max="4" width="24.7109375" bestFit="1" customWidth="1"/>
    <col min="6" max="6" width="9.7109375" bestFit="1" customWidth="1"/>
  </cols>
  <sheetData>
    <row r="1" spans="2:9" x14ac:dyDescent="0.25">
      <c r="B1" s="231" t="s">
        <v>14</v>
      </c>
      <c r="C1" s="231"/>
      <c r="D1" s="231"/>
      <c r="E1" s="231"/>
      <c r="F1" s="3" t="s">
        <v>15</v>
      </c>
      <c r="G1" s="2">
        <f>85000-B19</f>
        <v>12437</v>
      </c>
      <c r="I1" s="5">
        <v>43850</v>
      </c>
    </row>
    <row r="3" spans="2:9" x14ac:dyDescent="0.25">
      <c r="B3">
        <v>5200</v>
      </c>
      <c r="D3" t="s">
        <v>16</v>
      </c>
      <c r="E3" s="1" t="s">
        <v>17</v>
      </c>
    </row>
    <row r="4" spans="2:9" x14ac:dyDescent="0.25">
      <c r="B4">
        <v>10000</v>
      </c>
      <c r="D4" t="s">
        <v>18</v>
      </c>
      <c r="E4" s="1" t="s">
        <v>17</v>
      </c>
    </row>
    <row r="5" spans="2:9" x14ac:dyDescent="0.25">
      <c r="B5">
        <v>1000</v>
      </c>
      <c r="D5" t="s">
        <v>19</v>
      </c>
      <c r="E5" s="1" t="s">
        <v>17</v>
      </c>
    </row>
    <row r="6" spans="2:9" x14ac:dyDescent="0.25">
      <c r="B6">
        <v>642</v>
      </c>
      <c r="D6" t="s">
        <v>20</v>
      </c>
      <c r="E6" s="1" t="s">
        <v>17</v>
      </c>
    </row>
    <row r="7" spans="2:9" x14ac:dyDescent="0.25">
      <c r="B7">
        <v>30</v>
      </c>
      <c r="D7" t="s">
        <v>21</v>
      </c>
      <c r="E7" s="1" t="s">
        <v>17</v>
      </c>
    </row>
    <row r="8" spans="2:9" x14ac:dyDescent="0.25">
      <c r="B8">
        <v>9000</v>
      </c>
      <c r="D8" t="s">
        <v>22</v>
      </c>
      <c r="E8" s="1" t="s">
        <v>17</v>
      </c>
    </row>
    <row r="9" spans="2:9" x14ac:dyDescent="0.25">
      <c r="B9">
        <v>31000</v>
      </c>
      <c r="D9" t="s">
        <v>23</v>
      </c>
      <c r="E9" s="1" t="s">
        <v>17</v>
      </c>
    </row>
    <row r="10" spans="2:9" x14ac:dyDescent="0.25">
      <c r="B10">
        <v>3100</v>
      </c>
      <c r="D10" t="s">
        <v>24</v>
      </c>
      <c r="E10" s="1" t="s">
        <v>17</v>
      </c>
    </row>
    <row r="11" spans="2:9" x14ac:dyDescent="0.25">
      <c r="B11">
        <v>8391</v>
      </c>
      <c r="D11" t="s">
        <v>25</v>
      </c>
      <c r="E11" s="1" t="s">
        <v>17</v>
      </c>
    </row>
    <row r="12" spans="2:9" x14ac:dyDescent="0.25">
      <c r="B12">
        <v>1000</v>
      </c>
      <c r="D12" t="s">
        <v>26</v>
      </c>
    </row>
    <row r="13" spans="2:9" x14ac:dyDescent="0.25">
      <c r="B13">
        <v>1000</v>
      </c>
      <c r="D13" t="s">
        <v>27</v>
      </c>
    </row>
    <row r="14" spans="2:9" ht="30" x14ac:dyDescent="0.25">
      <c r="B14">
        <v>300</v>
      </c>
      <c r="D14" s="4" t="s">
        <v>28</v>
      </c>
      <c r="E14" s="1" t="s">
        <v>17</v>
      </c>
    </row>
    <row r="15" spans="2:9" x14ac:dyDescent="0.25">
      <c r="B15">
        <v>900</v>
      </c>
      <c r="D15" t="s">
        <v>29</v>
      </c>
      <c r="E15" s="1" t="s">
        <v>17</v>
      </c>
    </row>
    <row r="16" spans="2:9" x14ac:dyDescent="0.25">
      <c r="B16">
        <v>1000</v>
      </c>
      <c r="D16" t="s">
        <v>30</v>
      </c>
      <c r="E16" s="1" t="s">
        <v>17</v>
      </c>
    </row>
    <row r="19" spans="1:5" x14ac:dyDescent="0.25">
      <c r="B19">
        <f>SUM(B3:B18)</f>
        <v>72563</v>
      </c>
    </row>
    <row r="20" spans="1:5" x14ac:dyDescent="0.25">
      <c r="A20" t="s">
        <v>31</v>
      </c>
      <c r="B20">
        <f>B3+B4+B5+B6+B7+B9+B8+B11+B14+B15+B16+B12</f>
        <v>68463</v>
      </c>
    </row>
    <row r="22" spans="1:5" x14ac:dyDescent="0.25">
      <c r="E22">
        <f>18454+27681+36908</f>
        <v>83043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E981-35F9-41EE-8C60-D0CE120CDB1B}">
  <dimension ref="A1:H28"/>
  <sheetViews>
    <sheetView tabSelected="1" workbookViewId="0">
      <selection activeCell="E10" sqref="E10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37">
        <v>44378</v>
      </c>
      <c r="B1" s="237"/>
      <c r="C1" s="237"/>
      <c r="D1" s="237"/>
      <c r="E1" s="237"/>
      <c r="F1" s="237"/>
      <c r="G1" s="237"/>
    </row>
    <row r="2" spans="1:8" ht="23.25" x14ac:dyDescent="0.25">
      <c r="A2" s="114"/>
      <c r="B2" s="236" t="s">
        <v>166</v>
      </c>
      <c r="C2" s="236"/>
      <c r="D2" s="236"/>
      <c r="E2" s="236"/>
      <c r="F2" s="236"/>
      <c r="G2" s="23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15000</v>
      </c>
      <c r="C4" s="121" t="s">
        <v>287</v>
      </c>
      <c r="D4" s="107" t="s">
        <v>35</v>
      </c>
      <c r="E4" s="107" t="s">
        <v>180</v>
      </c>
      <c r="F4" s="56"/>
    </row>
    <row r="5" spans="1:8" x14ac:dyDescent="0.25">
      <c r="B5" s="161">
        <v>27000</v>
      </c>
      <c r="C5" s="118" t="s">
        <v>37</v>
      </c>
      <c r="D5" s="107" t="s">
        <v>35</v>
      </c>
      <c r="E5" s="107" t="s">
        <v>38</v>
      </c>
      <c r="F5" s="56"/>
      <c r="G5" s="109"/>
    </row>
    <row r="6" spans="1:8" x14ac:dyDescent="0.25">
      <c r="B6" s="161">
        <v>1550</v>
      </c>
      <c r="C6" s="118" t="s">
        <v>41</v>
      </c>
      <c r="D6" s="107" t="s">
        <v>35</v>
      </c>
      <c r="E6" s="107" t="s">
        <v>72</v>
      </c>
      <c r="F6" s="56"/>
    </row>
    <row r="7" spans="1:8" x14ac:dyDescent="0.25">
      <c r="B7" s="161"/>
      <c r="C7" s="118" t="s">
        <v>361</v>
      </c>
      <c r="D7" s="169" t="s">
        <v>35</v>
      </c>
      <c r="E7" s="169" t="s">
        <v>191</v>
      </c>
      <c r="H7" s="113">
        <f>B5+B4</f>
        <v>42000</v>
      </c>
    </row>
    <row r="8" spans="1:8" x14ac:dyDescent="0.25">
      <c r="B8" s="162"/>
      <c r="C8" s="104" t="s">
        <v>19</v>
      </c>
      <c r="D8" s="15" t="s">
        <v>35</v>
      </c>
      <c r="E8" s="15" t="s">
        <v>36</v>
      </c>
    </row>
    <row r="9" spans="1:8" ht="30" x14ac:dyDescent="0.25">
      <c r="B9" s="162">
        <v>15000</v>
      </c>
      <c r="C9" s="104" t="s">
        <v>400</v>
      </c>
      <c r="D9" s="15" t="s">
        <v>35</v>
      </c>
      <c r="E9" s="15"/>
    </row>
    <row r="10" spans="1:8" x14ac:dyDescent="0.25">
      <c r="B10" s="162">
        <v>15000</v>
      </c>
      <c r="C10" s="104" t="s">
        <v>409</v>
      </c>
      <c r="D10" s="15" t="s">
        <v>35</v>
      </c>
      <c r="E10" s="15"/>
    </row>
    <row r="11" spans="1:8" x14ac:dyDescent="0.25">
      <c r="B11" s="162"/>
      <c r="C11" s="104" t="s">
        <v>399</v>
      </c>
      <c r="D11" s="15"/>
      <c r="E11" s="15"/>
    </row>
    <row r="12" spans="1:8" x14ac:dyDescent="0.25">
      <c r="B12" s="162"/>
      <c r="C12" s="104" t="s">
        <v>398</v>
      </c>
      <c r="D12" s="143"/>
      <c r="E12" s="143"/>
      <c r="G12" s="108"/>
      <c r="H12" s="104"/>
    </row>
    <row r="13" spans="1:8" x14ac:dyDescent="0.25">
      <c r="B13" s="162"/>
      <c r="C13" s="104" t="s">
        <v>355</v>
      </c>
      <c r="G13" s="108"/>
      <c r="H13" s="104"/>
    </row>
    <row r="14" spans="1:8" x14ac:dyDescent="0.25">
      <c r="B14" s="82"/>
      <c r="C14" s="104" t="s">
        <v>402</v>
      </c>
      <c r="D14" s="143"/>
      <c r="E14" s="143"/>
      <c r="G14" s="108"/>
      <c r="H14" s="104"/>
    </row>
    <row r="15" spans="1:8" x14ac:dyDescent="0.25">
      <c r="B15" s="165">
        <v>3500</v>
      </c>
      <c r="C15" s="104" t="s">
        <v>383</v>
      </c>
      <c r="D15" s="169" t="s">
        <v>35</v>
      </c>
      <c r="E15" s="169" t="s">
        <v>216</v>
      </c>
      <c r="F15" s="56"/>
      <c r="G15" s="108"/>
      <c r="H15" s="104"/>
    </row>
    <row r="16" spans="1:8" x14ac:dyDescent="0.25">
      <c r="B16" s="166"/>
      <c r="C16" s="104" t="s">
        <v>290</v>
      </c>
      <c r="D16" s="169" t="s">
        <v>35</v>
      </c>
      <c r="E16" s="169" t="s">
        <v>384</v>
      </c>
      <c r="G16" s="108"/>
      <c r="H16" s="104"/>
    </row>
    <row r="17" spans="2:8" x14ac:dyDescent="0.25">
      <c r="B17" s="166"/>
      <c r="C17" s="104"/>
      <c r="D17" s="15"/>
      <c r="E17" s="15"/>
      <c r="G17" s="211">
        <f>5223+5295+5312+5552+470</f>
        <v>21852</v>
      </c>
      <c r="H17" s="104"/>
    </row>
    <row r="18" spans="2:8" x14ac:dyDescent="0.25">
      <c r="B18" s="145"/>
      <c r="C18" s="118"/>
      <c r="D18" s="15"/>
      <c r="E18" s="15"/>
      <c r="G18" s="108"/>
      <c r="H18" s="104"/>
    </row>
    <row r="19" spans="2:8" x14ac:dyDescent="0.25">
      <c r="F19" s="209">
        <f>F17+G17</f>
        <v>21852</v>
      </c>
      <c r="G19" s="108"/>
      <c r="H19" s="104"/>
    </row>
    <row r="20" spans="2:8" x14ac:dyDescent="0.25">
      <c r="G20" s="108"/>
      <c r="H20" s="104"/>
    </row>
    <row r="21" spans="2:8" x14ac:dyDescent="0.25">
      <c r="G21" s="108"/>
      <c r="H21" s="104"/>
    </row>
    <row r="26" spans="2:8" ht="30" x14ac:dyDescent="0.25">
      <c r="B26" s="82">
        <f>SUM(B4:B24)</f>
        <v>77050</v>
      </c>
      <c r="C26" s="104" t="s">
        <v>31</v>
      </c>
      <c r="D26" s="172" t="s">
        <v>221</v>
      </c>
      <c r="E26" s="158">
        <f>SUM(B4:B6)</f>
        <v>43550</v>
      </c>
      <c r="F26" s="84">
        <f>E26*12</f>
        <v>522600</v>
      </c>
    </row>
    <row r="27" spans="2:8" ht="30" x14ac:dyDescent="0.25">
      <c r="B27" s="82">
        <v>85000</v>
      </c>
      <c r="C27" s="104" t="s">
        <v>66</v>
      </c>
      <c r="D27" s="172" t="s">
        <v>222</v>
      </c>
      <c r="E27" s="84">
        <f>SUM(B15:B24)</f>
        <v>3500</v>
      </c>
      <c r="F27" s="84">
        <f>E27*12</f>
        <v>42000</v>
      </c>
    </row>
    <row r="28" spans="2:8" x14ac:dyDescent="0.25">
      <c r="B28" s="83">
        <f>B27-B26</f>
        <v>7950</v>
      </c>
      <c r="C28" s="104" t="s">
        <v>108</v>
      </c>
      <c r="D28" s="15"/>
      <c r="E28" s="168">
        <f>SUM(E26:E27)</f>
        <v>47050</v>
      </c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4B47-9976-4A36-8AB3-CF340BF83AF1}">
  <dimension ref="A1:G16"/>
  <sheetViews>
    <sheetView workbookViewId="0">
      <selection activeCell="L11" sqref="L11"/>
    </sheetView>
  </sheetViews>
  <sheetFormatPr defaultRowHeight="15" x14ac:dyDescent="0.25"/>
  <cols>
    <col min="2" max="2" width="14.28515625" customWidth="1"/>
    <col min="3" max="3" width="17.140625" customWidth="1"/>
    <col min="5" max="5" width="16.28515625" customWidth="1"/>
  </cols>
  <sheetData>
    <row r="1" spans="1:7" x14ac:dyDescent="0.25">
      <c r="B1" s="231" t="s">
        <v>387</v>
      </c>
      <c r="C1" s="231"/>
      <c r="D1" s="231"/>
    </row>
    <row r="2" spans="1:7" ht="30" x14ac:dyDescent="0.25">
      <c r="A2" s="151" t="s">
        <v>389</v>
      </c>
      <c r="B2" s="151" t="s">
        <v>236</v>
      </c>
      <c r="C2" s="151" t="s">
        <v>391</v>
      </c>
      <c r="D2" s="192" t="s">
        <v>392</v>
      </c>
      <c r="E2" s="151" t="s">
        <v>390</v>
      </c>
    </row>
    <row r="3" spans="1:7" x14ac:dyDescent="0.25">
      <c r="A3" s="35" t="s">
        <v>388</v>
      </c>
      <c r="B3" s="95">
        <v>903569252</v>
      </c>
      <c r="C3" s="214">
        <v>44319</v>
      </c>
      <c r="D3" t="s">
        <v>35</v>
      </c>
      <c r="E3" s="215">
        <v>6330</v>
      </c>
    </row>
    <row r="4" spans="1:7" x14ac:dyDescent="0.25">
      <c r="B4" s="95">
        <v>903569259</v>
      </c>
      <c r="C4" s="214">
        <v>44319</v>
      </c>
      <c r="D4" t="s">
        <v>35</v>
      </c>
      <c r="E4" s="216">
        <v>7115</v>
      </c>
    </row>
    <row r="5" spans="1:7" x14ac:dyDescent="0.25">
      <c r="B5" s="95">
        <v>903569258</v>
      </c>
      <c r="C5" s="214">
        <v>44319</v>
      </c>
      <c r="D5" t="s">
        <v>35</v>
      </c>
      <c r="E5" s="216">
        <v>4968</v>
      </c>
    </row>
    <row r="6" spans="1:7" x14ac:dyDescent="0.25">
      <c r="B6" s="95">
        <v>903569256</v>
      </c>
      <c r="C6" s="214">
        <v>44319</v>
      </c>
      <c r="D6" t="s">
        <v>35</v>
      </c>
      <c r="E6" s="215">
        <v>5216</v>
      </c>
    </row>
    <row r="7" spans="1:7" x14ac:dyDescent="0.25">
      <c r="B7" s="95">
        <v>903569255</v>
      </c>
      <c r="C7" s="214">
        <v>44319</v>
      </c>
      <c r="D7" t="s">
        <v>35</v>
      </c>
      <c r="E7" s="215">
        <v>5484</v>
      </c>
    </row>
    <row r="8" spans="1:7" x14ac:dyDescent="0.25">
      <c r="B8" s="95">
        <v>903569254</v>
      </c>
      <c r="C8" s="214">
        <v>44319</v>
      </c>
      <c r="D8" t="s">
        <v>35</v>
      </c>
      <c r="E8" s="215">
        <v>5719</v>
      </c>
    </row>
    <row r="9" spans="1:7" x14ac:dyDescent="0.25">
      <c r="B9" s="95">
        <v>903569253</v>
      </c>
      <c r="C9" s="214">
        <v>44319</v>
      </c>
      <c r="D9" t="s">
        <v>35</v>
      </c>
      <c r="E9" s="215">
        <v>5983</v>
      </c>
      <c r="G9" s="48"/>
    </row>
    <row r="10" spans="1:7" s="31" customFormat="1" x14ac:dyDescent="0.25">
      <c r="D10" s="212" t="s">
        <v>239</v>
      </c>
      <c r="E10" s="217">
        <f>SUM(E3:E9)</f>
        <v>40815</v>
      </c>
    </row>
    <row r="11" spans="1:7" x14ac:dyDescent="0.25">
      <c r="A11" s="35" t="s">
        <v>393</v>
      </c>
      <c r="B11" s="95">
        <v>903569519</v>
      </c>
      <c r="C11" s="214">
        <v>44348</v>
      </c>
      <c r="D11" t="s">
        <v>35</v>
      </c>
      <c r="E11" s="215">
        <v>5223</v>
      </c>
    </row>
    <row r="12" spans="1:7" x14ac:dyDescent="0.25">
      <c r="B12" s="95">
        <v>903569518</v>
      </c>
      <c r="E12" s="215">
        <v>5295</v>
      </c>
      <c r="G12" s="48">
        <f>SUM(E12:E14)</f>
        <v>16159</v>
      </c>
    </row>
    <row r="13" spans="1:7" x14ac:dyDescent="0.25">
      <c r="B13" s="95">
        <v>903569517</v>
      </c>
      <c r="E13" s="216">
        <v>5312</v>
      </c>
    </row>
    <row r="14" spans="1:7" x14ac:dyDescent="0.25">
      <c r="B14" s="95">
        <v>903569516</v>
      </c>
      <c r="C14" s="20"/>
      <c r="D14" s="20"/>
      <c r="E14" s="215">
        <v>5552</v>
      </c>
    </row>
    <row r="15" spans="1:7" x14ac:dyDescent="0.25">
      <c r="B15" s="218">
        <v>890979784</v>
      </c>
      <c r="E15" s="219">
        <v>470</v>
      </c>
    </row>
    <row r="16" spans="1:7" x14ac:dyDescent="0.25">
      <c r="D16" s="212" t="s">
        <v>239</v>
      </c>
      <c r="E16" s="213">
        <f>SUM(E11:E15)</f>
        <v>21852</v>
      </c>
      <c r="F16" s="48">
        <f>SUM(E10,E16)</f>
        <v>62667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4229-9251-45A5-AA67-E5DCE3AB28B0}">
  <dimension ref="A2:M17"/>
  <sheetViews>
    <sheetView workbookViewId="0">
      <selection activeCell="L16" sqref="L16"/>
    </sheetView>
  </sheetViews>
  <sheetFormatPr defaultRowHeight="15" x14ac:dyDescent="0.25"/>
  <cols>
    <col min="1" max="1" width="9.140625" style="170"/>
    <col min="2" max="2" width="10" bestFit="1" customWidth="1"/>
    <col min="3" max="3" width="10.42578125" bestFit="1" customWidth="1"/>
    <col min="4" max="4" width="12.7109375" bestFit="1" customWidth="1"/>
    <col min="5" max="5" width="10.85546875" customWidth="1"/>
    <col min="6" max="8" width="10.7109375" bestFit="1" customWidth="1"/>
    <col min="10" max="10" width="9.140625" style="41"/>
    <col min="11" max="11" width="25.5703125" style="41" bestFit="1" customWidth="1"/>
    <col min="12" max="12" width="40.28515625" style="41" bestFit="1" customWidth="1"/>
    <col min="13" max="13" width="9.140625" style="41"/>
  </cols>
  <sheetData>
    <row r="2" spans="1:13" s="57" customFormat="1" ht="30" x14ac:dyDescent="0.25">
      <c r="A2" s="168" t="s">
        <v>302</v>
      </c>
      <c r="B2" s="151" t="s">
        <v>236</v>
      </c>
      <c r="C2" s="151" t="s">
        <v>299</v>
      </c>
      <c r="D2" s="151" t="s">
        <v>300</v>
      </c>
      <c r="E2" s="192" t="s">
        <v>303</v>
      </c>
      <c r="F2" s="239"/>
      <c r="G2" s="151" t="s">
        <v>301</v>
      </c>
      <c r="H2" s="151" t="s">
        <v>109</v>
      </c>
      <c r="M2" s="200" t="s">
        <v>335</v>
      </c>
    </row>
    <row r="3" spans="1:13" x14ac:dyDescent="0.25">
      <c r="A3" s="168">
        <v>1</v>
      </c>
      <c r="B3" s="197">
        <v>903569252</v>
      </c>
      <c r="C3" s="198">
        <v>44277</v>
      </c>
      <c r="D3" s="193">
        <v>65000</v>
      </c>
      <c r="E3" s="1">
        <v>2000</v>
      </c>
      <c r="F3" s="239"/>
      <c r="G3" s="209" t="s">
        <v>304</v>
      </c>
      <c r="H3" s="199">
        <v>44277</v>
      </c>
      <c r="J3" s="205">
        <v>25000</v>
      </c>
      <c r="K3" s="205" t="s">
        <v>305</v>
      </c>
      <c r="L3" s="206" t="s">
        <v>312</v>
      </c>
      <c r="M3" s="57" t="s">
        <v>232</v>
      </c>
    </row>
    <row r="4" spans="1:13" x14ac:dyDescent="0.25">
      <c r="A4" s="169">
        <v>2</v>
      </c>
      <c r="B4" s="188">
        <v>903569259</v>
      </c>
      <c r="C4" s="189">
        <v>44277</v>
      </c>
      <c r="D4" s="187">
        <v>60000</v>
      </c>
      <c r="E4">
        <v>1045</v>
      </c>
      <c r="F4" s="187"/>
      <c r="G4" s="210"/>
      <c r="H4" s="57"/>
      <c r="J4" s="207">
        <v>18000</v>
      </c>
      <c r="K4" s="207" t="s">
        <v>296</v>
      </c>
      <c r="L4" s="207" t="s">
        <v>309</v>
      </c>
      <c r="M4" s="57" t="s">
        <v>232</v>
      </c>
    </row>
    <row r="5" spans="1:13" x14ac:dyDescent="0.25">
      <c r="A5" s="169">
        <v>3</v>
      </c>
      <c r="B5" s="2">
        <v>903569255</v>
      </c>
      <c r="C5" s="190">
        <v>44277</v>
      </c>
      <c r="D5" s="184">
        <v>52000</v>
      </c>
      <c r="E5">
        <v>906</v>
      </c>
      <c r="G5" s="210"/>
      <c r="H5" s="57"/>
      <c r="J5" s="205">
        <v>17400</v>
      </c>
      <c r="K5" s="205" t="s">
        <v>185</v>
      </c>
      <c r="L5" s="206" t="s">
        <v>310</v>
      </c>
      <c r="M5" s="57" t="s">
        <v>232</v>
      </c>
    </row>
    <row r="6" spans="1:13" ht="30" x14ac:dyDescent="0.25">
      <c r="A6" s="169">
        <v>4</v>
      </c>
      <c r="B6" s="2">
        <v>903569516</v>
      </c>
      <c r="C6" s="190">
        <v>44277</v>
      </c>
      <c r="D6" s="184">
        <v>45000</v>
      </c>
      <c r="E6">
        <v>938</v>
      </c>
      <c r="G6" s="210"/>
      <c r="H6" s="57"/>
      <c r="J6" s="205">
        <v>67000</v>
      </c>
      <c r="K6" s="205" t="s">
        <v>306</v>
      </c>
      <c r="L6" s="208" t="s">
        <v>339</v>
      </c>
      <c r="M6" s="57" t="s">
        <v>232</v>
      </c>
    </row>
    <row r="7" spans="1:13" ht="30" x14ac:dyDescent="0.25">
      <c r="A7" s="169">
        <v>5</v>
      </c>
      <c r="B7" s="2">
        <v>903569518</v>
      </c>
      <c r="C7" s="190">
        <v>44277</v>
      </c>
      <c r="D7" s="184">
        <v>30000</v>
      </c>
      <c r="E7">
        <v>625</v>
      </c>
      <c r="F7" s="184">
        <f>D5+D6+D7</f>
        <v>127000</v>
      </c>
      <c r="G7" s="210"/>
      <c r="H7" s="57"/>
      <c r="J7" s="205">
        <v>61000</v>
      </c>
      <c r="K7" s="205" t="s">
        <v>306</v>
      </c>
      <c r="L7" s="208" t="s">
        <v>340</v>
      </c>
      <c r="M7" s="57" t="s">
        <v>232</v>
      </c>
    </row>
    <row r="8" spans="1:13" x14ac:dyDescent="0.25">
      <c r="A8" s="169">
        <v>6</v>
      </c>
      <c r="B8" s="186">
        <v>903569258</v>
      </c>
      <c r="C8" s="191">
        <v>44277</v>
      </c>
      <c r="D8" s="185">
        <v>43000</v>
      </c>
      <c r="E8">
        <v>749</v>
      </c>
      <c r="G8" s="210"/>
      <c r="H8" s="57"/>
      <c r="J8" s="205">
        <v>200000</v>
      </c>
      <c r="K8" s="205" t="s">
        <v>307</v>
      </c>
      <c r="L8" s="205" t="s">
        <v>314</v>
      </c>
      <c r="M8" s="57" t="s">
        <v>232</v>
      </c>
    </row>
    <row r="9" spans="1:13" x14ac:dyDescent="0.25">
      <c r="A9" s="169">
        <v>7</v>
      </c>
      <c r="B9" s="186">
        <v>903569517</v>
      </c>
      <c r="C9" s="191">
        <v>44277</v>
      </c>
      <c r="D9" s="185">
        <v>42000</v>
      </c>
      <c r="E9">
        <v>876</v>
      </c>
      <c r="G9" s="210"/>
      <c r="H9" s="57"/>
    </row>
    <row r="10" spans="1:13" x14ac:dyDescent="0.25">
      <c r="A10" s="169">
        <v>8</v>
      </c>
      <c r="B10" s="186">
        <v>903569519</v>
      </c>
      <c r="C10" s="191">
        <v>44277</v>
      </c>
      <c r="D10" s="185">
        <v>29000</v>
      </c>
      <c r="E10">
        <v>605</v>
      </c>
      <c r="F10" s="185">
        <f>D8+D9+D10</f>
        <v>114000</v>
      </c>
      <c r="G10" s="210"/>
      <c r="H10" s="57"/>
    </row>
    <row r="11" spans="1:13" x14ac:dyDescent="0.25">
      <c r="A11" s="168">
        <v>9</v>
      </c>
      <c r="B11" s="201">
        <v>903569253</v>
      </c>
      <c r="C11" s="202">
        <v>44289</v>
      </c>
      <c r="D11" s="203">
        <v>59000</v>
      </c>
      <c r="E11" s="1">
        <v>20000</v>
      </c>
      <c r="F11" s="1"/>
      <c r="G11" s="209" t="s">
        <v>338</v>
      </c>
      <c r="H11" s="204">
        <v>44290</v>
      </c>
    </row>
    <row r="12" spans="1:13" x14ac:dyDescent="0.25">
      <c r="A12" s="169">
        <v>10</v>
      </c>
    </row>
    <row r="13" spans="1:13" x14ac:dyDescent="0.25">
      <c r="A13" s="169">
        <v>11</v>
      </c>
    </row>
    <row r="14" spans="1:13" x14ac:dyDescent="0.25">
      <c r="F14" s="48"/>
    </row>
    <row r="15" spans="1:13" x14ac:dyDescent="0.25">
      <c r="D15" s="48">
        <f>SUM(D3:D13)</f>
        <v>425000</v>
      </c>
    </row>
    <row r="16" spans="1:13" x14ac:dyDescent="0.25">
      <c r="D16" s="48">
        <f>D15-J16</f>
        <v>36600</v>
      </c>
      <c r="J16" s="41">
        <f>SUM(J3:J15)</f>
        <v>388400</v>
      </c>
    </row>
    <row r="17" spans="4:4" x14ac:dyDescent="0.25">
      <c r="D17" s="48"/>
    </row>
  </sheetData>
  <mergeCells count="1">
    <mergeCell ref="F2:F3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BF0D-E6C2-4EAB-9EED-83649EF77F1B}">
  <dimension ref="A1:I24"/>
  <sheetViews>
    <sheetView workbookViewId="0">
      <selection activeCell="C20" sqref="C20"/>
    </sheetView>
  </sheetViews>
  <sheetFormatPr defaultRowHeight="15" x14ac:dyDescent="0.25"/>
  <cols>
    <col min="1" max="1" width="9.140625" style="35"/>
    <col min="2" max="2" width="19.7109375" bestFit="1" customWidth="1"/>
    <col min="7" max="7" width="15" bestFit="1" customWidth="1"/>
  </cols>
  <sheetData>
    <row r="1" spans="1:9" x14ac:dyDescent="0.25">
      <c r="A1" s="33">
        <v>43983</v>
      </c>
      <c r="B1" t="s">
        <v>223</v>
      </c>
      <c r="C1">
        <v>16000</v>
      </c>
    </row>
    <row r="2" spans="1:9" x14ac:dyDescent="0.25">
      <c r="A2" s="33">
        <v>43983</v>
      </c>
      <c r="B2" t="s">
        <v>224</v>
      </c>
      <c r="C2">
        <v>22000</v>
      </c>
    </row>
    <row r="3" spans="1:9" x14ac:dyDescent="0.25">
      <c r="A3" s="34">
        <v>43983</v>
      </c>
      <c r="B3" s="31" t="s">
        <v>225</v>
      </c>
      <c r="C3" s="31">
        <v>15000</v>
      </c>
      <c r="D3" s="31">
        <f>SUM(C1:C3)</f>
        <v>53000</v>
      </c>
    </row>
    <row r="4" spans="1:9" x14ac:dyDescent="0.25">
      <c r="A4" s="33">
        <v>44013</v>
      </c>
      <c r="B4" t="s">
        <v>226</v>
      </c>
      <c r="C4">
        <v>15000</v>
      </c>
    </row>
    <row r="5" spans="1:9" x14ac:dyDescent="0.25">
      <c r="A5" s="33">
        <v>44013</v>
      </c>
      <c r="B5" t="s">
        <v>227</v>
      </c>
      <c r="C5">
        <v>12000</v>
      </c>
    </row>
    <row r="6" spans="1:9" x14ac:dyDescent="0.25">
      <c r="A6" s="34">
        <v>44013</v>
      </c>
      <c r="B6" s="31" t="s">
        <v>228</v>
      </c>
      <c r="C6" s="31">
        <v>20000</v>
      </c>
      <c r="D6" s="31">
        <f>SUM(C4:C6)</f>
        <v>47000</v>
      </c>
    </row>
    <row r="7" spans="1:9" x14ac:dyDescent="0.25">
      <c r="A7" s="36">
        <v>44044</v>
      </c>
      <c r="B7" s="32"/>
      <c r="C7" s="32"/>
      <c r="D7" s="32"/>
    </row>
    <row r="8" spans="1:9" x14ac:dyDescent="0.25">
      <c r="A8" s="36">
        <v>44075</v>
      </c>
      <c r="B8" s="32" t="s">
        <v>229</v>
      </c>
      <c r="C8" s="32">
        <v>17500</v>
      </c>
      <c r="D8" s="32">
        <f t="shared" ref="D8:D13" si="0">SUM(C8)</f>
        <v>17500</v>
      </c>
    </row>
    <row r="9" spans="1:9" x14ac:dyDescent="0.25">
      <c r="A9" s="36">
        <v>44105</v>
      </c>
      <c r="B9" s="32" t="s">
        <v>230</v>
      </c>
      <c r="C9" s="32">
        <v>15000</v>
      </c>
      <c r="D9" s="32">
        <f t="shared" si="0"/>
        <v>15000</v>
      </c>
      <c r="H9">
        <v>9000</v>
      </c>
      <c r="I9">
        <v>8500</v>
      </c>
    </row>
    <row r="10" spans="1:9" x14ac:dyDescent="0.25">
      <c r="A10" s="36">
        <v>44136</v>
      </c>
      <c r="B10" s="32" t="s">
        <v>231</v>
      </c>
      <c r="C10" s="32">
        <v>15000</v>
      </c>
      <c r="D10" s="32">
        <f t="shared" si="0"/>
        <v>15000</v>
      </c>
      <c r="H10">
        <v>1148</v>
      </c>
      <c r="I10">
        <v>1148</v>
      </c>
    </row>
    <row r="11" spans="1:9" x14ac:dyDescent="0.25">
      <c r="A11" s="37">
        <v>44185</v>
      </c>
      <c r="B11" s="32" t="s">
        <v>232</v>
      </c>
      <c r="C11" s="32">
        <v>900</v>
      </c>
      <c r="D11" s="32">
        <f t="shared" si="0"/>
        <v>900</v>
      </c>
      <c r="H11">
        <f>SUM(H9:H10)</f>
        <v>10148</v>
      </c>
      <c r="I11">
        <f>SUM(I9:I10)</f>
        <v>9648</v>
      </c>
    </row>
    <row r="12" spans="1:9" x14ac:dyDescent="0.25">
      <c r="A12" s="36">
        <v>44197</v>
      </c>
      <c r="B12" s="32" t="s">
        <v>233</v>
      </c>
      <c r="C12" s="32">
        <v>15000</v>
      </c>
      <c r="D12" s="32">
        <f t="shared" si="0"/>
        <v>15000</v>
      </c>
    </row>
    <row r="13" spans="1:9" x14ac:dyDescent="0.25">
      <c r="A13" s="36">
        <v>44256</v>
      </c>
      <c r="B13" s="32" t="s">
        <v>229</v>
      </c>
      <c r="C13" s="32">
        <v>17500</v>
      </c>
      <c r="D13" s="32">
        <f t="shared" si="0"/>
        <v>17500</v>
      </c>
    </row>
    <row r="20" spans="1:3" x14ac:dyDescent="0.25">
      <c r="B20" s="3" t="s">
        <v>234</v>
      </c>
      <c r="C20" s="38">
        <f>SUM(C1:C18)</f>
        <v>180900</v>
      </c>
    </row>
    <row r="24" spans="1:3" ht="30" x14ac:dyDescent="0.25">
      <c r="A24" s="94" t="s">
        <v>235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CB0F-2985-4B71-8D89-BED119580876}">
  <dimension ref="A1:P21"/>
  <sheetViews>
    <sheetView workbookViewId="0">
      <selection activeCell="E18" sqref="E18"/>
    </sheetView>
  </sheetViews>
  <sheetFormatPr defaultRowHeight="15" x14ac:dyDescent="0.25"/>
  <cols>
    <col min="1" max="1" width="7" style="47" customWidth="1"/>
    <col min="2" max="2" width="10.42578125" style="47" bestFit="1" customWidth="1"/>
    <col min="3" max="5" width="9.140625" style="47"/>
  </cols>
  <sheetData>
    <row r="1" spans="1:16" x14ac:dyDescent="0.25">
      <c r="B1" s="183" t="s">
        <v>236</v>
      </c>
      <c r="C1" s="52">
        <v>43952</v>
      </c>
      <c r="D1" s="52">
        <v>43983</v>
      </c>
      <c r="E1" s="183" t="s">
        <v>34</v>
      </c>
    </row>
    <row r="2" spans="1:16" x14ac:dyDescent="0.25">
      <c r="A2" s="47">
        <v>1</v>
      </c>
      <c r="B2" s="47">
        <v>903569256</v>
      </c>
      <c r="C2" s="55">
        <v>5216</v>
      </c>
      <c r="D2" s="47" t="s">
        <v>94</v>
      </c>
      <c r="E2" s="53" t="s">
        <v>17</v>
      </c>
      <c r="G2">
        <v>1</v>
      </c>
    </row>
    <row r="3" spans="1:16" x14ac:dyDescent="0.25">
      <c r="A3" s="47">
        <v>2</v>
      </c>
      <c r="B3" s="47">
        <v>903569258</v>
      </c>
      <c r="C3" s="55">
        <v>4968</v>
      </c>
      <c r="D3" s="47" t="s">
        <v>94</v>
      </c>
      <c r="E3" s="53" t="s">
        <v>17</v>
      </c>
      <c r="G3">
        <v>2</v>
      </c>
      <c r="K3" t="s">
        <v>237</v>
      </c>
      <c r="L3">
        <v>66500</v>
      </c>
    </row>
    <row r="4" spans="1:16" x14ac:dyDescent="0.25">
      <c r="A4" s="47">
        <v>3</v>
      </c>
      <c r="B4" s="47">
        <v>903569255</v>
      </c>
      <c r="C4" s="55">
        <v>5484</v>
      </c>
      <c r="D4" s="47" t="s">
        <v>94</v>
      </c>
      <c r="E4" s="53" t="s">
        <v>17</v>
      </c>
      <c r="F4" s="48">
        <f>SUM(C2:C8)</f>
        <v>40815</v>
      </c>
      <c r="G4">
        <v>3</v>
      </c>
      <c r="K4" t="s">
        <v>238</v>
      </c>
      <c r="L4">
        <v>250000</v>
      </c>
    </row>
    <row r="5" spans="1:16" x14ac:dyDescent="0.25">
      <c r="A5" s="47">
        <v>4</v>
      </c>
      <c r="B5" s="47">
        <v>903569259</v>
      </c>
      <c r="C5" s="55">
        <v>7115</v>
      </c>
      <c r="D5" s="47" t="s">
        <v>94</v>
      </c>
      <c r="E5" s="53" t="s">
        <v>17</v>
      </c>
      <c r="G5">
        <v>4</v>
      </c>
      <c r="L5">
        <f>SUM(L3:L4)</f>
        <v>316500</v>
      </c>
      <c r="M5" s="35" t="s">
        <v>239</v>
      </c>
    </row>
    <row r="6" spans="1:16" x14ac:dyDescent="0.25">
      <c r="A6" s="47">
        <v>5</v>
      </c>
      <c r="B6" s="47">
        <v>903569254</v>
      </c>
      <c r="C6" s="55">
        <v>5719</v>
      </c>
      <c r="D6" s="47" t="s">
        <v>94</v>
      </c>
      <c r="E6" s="53" t="s">
        <v>17</v>
      </c>
      <c r="G6">
        <v>5</v>
      </c>
    </row>
    <row r="7" spans="1:16" x14ac:dyDescent="0.25">
      <c r="A7" s="47">
        <v>6</v>
      </c>
      <c r="B7" s="47">
        <v>903569253</v>
      </c>
      <c r="C7" s="55">
        <v>5983</v>
      </c>
      <c r="D7" s="47" t="s">
        <v>94</v>
      </c>
      <c r="E7" s="53" t="s">
        <v>17</v>
      </c>
      <c r="G7">
        <v>6</v>
      </c>
    </row>
    <row r="8" spans="1:16" x14ac:dyDescent="0.25">
      <c r="A8" s="47">
        <v>7</v>
      </c>
      <c r="B8" s="47">
        <v>903569252</v>
      </c>
      <c r="C8" s="55">
        <v>6330</v>
      </c>
      <c r="D8" s="47" t="s">
        <v>94</v>
      </c>
      <c r="E8" s="53" t="s">
        <v>17</v>
      </c>
      <c r="G8">
        <v>7</v>
      </c>
    </row>
    <row r="9" spans="1:16" x14ac:dyDescent="0.25">
      <c r="A9" s="47">
        <v>8</v>
      </c>
      <c r="B9" s="11">
        <v>903569516</v>
      </c>
      <c r="C9" s="47" t="s">
        <v>94</v>
      </c>
      <c r="D9" s="49">
        <v>5552</v>
      </c>
      <c r="E9" s="53" t="s">
        <v>17</v>
      </c>
      <c r="F9" s="47">
        <v>1</v>
      </c>
      <c r="G9" s="48">
        <f>SUM(D9:D12)</f>
        <v>21382</v>
      </c>
    </row>
    <row r="10" spans="1:16" x14ac:dyDescent="0.25">
      <c r="A10" s="47">
        <v>9</v>
      </c>
      <c r="B10" s="11">
        <v>903569518</v>
      </c>
      <c r="C10" s="47" t="s">
        <v>94</v>
      </c>
      <c r="D10" s="49">
        <v>5295</v>
      </c>
      <c r="E10" s="53" t="s">
        <v>17</v>
      </c>
      <c r="F10" s="47">
        <v>2</v>
      </c>
    </row>
    <row r="11" spans="1:16" x14ac:dyDescent="0.25">
      <c r="A11" s="47">
        <v>10</v>
      </c>
      <c r="B11" s="11">
        <v>903569517</v>
      </c>
      <c r="C11" s="47" t="s">
        <v>94</v>
      </c>
      <c r="D11" s="49">
        <v>5312</v>
      </c>
      <c r="E11" s="53" t="s">
        <v>17</v>
      </c>
      <c r="F11" s="47">
        <v>3</v>
      </c>
    </row>
    <row r="12" spans="1:16" x14ac:dyDescent="0.25">
      <c r="A12" s="47">
        <v>11</v>
      </c>
      <c r="B12" s="11">
        <v>903569519</v>
      </c>
      <c r="C12" s="47" t="s">
        <v>94</v>
      </c>
      <c r="D12" s="49">
        <v>5223</v>
      </c>
      <c r="E12" s="53" t="s">
        <v>17</v>
      </c>
      <c r="F12" s="47">
        <v>4</v>
      </c>
    </row>
    <row r="13" spans="1:16" x14ac:dyDescent="0.25">
      <c r="A13" s="47">
        <v>12</v>
      </c>
      <c r="B13" s="47">
        <v>890979784</v>
      </c>
      <c r="C13" s="47" t="s">
        <v>94</v>
      </c>
      <c r="D13" s="49">
        <v>470</v>
      </c>
      <c r="E13" s="53" t="s">
        <v>17</v>
      </c>
      <c r="F13" s="47">
        <v>5</v>
      </c>
    </row>
    <row r="14" spans="1:16" x14ac:dyDescent="0.25">
      <c r="O14">
        <v>50000</v>
      </c>
      <c r="P14" t="s">
        <v>240</v>
      </c>
    </row>
    <row r="15" spans="1:16" x14ac:dyDescent="0.25">
      <c r="B15" s="3" t="s">
        <v>239</v>
      </c>
      <c r="C15" s="51">
        <f>SUM(C2:C14)</f>
        <v>40815</v>
      </c>
      <c r="D15" s="51">
        <f>SUM(D2:D14)</f>
        <v>21852</v>
      </c>
      <c r="E15" s="49">
        <f>C15+D15</f>
        <v>62667</v>
      </c>
      <c r="O15">
        <v>10000</v>
      </c>
      <c r="P15" t="s">
        <v>241</v>
      </c>
    </row>
    <row r="16" spans="1:16" x14ac:dyDescent="0.25">
      <c r="O16">
        <v>6500</v>
      </c>
      <c r="P16" t="s">
        <v>242</v>
      </c>
    </row>
    <row r="17" spans="2:16" x14ac:dyDescent="0.25">
      <c r="B17" s="3" t="s">
        <v>17</v>
      </c>
      <c r="C17" s="49">
        <f>SUM(C5:C8)</f>
        <v>25147</v>
      </c>
      <c r="O17" s="35">
        <f>SUM(O14:O16)</f>
        <v>66500</v>
      </c>
      <c r="P17" s="35" t="s">
        <v>239</v>
      </c>
    </row>
    <row r="18" spans="2:16" ht="45" x14ac:dyDescent="0.25">
      <c r="B18" s="54" t="s">
        <v>243</v>
      </c>
      <c r="C18" s="49">
        <f>C15-C17</f>
        <v>15668</v>
      </c>
      <c r="O18">
        <v>7500</v>
      </c>
    </row>
    <row r="19" spans="2:16" ht="45" x14ac:dyDescent="0.25">
      <c r="B19" s="54" t="s">
        <v>244</v>
      </c>
      <c r="C19" s="49"/>
    </row>
    <row r="20" spans="2:16" x14ac:dyDescent="0.25">
      <c r="C20" s="50"/>
    </row>
    <row r="21" spans="2:16" x14ac:dyDescent="0.25">
      <c r="O21" s="35">
        <f>O17-O18</f>
        <v>59000</v>
      </c>
      <c r="P21" s="35" t="s">
        <v>108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B30D-17DC-4D32-B251-C3E3B5456C1E}">
  <dimension ref="A1:F33"/>
  <sheetViews>
    <sheetView topLeftCell="A7" workbookViewId="0">
      <selection activeCell="X20" sqref="X20"/>
    </sheetView>
  </sheetViews>
  <sheetFormatPr defaultRowHeight="15" x14ac:dyDescent="0.25"/>
  <cols>
    <col min="2" max="2" width="37.28515625" bestFit="1" customWidth="1"/>
    <col min="3" max="3" width="15.7109375" bestFit="1" customWidth="1"/>
    <col min="5" max="5" width="13.7109375" bestFit="1" customWidth="1"/>
    <col min="6" max="6" width="17.7109375" bestFit="1" customWidth="1"/>
  </cols>
  <sheetData>
    <row r="1" spans="1:6" ht="21" x14ac:dyDescent="0.35">
      <c r="A1" s="240" t="s">
        <v>245</v>
      </c>
      <c r="B1" s="240"/>
      <c r="C1" s="240"/>
      <c r="D1" s="240"/>
      <c r="E1" s="241"/>
    </row>
    <row r="2" spans="1:6" s="91" customFormat="1" x14ac:dyDescent="0.25">
      <c r="A2" s="137">
        <v>1</v>
      </c>
      <c r="B2" s="138" t="s">
        <v>237</v>
      </c>
      <c r="C2" s="132"/>
      <c r="D2" s="133"/>
      <c r="E2" s="134" t="s">
        <v>246</v>
      </c>
    </row>
    <row r="3" spans="1:6" ht="15.75" customHeight="1" x14ac:dyDescent="0.25">
      <c r="B3" s="3" t="s">
        <v>247</v>
      </c>
      <c r="C3" s="92">
        <f>10000+50000</f>
        <v>60000</v>
      </c>
      <c r="D3" s="84"/>
    </row>
    <row r="4" spans="1:6" ht="15.75" customHeight="1" x14ac:dyDescent="0.25">
      <c r="B4" s="65" t="s">
        <v>248</v>
      </c>
      <c r="C4" s="65">
        <v>14000</v>
      </c>
      <c r="D4" s="84" t="s">
        <v>17</v>
      </c>
      <c r="E4" s="122">
        <v>43952</v>
      </c>
    </row>
    <row r="5" spans="1:6" x14ac:dyDescent="0.25">
      <c r="B5" s="65" t="s">
        <v>249</v>
      </c>
      <c r="C5">
        <v>15000</v>
      </c>
      <c r="D5" s="84" t="s">
        <v>17</v>
      </c>
      <c r="E5" t="s">
        <v>250</v>
      </c>
    </row>
    <row r="6" spans="1:6" x14ac:dyDescent="0.25">
      <c r="B6" s="65" t="s">
        <v>251</v>
      </c>
      <c r="C6">
        <v>15000</v>
      </c>
      <c r="D6" s="84"/>
    </row>
    <row r="7" spans="1:6" x14ac:dyDescent="0.25">
      <c r="B7" s="65" t="s">
        <v>252</v>
      </c>
      <c r="C7">
        <v>15000</v>
      </c>
      <c r="D7" s="84"/>
    </row>
    <row r="8" spans="1:6" x14ac:dyDescent="0.25">
      <c r="B8" s="65" t="s">
        <v>253</v>
      </c>
      <c r="C8">
        <v>15000</v>
      </c>
      <c r="D8" s="84"/>
    </row>
    <row r="9" spans="1:6" x14ac:dyDescent="0.25">
      <c r="A9" s="31"/>
      <c r="B9" s="126" t="s">
        <v>239</v>
      </c>
      <c r="C9" s="127">
        <f>SUM(C4:C8)</f>
        <v>74000</v>
      </c>
      <c r="D9" s="125"/>
      <c r="E9" s="128">
        <f>C9-C4-C5</f>
        <v>45000</v>
      </c>
      <c r="F9" s="129" t="s">
        <v>108</v>
      </c>
    </row>
    <row r="10" spans="1:6" x14ac:dyDescent="0.25">
      <c r="B10" s="60"/>
      <c r="C10" s="16"/>
      <c r="D10" s="84"/>
    </row>
    <row r="11" spans="1:6" s="91" customFormat="1" x14ac:dyDescent="0.25">
      <c r="A11" s="137">
        <v>2</v>
      </c>
      <c r="B11" s="138" t="s">
        <v>254</v>
      </c>
      <c r="C11" s="132"/>
      <c r="D11" s="135"/>
      <c r="E11" s="136"/>
    </row>
    <row r="12" spans="1:6" x14ac:dyDescent="0.25">
      <c r="B12" s="3" t="s">
        <v>255</v>
      </c>
      <c r="C12" s="92">
        <v>250000</v>
      </c>
      <c r="D12" s="84"/>
    </row>
    <row r="13" spans="1:6" x14ac:dyDescent="0.25">
      <c r="B13" s="65" t="s">
        <v>249</v>
      </c>
      <c r="C13">
        <v>50100</v>
      </c>
      <c r="D13" s="84" t="s">
        <v>17</v>
      </c>
      <c r="E13" t="s">
        <v>256</v>
      </c>
    </row>
    <row r="14" spans="1:6" x14ac:dyDescent="0.25">
      <c r="B14" s="65" t="s">
        <v>257</v>
      </c>
      <c r="C14">
        <v>75000</v>
      </c>
      <c r="D14" s="84" t="s">
        <v>17</v>
      </c>
      <c r="E14" t="s">
        <v>333</v>
      </c>
    </row>
    <row r="15" spans="1:6" x14ac:dyDescent="0.25">
      <c r="B15" s="65" t="s">
        <v>258</v>
      </c>
      <c r="C15">
        <v>125000</v>
      </c>
      <c r="D15" s="84" t="s">
        <v>17</v>
      </c>
      <c r="E15" t="s">
        <v>333</v>
      </c>
    </row>
    <row r="16" spans="1:6" x14ac:dyDescent="0.25">
      <c r="A16" s="31"/>
      <c r="B16" s="126" t="s">
        <v>239</v>
      </c>
      <c r="C16" s="127">
        <f>SUM(C13:C15)</f>
        <v>250100</v>
      </c>
      <c r="D16" s="125" t="s">
        <v>17</v>
      </c>
      <c r="E16" s="128">
        <v>0</v>
      </c>
      <c r="F16" s="129" t="s">
        <v>108</v>
      </c>
    </row>
    <row r="17" spans="1:6" x14ac:dyDescent="0.25">
      <c r="B17" s="65"/>
      <c r="D17" s="84"/>
    </row>
    <row r="18" spans="1:6" s="91" customFormat="1" x14ac:dyDescent="0.25">
      <c r="A18" s="137">
        <v>3</v>
      </c>
      <c r="B18" s="138" t="s">
        <v>259</v>
      </c>
      <c r="C18" s="132">
        <f>1750*3</f>
        <v>5250</v>
      </c>
      <c r="D18" s="135"/>
      <c r="E18" s="136"/>
    </row>
    <row r="19" spans="1:6" x14ac:dyDescent="0.25">
      <c r="B19" s="65" t="s">
        <v>260</v>
      </c>
      <c r="C19">
        <v>1750</v>
      </c>
      <c r="D19" s="84" t="s">
        <v>17</v>
      </c>
    </row>
    <row r="20" spans="1:6" x14ac:dyDescent="0.25">
      <c r="B20" s="65" t="s">
        <v>261</v>
      </c>
      <c r="C20">
        <v>1750</v>
      </c>
      <c r="D20" s="84" t="s">
        <v>17</v>
      </c>
    </row>
    <row r="21" spans="1:6" x14ac:dyDescent="0.25">
      <c r="B21" s="65" t="s">
        <v>262</v>
      </c>
      <c r="C21">
        <v>1750</v>
      </c>
      <c r="D21" s="84" t="s">
        <v>17</v>
      </c>
    </row>
    <row r="22" spans="1:6" x14ac:dyDescent="0.25">
      <c r="A22" s="31"/>
      <c r="B22" s="126" t="s">
        <v>239</v>
      </c>
      <c r="C22" s="127">
        <f>SUM(C19:C21)</f>
        <v>5250</v>
      </c>
      <c r="D22" s="31"/>
      <c r="E22" s="128">
        <f>C22-C19-C20-C21</f>
        <v>0</v>
      </c>
      <c r="F22" s="129" t="s">
        <v>108</v>
      </c>
    </row>
    <row r="23" spans="1:6" s="6" customFormat="1" x14ac:dyDescent="0.25">
      <c r="B23" s="60"/>
      <c r="C23" s="16"/>
      <c r="E23" s="123"/>
      <c r="F23" s="124"/>
    </row>
    <row r="24" spans="1:6" s="91" customFormat="1" x14ac:dyDescent="0.25">
      <c r="A24" s="137">
        <v>4</v>
      </c>
      <c r="B24" s="138" t="s">
        <v>263</v>
      </c>
      <c r="C24" s="132"/>
      <c r="D24" s="135"/>
      <c r="E24" s="136"/>
    </row>
    <row r="25" spans="1:6" x14ac:dyDescent="0.25">
      <c r="B25" s="65" t="s">
        <v>264</v>
      </c>
      <c r="C25">
        <v>6666.67</v>
      </c>
      <c r="D25" s="84" t="s">
        <v>17</v>
      </c>
    </row>
    <row r="26" spans="1:6" x14ac:dyDescent="0.25">
      <c r="B26" s="65" t="s">
        <v>265</v>
      </c>
      <c r="C26">
        <v>6666.67</v>
      </c>
      <c r="D26" s="84" t="s">
        <v>17</v>
      </c>
    </row>
    <row r="27" spans="1:6" x14ac:dyDescent="0.25">
      <c r="B27" s="65" t="s">
        <v>266</v>
      </c>
      <c r="C27">
        <v>6666.67</v>
      </c>
      <c r="D27" s="84" t="s">
        <v>17</v>
      </c>
    </row>
    <row r="28" spans="1:6" x14ac:dyDescent="0.25">
      <c r="B28" s="65" t="s">
        <v>267</v>
      </c>
      <c r="C28">
        <v>6666.67</v>
      </c>
      <c r="D28" s="84" t="s">
        <v>17</v>
      </c>
    </row>
    <row r="29" spans="1:6" x14ac:dyDescent="0.25">
      <c r="B29" s="65" t="s">
        <v>268</v>
      </c>
      <c r="C29">
        <v>6666.66</v>
      </c>
      <c r="D29" s="84" t="s">
        <v>17</v>
      </c>
    </row>
    <row r="30" spans="1:6" x14ac:dyDescent="0.25">
      <c r="B30" s="65" t="s">
        <v>269</v>
      </c>
      <c r="C30">
        <v>6666.66</v>
      </c>
      <c r="D30" s="84" t="s">
        <v>17</v>
      </c>
    </row>
    <row r="31" spans="1:6" x14ac:dyDescent="0.25">
      <c r="A31" s="31"/>
      <c r="B31" s="126" t="s">
        <v>239</v>
      </c>
      <c r="C31" s="127">
        <f>SUM(C25:C30)</f>
        <v>40000</v>
      </c>
      <c r="D31" s="31"/>
      <c r="E31" s="128">
        <v>0</v>
      </c>
      <c r="F31" s="129" t="s">
        <v>108</v>
      </c>
    </row>
    <row r="33" spans="2:3" ht="46.5" x14ac:dyDescent="0.35">
      <c r="B33" s="130" t="s">
        <v>270</v>
      </c>
      <c r="C33" s="131">
        <f>E9+E16+E22+E31</f>
        <v>45000</v>
      </c>
    </row>
  </sheetData>
  <mergeCells count="1">
    <mergeCell ref="A1:E1"/>
  </mergeCells>
  <phoneticPr fontId="1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79C4-12E3-4B74-819A-ABED6D5ACC2D}">
  <dimension ref="A2:H26"/>
  <sheetViews>
    <sheetView workbookViewId="0">
      <selection activeCell="F12" sqref="F12"/>
    </sheetView>
  </sheetViews>
  <sheetFormatPr defaultRowHeight="15" x14ac:dyDescent="0.25"/>
  <cols>
    <col min="1" max="1" width="9.140625" style="57"/>
    <col min="3" max="3" width="18.5703125" bestFit="1" customWidth="1"/>
    <col min="5" max="5" width="29" bestFit="1" customWidth="1"/>
    <col min="6" max="6" width="20.85546875" bestFit="1" customWidth="1"/>
    <col min="7" max="7" width="22.28515625" customWidth="1"/>
  </cols>
  <sheetData>
    <row r="2" spans="1:8" x14ac:dyDescent="0.25">
      <c r="A2" s="150"/>
      <c r="B2" s="151" t="s">
        <v>271</v>
      </c>
      <c r="C2" s="150"/>
      <c r="D2" s="151" t="s">
        <v>272</v>
      </c>
      <c r="E2" s="150"/>
      <c r="G2" s="151" t="s">
        <v>271</v>
      </c>
      <c r="H2" s="151" t="s">
        <v>272</v>
      </c>
    </row>
    <row r="3" spans="1:8" x14ac:dyDescent="0.25">
      <c r="A3" s="57">
        <v>1</v>
      </c>
      <c r="B3">
        <f>27000*12</f>
        <v>324000</v>
      </c>
      <c r="C3" t="s">
        <v>273</v>
      </c>
      <c r="D3">
        <f t="shared" ref="D3:D4" si="0">B3/12</f>
        <v>27000</v>
      </c>
      <c r="E3" s="22" t="s">
        <v>274</v>
      </c>
      <c r="F3" s="153" t="s">
        <v>275</v>
      </c>
      <c r="G3">
        <f>SUM(B3:B12)</f>
        <v>788000</v>
      </c>
      <c r="H3">
        <f>G3/12</f>
        <v>65666.666666666672</v>
      </c>
    </row>
    <row r="4" spans="1:8" x14ac:dyDescent="0.25">
      <c r="A4" s="57">
        <v>2</v>
      </c>
      <c r="B4">
        <f>15000*12</f>
        <v>180000</v>
      </c>
      <c r="C4" t="s">
        <v>167</v>
      </c>
      <c r="D4">
        <f t="shared" si="0"/>
        <v>15000</v>
      </c>
      <c r="E4" s="22" t="s">
        <v>274</v>
      </c>
      <c r="F4" s="152" t="s">
        <v>239</v>
      </c>
      <c r="G4">
        <f>SUM(B14:B17)</f>
        <v>376000</v>
      </c>
      <c r="H4">
        <f>G4/12</f>
        <v>31333.333333333332</v>
      </c>
    </row>
    <row r="5" spans="1:8" x14ac:dyDescent="0.25">
      <c r="A5" s="57">
        <v>3</v>
      </c>
      <c r="B5">
        <f>1250*12</f>
        <v>15000</v>
      </c>
      <c r="C5" t="s">
        <v>276</v>
      </c>
      <c r="D5">
        <f t="shared" ref="D5:D11" si="1">B5/12</f>
        <v>1250</v>
      </c>
      <c r="E5" s="22" t="s">
        <v>274</v>
      </c>
      <c r="F5" s="3" t="s">
        <v>239</v>
      </c>
      <c r="G5" s="35">
        <f>SUM(G3:G4)</f>
        <v>1164000</v>
      </c>
      <c r="H5" s="35">
        <f>SUM(H3:H4)</f>
        <v>97000</v>
      </c>
    </row>
    <row r="6" spans="1:8" x14ac:dyDescent="0.25">
      <c r="A6" s="57">
        <v>4</v>
      </c>
      <c r="B6">
        <v>6000</v>
      </c>
      <c r="C6" t="s">
        <v>227</v>
      </c>
      <c r="D6">
        <f t="shared" si="1"/>
        <v>500</v>
      </c>
      <c r="E6" s="22" t="s">
        <v>274</v>
      </c>
    </row>
    <row r="7" spans="1:8" x14ac:dyDescent="0.25">
      <c r="A7" s="57">
        <v>5</v>
      </c>
      <c r="B7">
        <v>18000</v>
      </c>
      <c r="C7" t="s">
        <v>277</v>
      </c>
      <c r="D7">
        <f t="shared" si="1"/>
        <v>1500</v>
      </c>
      <c r="E7" s="22" t="s">
        <v>274</v>
      </c>
    </row>
    <row r="8" spans="1:8" x14ac:dyDescent="0.25">
      <c r="A8" s="57">
        <v>6</v>
      </c>
      <c r="B8">
        <v>60000</v>
      </c>
      <c r="C8" t="s">
        <v>278</v>
      </c>
      <c r="D8">
        <f t="shared" si="1"/>
        <v>5000</v>
      </c>
      <c r="E8" s="22" t="s">
        <v>274</v>
      </c>
    </row>
    <row r="9" spans="1:8" x14ac:dyDescent="0.25">
      <c r="A9" s="57">
        <v>7</v>
      </c>
      <c r="B9">
        <v>15000</v>
      </c>
      <c r="C9" t="s">
        <v>226</v>
      </c>
      <c r="D9">
        <f t="shared" si="1"/>
        <v>1250</v>
      </c>
      <c r="E9" s="22" t="s">
        <v>274</v>
      </c>
    </row>
    <row r="10" spans="1:8" x14ac:dyDescent="0.25">
      <c r="A10" s="57">
        <v>8</v>
      </c>
      <c r="B10">
        <v>120000</v>
      </c>
      <c r="C10" t="s">
        <v>279</v>
      </c>
      <c r="D10">
        <f t="shared" si="1"/>
        <v>10000</v>
      </c>
      <c r="E10" s="22" t="s">
        <v>274</v>
      </c>
    </row>
    <row r="11" spans="1:8" x14ac:dyDescent="0.25">
      <c r="A11" s="57">
        <v>9</v>
      </c>
      <c r="B11">
        <v>50000</v>
      </c>
      <c r="C11" t="s">
        <v>280</v>
      </c>
      <c r="D11">
        <f t="shared" si="1"/>
        <v>4166.666666666667</v>
      </c>
      <c r="E11" s="22" t="s">
        <v>274</v>
      </c>
    </row>
    <row r="12" spans="1:8" x14ac:dyDescent="0.25">
      <c r="A12" s="57">
        <v>10</v>
      </c>
      <c r="E12" s="22"/>
    </row>
    <row r="14" spans="1:8" x14ac:dyDescent="0.25">
      <c r="A14" s="57">
        <v>11</v>
      </c>
      <c r="B14">
        <f>18000*12</f>
        <v>216000</v>
      </c>
      <c r="C14" t="s">
        <v>281</v>
      </c>
      <c r="D14">
        <f>B14/12</f>
        <v>18000</v>
      </c>
    </row>
    <row r="15" spans="1:8" x14ac:dyDescent="0.25">
      <c r="A15" s="57">
        <v>12</v>
      </c>
      <c r="B15">
        <v>100000</v>
      </c>
      <c r="C15" t="s">
        <v>232</v>
      </c>
      <c r="D15">
        <f>B15/12</f>
        <v>8333.3333333333339</v>
      </c>
    </row>
    <row r="16" spans="1:8" x14ac:dyDescent="0.25">
      <c r="A16" s="57">
        <v>13</v>
      </c>
      <c r="B16">
        <f>3500*12</f>
        <v>42000</v>
      </c>
      <c r="C16" t="s">
        <v>282</v>
      </c>
      <c r="D16">
        <f>B16/12</f>
        <v>3500</v>
      </c>
    </row>
    <row r="17" spans="1:5" x14ac:dyDescent="0.25">
      <c r="A17" s="57">
        <v>14</v>
      </c>
      <c r="B17">
        <f>1500*12</f>
        <v>18000</v>
      </c>
      <c r="C17" t="s">
        <v>283</v>
      </c>
      <c r="D17">
        <f>B17/12</f>
        <v>1500</v>
      </c>
    </row>
    <row r="22" spans="1:5" x14ac:dyDescent="0.25">
      <c r="A22" s="143" t="s">
        <v>239</v>
      </c>
      <c r="B22">
        <f>SUM(B3:B17)</f>
        <v>1164000</v>
      </c>
      <c r="D22">
        <f>B22/12</f>
        <v>97000</v>
      </c>
      <c r="E22" s="101" t="s">
        <v>284</v>
      </c>
    </row>
    <row r="26" spans="1:5" x14ac:dyDescent="0.25">
      <c r="B26">
        <f>B22-B14-B15</f>
        <v>848000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689B-0902-443B-B07F-DEBEBFB12370}">
  <dimension ref="A1:I30"/>
  <sheetViews>
    <sheetView workbookViewId="0">
      <selection activeCell="D9" sqref="D9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2:9" x14ac:dyDescent="0.25">
      <c r="B1" s="231" t="s">
        <v>14</v>
      </c>
      <c r="C1" s="231"/>
      <c r="D1" s="231"/>
      <c r="E1" s="231"/>
      <c r="F1" s="3" t="s">
        <v>15</v>
      </c>
      <c r="G1" s="2">
        <f xml:space="preserve"> E30-B28</f>
        <v>22178.679999999993</v>
      </c>
      <c r="I1" s="5">
        <v>43862</v>
      </c>
    </row>
    <row r="2" spans="2:9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2:9" x14ac:dyDescent="0.25">
      <c r="B3" s="1">
        <v>11000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2:9" x14ac:dyDescent="0.25">
      <c r="B4" s="1">
        <v>31000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2:9" x14ac:dyDescent="0.25"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2:9" x14ac:dyDescent="0.25">
      <c r="B6" s="1">
        <v>5581.32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2:9" x14ac:dyDescent="0.25">
      <c r="E7" s="6"/>
    </row>
    <row r="8" spans="2:9" x14ac:dyDescent="0.25">
      <c r="B8" s="1">
        <v>770</v>
      </c>
      <c r="C8" s="1"/>
      <c r="D8" s="8" t="s">
        <v>41</v>
      </c>
      <c r="E8" s="1" t="s">
        <v>35</v>
      </c>
      <c r="F8" s="1" t="s">
        <v>42</v>
      </c>
      <c r="G8" s="1" t="s">
        <v>17</v>
      </c>
    </row>
    <row r="9" spans="2:9" x14ac:dyDescent="0.25">
      <c r="B9">
        <v>3000</v>
      </c>
      <c r="D9" t="s">
        <v>26</v>
      </c>
      <c r="E9" s="1" t="s">
        <v>35</v>
      </c>
      <c r="F9" s="1" t="s">
        <v>43</v>
      </c>
      <c r="G9" s="1" t="s">
        <v>17</v>
      </c>
    </row>
    <row r="10" spans="2:9" x14ac:dyDescent="0.25">
      <c r="B10" s="1">
        <v>1000</v>
      </c>
      <c r="C10" s="1"/>
      <c r="D10" s="1" t="s">
        <v>44</v>
      </c>
      <c r="E10" s="1" t="s">
        <v>35</v>
      </c>
      <c r="F10" s="1" t="s">
        <v>36</v>
      </c>
      <c r="G10" s="1" t="s">
        <v>17</v>
      </c>
    </row>
    <row r="11" spans="2:9" x14ac:dyDescent="0.25">
      <c r="B11" s="9">
        <v>4000</v>
      </c>
      <c r="C11" s="9"/>
      <c r="D11" s="9" t="s">
        <v>45</v>
      </c>
      <c r="E11" s="9" t="s">
        <v>35</v>
      </c>
      <c r="F11" s="9" t="s">
        <v>36</v>
      </c>
      <c r="G11" s="9" t="s">
        <v>17</v>
      </c>
    </row>
    <row r="12" spans="2:9" x14ac:dyDescent="0.25">
      <c r="E12" s="6"/>
    </row>
    <row r="13" spans="2:9" ht="30" x14ac:dyDescent="0.25">
      <c r="B13" s="1">
        <v>1050</v>
      </c>
      <c r="C13" s="1"/>
      <c r="D13" s="8" t="s">
        <v>46</v>
      </c>
      <c r="E13" s="1" t="s">
        <v>35</v>
      </c>
      <c r="F13" s="1" t="s">
        <v>47</v>
      </c>
      <c r="G13" s="1" t="s">
        <v>17</v>
      </c>
    </row>
    <row r="14" spans="2:9" x14ac:dyDescent="0.25">
      <c r="B14" s="1">
        <v>1400</v>
      </c>
      <c r="C14" s="1"/>
      <c r="D14" s="1" t="s">
        <v>48</v>
      </c>
      <c r="E14" s="1" t="s">
        <v>35</v>
      </c>
      <c r="F14" s="1" t="s">
        <v>49</v>
      </c>
      <c r="G14" s="1" t="s">
        <v>17</v>
      </c>
    </row>
    <row r="15" spans="2:9" x14ac:dyDescent="0.25">
      <c r="B15" s="1">
        <v>550</v>
      </c>
      <c r="C15" s="1"/>
      <c r="D15" s="1" t="s">
        <v>50</v>
      </c>
      <c r="E15" s="1" t="s">
        <v>38</v>
      </c>
      <c r="F15" s="1" t="s">
        <v>51</v>
      </c>
      <c r="G15" s="1" t="s">
        <v>17</v>
      </c>
    </row>
    <row r="16" spans="2:9" x14ac:dyDescent="0.25">
      <c r="B16" s="1">
        <v>470</v>
      </c>
      <c r="C16" s="1"/>
      <c r="D16" s="1" t="s">
        <v>52</v>
      </c>
      <c r="E16" s="1" t="s">
        <v>35</v>
      </c>
      <c r="F16" s="1" t="s">
        <v>51</v>
      </c>
      <c r="G16" s="1" t="s">
        <v>17</v>
      </c>
    </row>
    <row r="17" spans="1:7" x14ac:dyDescent="0.25">
      <c r="B17" s="1">
        <v>2000</v>
      </c>
      <c r="C17" s="1"/>
      <c r="D17" s="1" t="s">
        <v>53</v>
      </c>
      <c r="E17" s="1" t="s">
        <v>35</v>
      </c>
      <c r="F17" s="1" t="s">
        <v>54</v>
      </c>
      <c r="G17" s="1" t="s">
        <v>17</v>
      </c>
    </row>
    <row r="28" spans="1:7" x14ac:dyDescent="0.25">
      <c r="A28" t="s">
        <v>31</v>
      </c>
      <c r="B28">
        <f>SUM(B3:B27)</f>
        <v>70821.320000000007</v>
      </c>
    </row>
    <row r="30" spans="1:7" x14ac:dyDescent="0.25">
      <c r="E30">
        <v>93000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758B-456B-42B5-B9C0-807908A7F9A7}">
  <dimension ref="A1:M32"/>
  <sheetViews>
    <sheetView workbookViewId="0">
      <selection activeCell="D6" sqref="D6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1:10" x14ac:dyDescent="0.25">
      <c r="B1" s="231" t="s">
        <v>14</v>
      </c>
      <c r="C1" s="231"/>
      <c r="D1" s="231"/>
      <c r="E1" s="231"/>
      <c r="F1" s="3" t="s">
        <v>15</v>
      </c>
      <c r="G1" s="2">
        <f xml:space="preserve"> B32-B29</f>
        <v>25946</v>
      </c>
      <c r="I1" s="5">
        <v>43891</v>
      </c>
    </row>
    <row r="2" spans="1:10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1:10" x14ac:dyDescent="0.25">
      <c r="A3" s="11" t="s">
        <v>55</v>
      </c>
      <c r="B3" s="1">
        <v>11500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1:10" x14ac:dyDescent="0.25">
      <c r="A4" s="11" t="s">
        <v>55</v>
      </c>
      <c r="B4" s="1">
        <v>27000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1:10" x14ac:dyDescent="0.25">
      <c r="A5" s="11" t="s">
        <v>55</v>
      </c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1:10" x14ac:dyDescent="0.25">
      <c r="A6" s="11"/>
      <c r="B6" s="1">
        <v>2774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1:10" x14ac:dyDescent="0.25">
      <c r="A7" s="11"/>
      <c r="B7" s="1">
        <v>5800</v>
      </c>
      <c r="C7" s="1"/>
      <c r="D7" s="1" t="s">
        <v>56</v>
      </c>
      <c r="E7" s="1" t="s">
        <v>35</v>
      </c>
      <c r="F7" s="1" t="s">
        <v>57</v>
      </c>
      <c r="G7" s="1" t="s">
        <v>17</v>
      </c>
    </row>
    <row r="8" spans="1:10" x14ac:dyDescent="0.25">
      <c r="A8" s="11"/>
      <c r="B8" s="1">
        <v>5800</v>
      </c>
      <c r="C8" s="1"/>
      <c r="D8" s="1" t="s">
        <v>58</v>
      </c>
      <c r="E8" s="1" t="s">
        <v>35</v>
      </c>
      <c r="F8" s="1" t="s">
        <v>57</v>
      </c>
      <c r="G8" s="1" t="s">
        <v>17</v>
      </c>
      <c r="J8" t="s">
        <v>59</v>
      </c>
    </row>
    <row r="9" spans="1:10" x14ac:dyDescent="0.25">
      <c r="A9" s="11"/>
      <c r="B9" s="1">
        <v>5800</v>
      </c>
      <c r="C9" s="1"/>
      <c r="D9" s="1" t="s">
        <v>60</v>
      </c>
      <c r="E9" s="1" t="s">
        <v>35</v>
      </c>
      <c r="F9" s="1" t="s">
        <v>57</v>
      </c>
      <c r="G9" s="1" t="s">
        <v>17</v>
      </c>
    </row>
    <row r="10" spans="1:10" x14ac:dyDescent="0.25">
      <c r="A10" s="11" t="s">
        <v>55</v>
      </c>
      <c r="B10" s="1">
        <v>980</v>
      </c>
      <c r="C10" s="1"/>
      <c r="D10" s="8" t="s">
        <v>41</v>
      </c>
      <c r="E10" s="1" t="s">
        <v>35</v>
      </c>
      <c r="F10" s="1" t="s">
        <v>42</v>
      </c>
      <c r="G10" s="1" t="s">
        <v>17</v>
      </c>
    </row>
    <row r="11" spans="1:10" x14ac:dyDescent="0.25">
      <c r="A11" s="11" t="s">
        <v>55</v>
      </c>
      <c r="B11" s="1">
        <v>1000</v>
      </c>
      <c r="C11" s="1"/>
      <c r="D11" s="1" t="s">
        <v>44</v>
      </c>
      <c r="E11" s="1" t="s">
        <v>35</v>
      </c>
      <c r="F11" s="1" t="s">
        <v>36</v>
      </c>
      <c r="G11" s="1" t="s">
        <v>17</v>
      </c>
    </row>
    <row r="12" spans="1:10" x14ac:dyDescent="0.25">
      <c r="A12" s="11"/>
      <c r="B12" s="9">
        <v>2100</v>
      </c>
      <c r="C12" s="9"/>
      <c r="D12" s="9" t="s">
        <v>61</v>
      </c>
      <c r="E12" s="9" t="s">
        <v>35</v>
      </c>
      <c r="F12" s="9" t="s">
        <v>47</v>
      </c>
      <c r="G12" s="9" t="s">
        <v>17</v>
      </c>
    </row>
    <row r="13" spans="1:10" x14ac:dyDescent="0.25">
      <c r="A13" s="11"/>
      <c r="B13" s="1">
        <v>1000</v>
      </c>
      <c r="C13" s="6"/>
      <c r="D13" s="1" t="s">
        <v>62</v>
      </c>
      <c r="E13" s="1" t="s">
        <v>38</v>
      </c>
      <c r="F13" s="9" t="s">
        <v>47</v>
      </c>
      <c r="G13" s="6"/>
      <c r="J13">
        <f>5800+2050+800+2800</f>
        <v>11450</v>
      </c>
    </row>
    <row r="14" spans="1:10" x14ac:dyDescent="0.25">
      <c r="A14" s="11"/>
      <c r="B14" s="1"/>
      <c r="C14" s="6"/>
      <c r="D14" s="10" t="s">
        <v>63</v>
      </c>
      <c r="E14" s="1" t="s">
        <v>38</v>
      </c>
      <c r="F14" s="1" t="s">
        <v>36</v>
      </c>
      <c r="G14" s="6"/>
    </row>
    <row r="15" spans="1:10" ht="30" x14ac:dyDescent="0.25">
      <c r="A15" s="11"/>
      <c r="B15" s="1"/>
      <c r="C15" s="6"/>
      <c r="D15" s="10" t="s">
        <v>64</v>
      </c>
      <c r="E15" s="1" t="s">
        <v>38</v>
      </c>
      <c r="F15" s="1" t="s">
        <v>57</v>
      </c>
      <c r="G15" s="6"/>
    </row>
    <row r="16" spans="1:10" x14ac:dyDescent="0.25">
      <c r="A16" s="11"/>
      <c r="B16" s="1"/>
      <c r="C16" s="6"/>
      <c r="D16" s="6" t="s">
        <v>65</v>
      </c>
      <c r="E16" s="1" t="s">
        <v>38</v>
      </c>
      <c r="F16" s="1" t="s">
        <v>47</v>
      </c>
      <c r="G16" s="1" t="s">
        <v>17</v>
      </c>
    </row>
    <row r="17" spans="1:13" x14ac:dyDescent="0.25">
      <c r="A17" s="11"/>
      <c r="B17" s="6"/>
      <c r="C17" s="6"/>
      <c r="D17" s="6"/>
      <c r="E17" s="6"/>
      <c r="F17" s="6"/>
      <c r="G17" s="6"/>
      <c r="J17">
        <f>14000-J13</f>
        <v>2550</v>
      </c>
    </row>
    <row r="18" spans="1:13" x14ac:dyDescent="0.25">
      <c r="A18" s="11"/>
      <c r="B18" s="6"/>
      <c r="C18" s="6"/>
      <c r="D18" s="6"/>
      <c r="E18" s="6"/>
      <c r="F18" s="6"/>
      <c r="G18" s="6"/>
    </row>
    <row r="19" spans="1:13" x14ac:dyDescent="0.25">
      <c r="A19" s="11"/>
    </row>
    <row r="20" spans="1:13" x14ac:dyDescent="0.25">
      <c r="A20" s="11"/>
    </row>
    <row r="21" spans="1:13" x14ac:dyDescent="0.25">
      <c r="A21" s="11"/>
      <c r="M21">
        <v>1812.01</v>
      </c>
    </row>
    <row r="22" spans="1:13" x14ac:dyDescent="0.25">
      <c r="A22" s="11"/>
      <c r="M22">
        <v>1502.2</v>
      </c>
    </row>
    <row r="23" spans="1:13" x14ac:dyDescent="0.25">
      <c r="A23" s="11"/>
      <c r="M23">
        <f>M21+M22</f>
        <v>3314.21</v>
      </c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9" spans="1:13" x14ac:dyDescent="0.25">
      <c r="A29" t="s">
        <v>31</v>
      </c>
      <c r="B29">
        <f>SUM(B3:B28)</f>
        <v>72754</v>
      </c>
    </row>
    <row r="30" spans="1:13" x14ac:dyDescent="0.25">
      <c r="B30">
        <v>84000</v>
      </c>
    </row>
    <row r="31" spans="1:13" x14ac:dyDescent="0.25">
      <c r="B31">
        <v>14700</v>
      </c>
    </row>
    <row r="32" spans="1:13" x14ac:dyDescent="0.25">
      <c r="B32">
        <f>SUM(B30:B31)</f>
        <v>98700</v>
      </c>
      <c r="C32" t="s">
        <v>66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8E56-B2BB-4E90-AD77-E51072C8BA9D}">
  <dimension ref="A1:L22"/>
  <sheetViews>
    <sheetView workbookViewId="0">
      <selection activeCell="D7" sqref="D7"/>
    </sheetView>
  </sheetViews>
  <sheetFormatPr defaultRowHeight="15" x14ac:dyDescent="0.25"/>
  <cols>
    <col min="1" max="1" width="9.7109375" bestFit="1" customWidth="1"/>
    <col min="2" max="2" width="6" bestFit="1" customWidth="1"/>
    <col min="3" max="3" width="7.7109375" bestFit="1" customWidth="1"/>
    <col min="4" max="4" width="28.5703125" bestFit="1" customWidth="1"/>
    <col min="5" max="5" width="14.85546875" bestFit="1" customWidth="1"/>
    <col min="6" max="6" width="23.85546875" bestFit="1" customWidth="1"/>
    <col min="7" max="7" width="11" bestFit="1" customWidth="1"/>
    <col min="8" max="8" width="12" bestFit="1" customWidth="1"/>
    <col min="9" max="9" width="6.140625" bestFit="1" customWidth="1"/>
    <col min="10" max="10" width="7" bestFit="1" customWidth="1"/>
    <col min="11" max="11" width="3.7109375" bestFit="1" customWidth="1"/>
    <col min="12" max="12" width="12.85546875" bestFit="1" customWidth="1"/>
    <col min="13" max="13" width="12.5703125" bestFit="1" customWidth="1"/>
  </cols>
  <sheetData>
    <row r="1" spans="1:12" x14ac:dyDescent="0.25">
      <c r="B1" s="231" t="s">
        <v>14</v>
      </c>
      <c r="C1" s="231"/>
      <c r="D1" s="231"/>
      <c r="E1" s="231"/>
      <c r="F1" s="3"/>
      <c r="G1" s="2"/>
      <c r="I1" s="5">
        <v>43922</v>
      </c>
    </row>
    <row r="2" spans="1:12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  <c r="J2">
        <v>100000</v>
      </c>
      <c r="K2" t="s">
        <v>67</v>
      </c>
      <c r="L2" t="s">
        <v>68</v>
      </c>
    </row>
    <row r="3" spans="1:12" x14ac:dyDescent="0.25">
      <c r="A3" s="11"/>
      <c r="B3" s="21">
        <v>5000</v>
      </c>
      <c r="C3" s="21"/>
      <c r="D3" s="21" t="s">
        <v>18</v>
      </c>
      <c r="E3" s="21" t="s">
        <v>35</v>
      </c>
      <c r="F3" s="21" t="s">
        <v>36</v>
      </c>
      <c r="G3" s="21" t="s">
        <v>17</v>
      </c>
      <c r="H3" s="22"/>
    </row>
    <row r="4" spans="1:12" x14ac:dyDescent="0.25">
      <c r="A4" s="11"/>
      <c r="B4" s="21">
        <v>25000</v>
      </c>
      <c r="C4" s="21"/>
      <c r="D4" s="21" t="s">
        <v>69</v>
      </c>
      <c r="E4" s="21"/>
      <c r="F4" s="21"/>
      <c r="G4" s="21"/>
      <c r="H4" s="22"/>
    </row>
    <row r="5" spans="1:12" x14ac:dyDescent="0.25">
      <c r="A5" s="11"/>
      <c r="B5" s="6">
        <v>27000</v>
      </c>
      <c r="C5" s="6"/>
      <c r="D5" s="6" t="s">
        <v>37</v>
      </c>
      <c r="E5" s="6" t="s">
        <v>35</v>
      </c>
      <c r="F5" s="6" t="s">
        <v>38</v>
      </c>
      <c r="G5" s="18" t="s">
        <v>17</v>
      </c>
      <c r="H5" s="6" t="s">
        <v>70</v>
      </c>
    </row>
    <row r="6" spans="1:12" x14ac:dyDescent="0.25">
      <c r="A6" s="11"/>
      <c r="B6" s="1">
        <v>9000</v>
      </c>
      <c r="C6" s="6"/>
      <c r="D6" s="1" t="s">
        <v>39</v>
      </c>
      <c r="E6" s="6" t="s">
        <v>35</v>
      </c>
      <c r="F6" s="6" t="s">
        <v>35</v>
      </c>
      <c r="G6" s="18" t="s">
        <v>17</v>
      </c>
      <c r="H6" s="6" t="s">
        <v>71</v>
      </c>
    </row>
    <row r="7" spans="1:12" x14ac:dyDescent="0.25">
      <c r="A7" s="11"/>
      <c r="B7" s="23"/>
      <c r="C7" s="21"/>
      <c r="D7" s="23" t="s">
        <v>25</v>
      </c>
      <c r="E7" s="21" t="s">
        <v>35</v>
      </c>
      <c r="F7" s="21" t="s">
        <v>40</v>
      </c>
      <c r="G7" s="21"/>
      <c r="H7" s="22"/>
    </row>
    <row r="8" spans="1:12" x14ac:dyDescent="0.25">
      <c r="A8" s="11"/>
      <c r="B8" s="16">
        <v>900</v>
      </c>
      <c r="C8" s="16"/>
      <c r="D8" s="17" t="s">
        <v>41</v>
      </c>
      <c r="E8" s="16" t="s">
        <v>38</v>
      </c>
      <c r="F8" s="16" t="s">
        <v>72</v>
      </c>
      <c r="G8" s="18" t="s">
        <v>17</v>
      </c>
    </row>
    <row r="9" spans="1:12" x14ac:dyDescent="0.25">
      <c r="A9" s="11"/>
      <c r="B9" s="6">
        <v>15602</v>
      </c>
      <c r="C9" s="6"/>
      <c r="D9" s="6" t="s">
        <v>73</v>
      </c>
      <c r="E9" s="6" t="s">
        <v>35</v>
      </c>
      <c r="F9" s="6" t="s">
        <v>74</v>
      </c>
      <c r="G9" s="18" t="s">
        <v>17</v>
      </c>
      <c r="H9" s="6" t="s">
        <v>75</v>
      </c>
    </row>
    <row r="10" spans="1:12" x14ac:dyDescent="0.25">
      <c r="A10" s="11"/>
      <c r="B10" s="6">
        <v>16000</v>
      </c>
      <c r="C10" s="6"/>
      <c r="D10" s="6" t="s">
        <v>76</v>
      </c>
      <c r="E10" s="6" t="s">
        <v>35</v>
      </c>
      <c r="F10" s="6" t="s">
        <v>77</v>
      </c>
      <c r="G10" s="19" t="s">
        <v>17</v>
      </c>
      <c r="H10" s="6" t="s">
        <v>78</v>
      </c>
    </row>
    <row r="11" spans="1:12" x14ac:dyDescent="0.25">
      <c r="A11" s="11"/>
      <c r="B11" s="6">
        <v>750</v>
      </c>
      <c r="D11" s="6" t="s">
        <v>79</v>
      </c>
      <c r="E11" s="6" t="s">
        <v>38</v>
      </c>
      <c r="G11" s="20"/>
    </row>
    <row r="12" spans="1:12" x14ac:dyDescent="0.25">
      <c r="A12" s="11"/>
      <c r="B12" s="6">
        <v>1700</v>
      </c>
      <c r="D12" s="6" t="s">
        <v>80</v>
      </c>
      <c r="E12" s="6" t="s">
        <v>35</v>
      </c>
      <c r="F12" t="s">
        <v>81</v>
      </c>
      <c r="G12" s="18" t="s">
        <v>17</v>
      </c>
    </row>
    <row r="13" spans="1:12" x14ac:dyDescent="0.25">
      <c r="A13" s="11"/>
      <c r="B13" s="6">
        <v>7500</v>
      </c>
      <c r="D13" s="6" t="s">
        <v>82</v>
      </c>
      <c r="E13" s="6" t="s">
        <v>38</v>
      </c>
      <c r="F13" t="s">
        <v>83</v>
      </c>
      <c r="G13" s="18" t="s">
        <v>17</v>
      </c>
    </row>
    <row r="14" spans="1:12" x14ac:dyDescent="0.25">
      <c r="A14" s="11"/>
      <c r="B14" s="6"/>
      <c r="D14" s="6"/>
      <c r="G14" s="20"/>
    </row>
    <row r="15" spans="1:12" x14ac:dyDescent="0.25">
      <c r="A15" s="11"/>
      <c r="B15" s="6"/>
      <c r="D15" s="6" t="s">
        <v>84</v>
      </c>
      <c r="E15" t="s">
        <v>35</v>
      </c>
      <c r="F15" t="s">
        <v>35</v>
      </c>
      <c r="G15" s="18" t="s">
        <v>17</v>
      </c>
      <c r="H15" s="6" t="s">
        <v>85</v>
      </c>
    </row>
    <row r="16" spans="1:12" x14ac:dyDescent="0.25">
      <c r="A16" s="11"/>
    </row>
    <row r="17" spans="1:4" x14ac:dyDescent="0.25">
      <c r="A17" s="11"/>
    </row>
    <row r="18" spans="1:4" x14ac:dyDescent="0.25">
      <c r="A18" s="11"/>
    </row>
    <row r="19" spans="1:4" x14ac:dyDescent="0.25">
      <c r="A19" s="11"/>
    </row>
    <row r="21" spans="1:4" x14ac:dyDescent="0.25">
      <c r="D21">
        <f>B9+B3+B10+B11+B7</f>
        <v>37352</v>
      </c>
    </row>
    <row r="22" spans="1:4" x14ac:dyDescent="0.25">
      <c r="D22">
        <f>91622.55-D21</f>
        <v>54270.55</v>
      </c>
    </row>
  </sheetData>
  <autoFilter ref="B2:G2" xr:uid="{5E88C536-5958-427A-9B09-8A0CA9C64EFD}"/>
  <mergeCells count="1">
    <mergeCell ref="B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AF33-9D85-4C53-B68B-D3DAB48E9E67}">
  <dimension ref="A1:K21"/>
  <sheetViews>
    <sheetView workbookViewId="0">
      <selection activeCell="L17" sqref="L17"/>
    </sheetView>
  </sheetViews>
  <sheetFormatPr defaultRowHeight="15" x14ac:dyDescent="0.25"/>
  <cols>
    <col min="1" max="1" width="17" style="65" bestFit="1" customWidth="1"/>
    <col min="2" max="2" width="24.7109375" style="4" bestFit="1" customWidth="1"/>
    <col min="3" max="3" width="14.85546875" bestFit="1" customWidth="1"/>
    <col min="4" max="4" width="12.42578125" bestFit="1" customWidth="1"/>
    <col min="5" max="5" width="11" bestFit="1" customWidth="1"/>
    <col min="6" max="6" width="13.5703125" bestFit="1" customWidth="1"/>
    <col min="11" max="11" width="6.42578125" bestFit="1" customWidth="1"/>
    <col min="12" max="12" width="7" bestFit="1" customWidth="1"/>
    <col min="14" max="14" width="3.7109375" bestFit="1" customWidth="1"/>
    <col min="16" max="16" width="12.85546875" bestFit="1" customWidth="1"/>
  </cols>
  <sheetData>
    <row r="1" spans="1:11" x14ac:dyDescent="0.25">
      <c r="A1" s="232">
        <v>43952</v>
      </c>
      <c r="B1" s="232"/>
      <c r="C1" s="232"/>
      <c r="D1" s="232"/>
      <c r="E1" s="232"/>
      <c r="F1" s="232"/>
      <c r="K1" s="29"/>
    </row>
    <row r="2" spans="1:11" x14ac:dyDescent="0.25">
      <c r="A2" s="66" t="s">
        <v>86</v>
      </c>
      <c r="B2" s="67" t="s">
        <v>87</v>
      </c>
      <c r="C2" s="68" t="s">
        <v>32</v>
      </c>
      <c r="D2" s="68" t="s">
        <v>33</v>
      </c>
      <c r="E2" s="68" t="s">
        <v>34</v>
      </c>
      <c r="F2" s="69"/>
      <c r="K2" s="5"/>
    </row>
    <row r="3" spans="1:11" ht="30" x14ac:dyDescent="0.25">
      <c r="A3" s="58">
        <v>0</v>
      </c>
      <c r="B3" s="28" t="s">
        <v>88</v>
      </c>
      <c r="C3" s="24"/>
      <c r="D3" s="24"/>
      <c r="E3" s="18" t="s">
        <v>17</v>
      </c>
      <c r="F3" s="25"/>
    </row>
    <row r="4" spans="1:11" x14ac:dyDescent="0.25">
      <c r="A4" s="59">
        <f>25147</f>
        <v>25147</v>
      </c>
      <c r="B4" s="39" t="s">
        <v>89</v>
      </c>
      <c r="C4" s="30" t="s">
        <v>35</v>
      </c>
      <c r="D4" s="30" t="s">
        <v>90</v>
      </c>
      <c r="E4" s="18" t="s">
        <v>17</v>
      </c>
      <c r="F4" s="25" t="s">
        <v>91</v>
      </c>
    </row>
    <row r="5" spans="1:11" x14ac:dyDescent="0.25">
      <c r="A5" s="60">
        <v>30000</v>
      </c>
      <c r="B5" s="17" t="s">
        <v>37</v>
      </c>
      <c r="C5" s="16" t="s">
        <v>35</v>
      </c>
      <c r="D5" s="16" t="s">
        <v>38</v>
      </c>
      <c r="E5" s="18" t="s">
        <v>17</v>
      </c>
      <c r="F5" s="26" t="s">
        <v>92</v>
      </c>
    </row>
    <row r="6" spans="1:11" x14ac:dyDescent="0.25">
      <c r="A6" s="60">
        <v>9000</v>
      </c>
      <c r="B6" s="17" t="s">
        <v>39</v>
      </c>
      <c r="C6" s="16" t="s">
        <v>35</v>
      </c>
      <c r="D6" s="16" t="s">
        <v>35</v>
      </c>
      <c r="E6" s="18" t="s">
        <v>17</v>
      </c>
      <c r="F6" s="26" t="s">
        <v>93</v>
      </c>
    </row>
    <row r="7" spans="1:11" x14ac:dyDescent="0.25">
      <c r="A7" s="58" t="s">
        <v>94</v>
      </c>
      <c r="B7" s="28" t="s">
        <v>25</v>
      </c>
      <c r="C7" s="24" t="s">
        <v>35</v>
      </c>
      <c r="D7" s="24" t="s">
        <v>40</v>
      </c>
      <c r="E7" s="18" t="s">
        <v>17</v>
      </c>
      <c r="F7" s="24" t="s">
        <v>95</v>
      </c>
    </row>
    <row r="8" spans="1:11" x14ac:dyDescent="0.25">
      <c r="A8" s="61">
        <v>770</v>
      </c>
      <c r="B8" s="27" t="s">
        <v>41</v>
      </c>
      <c r="C8" s="26" t="s">
        <v>35</v>
      </c>
      <c r="D8" s="26" t="s">
        <v>72</v>
      </c>
      <c r="E8" s="18" t="s">
        <v>17</v>
      </c>
      <c r="F8" s="26" t="s">
        <v>92</v>
      </c>
    </row>
    <row r="9" spans="1:11" x14ac:dyDescent="0.25">
      <c r="A9" s="62">
        <v>1050</v>
      </c>
      <c r="B9" s="10" t="s">
        <v>96</v>
      </c>
      <c r="C9" s="6" t="s">
        <v>35</v>
      </c>
      <c r="D9" s="6"/>
      <c r="E9" s="18" t="s">
        <v>17</v>
      </c>
      <c r="F9" s="6" t="s">
        <v>97</v>
      </c>
    </row>
    <row r="10" spans="1:11" x14ac:dyDescent="0.25">
      <c r="A10" s="62">
        <v>900</v>
      </c>
      <c r="B10" s="10" t="s">
        <v>98</v>
      </c>
      <c r="C10" s="6" t="s">
        <v>35</v>
      </c>
      <c r="D10" s="6" t="s">
        <v>47</v>
      </c>
      <c r="E10" s="18" t="s">
        <v>17</v>
      </c>
      <c r="F10" s="26" t="s">
        <v>99</v>
      </c>
    </row>
    <row r="11" spans="1:11" ht="45" x14ac:dyDescent="0.25">
      <c r="A11" s="62">
        <v>200</v>
      </c>
      <c r="B11" s="10" t="s">
        <v>100</v>
      </c>
      <c r="C11" s="6" t="s">
        <v>35</v>
      </c>
      <c r="D11" s="6" t="s">
        <v>101</v>
      </c>
      <c r="E11" s="18" t="s">
        <v>17</v>
      </c>
      <c r="F11" s="26" t="s">
        <v>99</v>
      </c>
    </row>
    <row r="12" spans="1:11" ht="30" x14ac:dyDescent="0.25">
      <c r="A12" s="62">
        <v>1400</v>
      </c>
      <c r="B12" s="10" t="s">
        <v>102</v>
      </c>
      <c r="C12" s="6" t="s">
        <v>35</v>
      </c>
      <c r="D12" s="10" t="s">
        <v>103</v>
      </c>
      <c r="E12" s="18" t="s">
        <v>17</v>
      </c>
      <c r="F12" s="26" t="s">
        <v>104</v>
      </c>
    </row>
    <row r="13" spans="1:11" x14ac:dyDescent="0.25">
      <c r="A13" s="63">
        <v>5000</v>
      </c>
      <c r="B13" s="10" t="s">
        <v>105</v>
      </c>
      <c r="C13" s="6" t="s">
        <v>35</v>
      </c>
      <c r="D13" s="6" t="s">
        <v>47</v>
      </c>
      <c r="E13" s="18" t="s">
        <v>17</v>
      </c>
      <c r="F13" s="26" t="s">
        <v>106</v>
      </c>
    </row>
    <row r="14" spans="1:11" x14ac:dyDescent="0.25">
      <c r="A14" s="63">
        <v>500</v>
      </c>
      <c r="B14" s="10" t="s">
        <v>107</v>
      </c>
      <c r="C14" s="6" t="s">
        <v>38</v>
      </c>
      <c r="D14" s="6" t="s">
        <v>51</v>
      </c>
      <c r="E14" s="18" t="s">
        <v>17</v>
      </c>
    </row>
    <row r="15" spans="1:11" x14ac:dyDescent="0.25">
      <c r="A15" s="63"/>
      <c r="B15" s="10"/>
      <c r="E15" s="20"/>
    </row>
    <row r="16" spans="1:11" x14ac:dyDescent="0.25">
      <c r="A16" s="63"/>
      <c r="B16" s="10"/>
      <c r="E16" s="18"/>
      <c r="F16" s="6"/>
    </row>
    <row r="17" spans="1:2" x14ac:dyDescent="0.25">
      <c r="A17" s="64"/>
    </row>
    <row r="18" spans="1:2" x14ac:dyDescent="0.25">
      <c r="A18" s="64"/>
    </row>
    <row r="19" spans="1:2" x14ac:dyDescent="0.25">
      <c r="A19" s="45" t="s">
        <v>66</v>
      </c>
      <c r="B19" s="4">
        <v>85000</v>
      </c>
    </row>
    <row r="20" spans="1:2" x14ac:dyDescent="0.25">
      <c r="A20" s="45" t="s">
        <v>31</v>
      </c>
      <c r="B20" s="4">
        <f>SUM(A3:A18)</f>
        <v>73967</v>
      </c>
    </row>
    <row r="21" spans="1:2" x14ac:dyDescent="0.25">
      <c r="A21" s="3" t="s">
        <v>108</v>
      </c>
      <c r="B21" s="4">
        <f>B19-B20</f>
        <v>11033</v>
      </c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E965-2E10-4453-91CE-DA4C6A3A3CD6}">
  <dimension ref="A1:H25"/>
  <sheetViews>
    <sheetView workbookViewId="0">
      <selection activeCell="A12" sqref="A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3.42578125" style="4" bestFit="1" customWidth="1"/>
    <col min="5" max="5" width="11" style="57" bestFit="1" customWidth="1"/>
    <col min="6" max="6" width="14.140625" bestFit="1" customWidth="1"/>
    <col min="7" max="7" width="6.42578125" bestFit="1" customWidth="1"/>
    <col min="8" max="8" width="7" bestFit="1" customWidth="1"/>
    <col min="9" max="9" width="3.7109375" bestFit="1" customWidth="1"/>
    <col min="10" max="10" width="12.85546875" bestFit="1" customWidth="1"/>
  </cols>
  <sheetData>
    <row r="1" spans="1:8" x14ac:dyDescent="0.25">
      <c r="A1" s="232">
        <v>43983</v>
      </c>
      <c r="B1" s="232"/>
      <c r="C1" s="232"/>
      <c r="D1" s="232"/>
      <c r="E1" s="232"/>
      <c r="F1" s="232"/>
      <c r="G1" s="29"/>
    </row>
    <row r="2" spans="1:8" x14ac:dyDescent="0.25">
      <c r="A2" s="66" t="s">
        <v>86</v>
      </c>
      <c r="B2" s="85" t="s">
        <v>87</v>
      </c>
      <c r="C2" s="66" t="s">
        <v>32</v>
      </c>
      <c r="D2" s="85" t="s">
        <v>33</v>
      </c>
      <c r="E2" s="66" t="s">
        <v>34</v>
      </c>
      <c r="F2" s="66" t="s">
        <v>109</v>
      </c>
      <c r="G2" s="5"/>
    </row>
    <row r="3" spans="1:8" ht="45" x14ac:dyDescent="0.25">
      <c r="A3" s="70">
        <v>10000</v>
      </c>
      <c r="B3" s="71" t="s">
        <v>110</v>
      </c>
      <c r="C3" s="40" t="s">
        <v>35</v>
      </c>
      <c r="D3" s="81" t="s">
        <v>51</v>
      </c>
      <c r="E3" s="56" t="s">
        <v>17</v>
      </c>
      <c r="F3" s="78" t="s">
        <v>111</v>
      </c>
      <c r="G3" s="41"/>
      <c r="H3" s="41"/>
    </row>
    <row r="4" spans="1:8" x14ac:dyDescent="0.25">
      <c r="A4" s="73">
        <v>16000</v>
      </c>
      <c r="B4" s="74" t="s">
        <v>89</v>
      </c>
      <c r="C4" s="75" t="s">
        <v>35</v>
      </c>
      <c r="D4" s="74" t="s">
        <v>90</v>
      </c>
      <c r="E4" s="56" t="s">
        <v>17</v>
      </c>
      <c r="F4" s="72" t="s">
        <v>112</v>
      </c>
      <c r="G4" s="41"/>
      <c r="H4" s="41"/>
    </row>
    <row r="5" spans="1:8" x14ac:dyDescent="0.25">
      <c r="A5" s="43">
        <v>21382</v>
      </c>
      <c r="B5" s="39" t="s">
        <v>113</v>
      </c>
      <c r="C5" s="30" t="s">
        <v>67</v>
      </c>
      <c r="D5" s="30" t="s">
        <v>90</v>
      </c>
      <c r="E5" s="86" t="s">
        <v>17</v>
      </c>
      <c r="F5" s="46" t="s">
        <v>114</v>
      </c>
      <c r="G5" t="e">
        <f>SUM(#REF!,#REF!,#REF!)</f>
        <v>#REF!</v>
      </c>
      <c r="H5" s="41"/>
    </row>
    <row r="6" spans="1:8" x14ac:dyDescent="0.25">
      <c r="A6" s="76">
        <v>13500</v>
      </c>
      <c r="B6" s="10" t="s">
        <v>115</v>
      </c>
      <c r="C6" s="35" t="s">
        <v>35</v>
      </c>
      <c r="D6" s="16" t="s">
        <v>67</v>
      </c>
      <c r="E6" s="53" t="s">
        <v>17</v>
      </c>
      <c r="F6" s="78" t="s">
        <v>116</v>
      </c>
      <c r="G6" s="41"/>
      <c r="H6" s="41"/>
    </row>
    <row r="7" spans="1:8" x14ac:dyDescent="0.25">
      <c r="A7" s="76">
        <v>27000</v>
      </c>
      <c r="B7" s="77" t="s">
        <v>37</v>
      </c>
      <c r="C7" s="76" t="s">
        <v>35</v>
      </c>
      <c r="D7" s="77" t="s">
        <v>38</v>
      </c>
      <c r="E7" s="56" t="s">
        <v>17</v>
      </c>
      <c r="F7" s="78" t="s">
        <v>117</v>
      </c>
      <c r="G7" s="41"/>
      <c r="H7" s="41"/>
    </row>
    <row r="8" spans="1:8" x14ac:dyDescent="0.25">
      <c r="A8" s="76">
        <v>9000</v>
      </c>
      <c r="B8" s="77" t="s">
        <v>39</v>
      </c>
      <c r="C8" s="76" t="s">
        <v>35</v>
      </c>
      <c r="D8" s="77" t="s">
        <v>35</v>
      </c>
      <c r="E8" s="56" t="s">
        <v>17</v>
      </c>
      <c r="F8" s="76" t="s">
        <v>116</v>
      </c>
      <c r="G8" s="41"/>
      <c r="H8" s="41"/>
    </row>
    <row r="9" spans="1:8" x14ac:dyDescent="0.25">
      <c r="A9" s="76">
        <v>900</v>
      </c>
      <c r="B9" s="77" t="s">
        <v>98</v>
      </c>
      <c r="C9" s="76" t="s">
        <v>35</v>
      </c>
      <c r="D9" s="77" t="s">
        <v>47</v>
      </c>
      <c r="E9" s="56" t="s">
        <v>17</v>
      </c>
      <c r="F9" s="76" t="s">
        <v>116</v>
      </c>
      <c r="G9" s="41"/>
      <c r="H9" s="41"/>
    </row>
    <row r="10" spans="1:8" x14ac:dyDescent="0.25">
      <c r="A10" s="76">
        <v>1770</v>
      </c>
      <c r="B10" s="77" t="s">
        <v>41</v>
      </c>
      <c r="C10" s="76" t="s">
        <v>35</v>
      </c>
      <c r="D10" s="77" t="s">
        <v>72</v>
      </c>
      <c r="E10" s="56" t="s">
        <v>17</v>
      </c>
      <c r="F10" s="70" t="s">
        <v>118</v>
      </c>
      <c r="G10" s="41"/>
      <c r="H10" s="41"/>
    </row>
    <row r="11" spans="1:8" x14ac:dyDescent="0.25">
      <c r="A11" s="79">
        <v>6050</v>
      </c>
      <c r="B11" s="71" t="s">
        <v>25</v>
      </c>
      <c r="C11" s="70" t="s">
        <v>35</v>
      </c>
      <c r="D11" s="71" t="s">
        <v>40</v>
      </c>
      <c r="E11" s="56" t="s">
        <v>17</v>
      </c>
      <c r="F11" s="41" t="s">
        <v>112</v>
      </c>
      <c r="G11" s="41"/>
      <c r="H11" s="41"/>
    </row>
    <row r="12" spans="1:8" x14ac:dyDescent="0.25">
      <c r="A12" s="41">
        <f>7500+6500</f>
        <v>14000</v>
      </c>
      <c r="B12" s="80" t="s">
        <v>119</v>
      </c>
      <c r="C12" s="41" t="s">
        <v>35</v>
      </c>
      <c r="D12" s="80" t="s">
        <v>43</v>
      </c>
      <c r="E12" s="84" t="s">
        <v>17</v>
      </c>
      <c r="F12" s="41" t="s">
        <v>112</v>
      </c>
      <c r="G12" s="41"/>
      <c r="H12" s="41"/>
    </row>
    <row r="13" spans="1:8" ht="30" x14ac:dyDescent="0.25">
      <c r="A13" s="40">
        <v>2250</v>
      </c>
      <c r="B13" s="81" t="s">
        <v>120</v>
      </c>
      <c r="C13" s="40" t="s">
        <v>35</v>
      </c>
      <c r="D13" s="81" t="s">
        <v>43</v>
      </c>
      <c r="E13" s="56" t="s">
        <v>17</v>
      </c>
      <c r="F13" s="78" t="s">
        <v>121</v>
      </c>
      <c r="G13" s="41"/>
      <c r="H13" s="41"/>
    </row>
    <row r="14" spans="1:8" x14ac:dyDescent="0.25">
      <c r="A14" s="40">
        <v>1500</v>
      </c>
      <c r="B14" s="81" t="s">
        <v>122</v>
      </c>
      <c r="C14" s="40" t="s">
        <v>38</v>
      </c>
      <c r="D14" s="81" t="s">
        <v>47</v>
      </c>
      <c r="E14" s="56" t="s">
        <v>17</v>
      </c>
      <c r="F14" s="78" t="s">
        <v>123</v>
      </c>
      <c r="G14" s="41"/>
      <c r="H14" s="41"/>
    </row>
    <row r="15" spans="1:8" ht="30" x14ac:dyDescent="0.25">
      <c r="A15" s="40">
        <f>-9000</f>
        <v>-9000</v>
      </c>
      <c r="B15" s="81" t="s">
        <v>124</v>
      </c>
      <c r="C15" s="40" t="s">
        <v>125</v>
      </c>
      <c r="D15" s="81" t="s">
        <v>126</v>
      </c>
      <c r="E15" s="56"/>
      <c r="F15" s="78" t="s">
        <v>127</v>
      </c>
      <c r="G15" s="41"/>
      <c r="H15" s="41"/>
    </row>
    <row r="16" spans="1:8" ht="60" x14ac:dyDescent="0.25">
      <c r="A16" s="40">
        <v>4187</v>
      </c>
      <c r="B16" s="81" t="s">
        <v>128</v>
      </c>
      <c r="C16" s="41" t="s">
        <v>38</v>
      </c>
      <c r="D16" s="80" t="s">
        <v>129</v>
      </c>
      <c r="E16" s="84" t="s">
        <v>17</v>
      </c>
      <c r="F16" s="40" t="s">
        <v>130</v>
      </c>
      <c r="G16" s="41"/>
      <c r="H16" s="41"/>
    </row>
    <row r="17" spans="1:8" x14ac:dyDescent="0.25">
      <c r="A17" s="40">
        <v>3500</v>
      </c>
      <c r="B17" s="81" t="s">
        <v>131</v>
      </c>
      <c r="C17" s="41" t="s">
        <v>67</v>
      </c>
      <c r="D17" s="80" t="s">
        <v>67</v>
      </c>
      <c r="E17" s="56" t="s">
        <v>17</v>
      </c>
      <c r="F17" s="41"/>
      <c r="G17" s="41"/>
      <c r="H17" s="41"/>
    </row>
    <row r="18" spans="1:8" x14ac:dyDescent="0.25">
      <c r="A18" s="41"/>
      <c r="B18" s="80"/>
      <c r="C18" s="41"/>
      <c r="D18" s="80"/>
      <c r="E18" s="84"/>
      <c r="F18" s="41"/>
      <c r="G18" s="41"/>
      <c r="H18" s="41"/>
    </row>
    <row r="19" spans="1:8" x14ac:dyDescent="0.25">
      <c r="A19" s="41"/>
      <c r="B19" s="80"/>
      <c r="C19" s="41"/>
      <c r="D19" s="80"/>
      <c r="E19" s="84"/>
      <c r="F19" s="41"/>
      <c r="G19" s="41"/>
      <c r="H19" s="41"/>
    </row>
    <row r="20" spans="1:8" x14ac:dyDescent="0.25">
      <c r="A20" s="82" t="s">
        <v>66</v>
      </c>
      <c r="B20" s="80">
        <v>85000</v>
      </c>
      <c r="C20" s="41"/>
      <c r="D20" s="80"/>
      <c r="F20" s="41"/>
      <c r="G20" s="41"/>
      <c r="H20" s="41"/>
    </row>
    <row r="21" spans="1:8" x14ac:dyDescent="0.25">
      <c r="A21" s="82" t="s">
        <v>31</v>
      </c>
      <c r="B21" s="80">
        <f>SUM(A3:A19)</f>
        <v>122039</v>
      </c>
      <c r="C21" s="41"/>
      <c r="D21" s="80"/>
      <c r="F21" s="41"/>
      <c r="G21" s="41"/>
      <c r="H21" s="41"/>
    </row>
    <row r="22" spans="1:8" x14ac:dyDescent="0.25">
      <c r="A22" s="83" t="s">
        <v>108</v>
      </c>
      <c r="B22" s="80">
        <f>B20-B21</f>
        <v>-37039</v>
      </c>
      <c r="C22" s="41"/>
      <c r="D22" s="80"/>
      <c r="F22" s="41"/>
      <c r="G22" s="41"/>
      <c r="H22" s="41"/>
    </row>
    <row r="23" spans="1:8" x14ac:dyDescent="0.25">
      <c r="A23" s="41"/>
      <c r="B23" s="80"/>
      <c r="C23" s="41"/>
      <c r="D23" s="80"/>
      <c r="F23" s="41"/>
      <c r="G23" s="41"/>
      <c r="H23" s="41"/>
    </row>
    <row r="24" spans="1:8" x14ac:dyDescent="0.25">
      <c r="A24" s="41"/>
      <c r="B24" s="80"/>
      <c r="C24" s="41"/>
      <c r="D24" s="80"/>
      <c r="F24" s="41"/>
      <c r="G24" s="41"/>
    </row>
    <row r="25" spans="1:8" x14ac:dyDescent="0.25">
      <c r="A25" s="41"/>
      <c r="B25" s="80"/>
      <c r="C25" s="41"/>
      <c r="D25" s="80"/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DFA7-F8A6-4805-8E55-3E80263E45A0}">
  <dimension ref="A1:N26"/>
  <sheetViews>
    <sheetView workbookViewId="0">
      <selection activeCell="H11" sqref="H11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85546875" bestFit="1" customWidth="1"/>
    <col min="5" max="5" width="11" style="47" bestFit="1" customWidth="1"/>
    <col min="6" max="6" width="14.5703125" style="4" customWidth="1"/>
    <col min="7" max="7" width="1.85546875" style="90" customWidth="1"/>
    <col min="8" max="8" width="17" bestFit="1" customWidth="1"/>
    <col min="9" max="9" width="24.7109375" style="4" bestFit="1" customWidth="1"/>
    <col min="10" max="10" width="14.85546875" bestFit="1" customWidth="1"/>
    <col min="11" max="11" width="12.42578125" bestFit="1" customWidth="1"/>
    <col min="12" max="12" width="15.7109375" style="95" bestFit="1" customWidth="1"/>
    <col min="13" max="13" width="12" bestFit="1" customWidth="1"/>
    <col min="14" max="14" width="18" bestFit="1" customWidth="1"/>
  </cols>
  <sheetData>
    <row r="1" spans="1:14" x14ac:dyDescent="0.25">
      <c r="A1" s="232">
        <v>44013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14" x14ac:dyDescent="0.25">
      <c r="A2" s="233" t="s">
        <v>132</v>
      </c>
      <c r="B2" s="233"/>
      <c r="C2" s="233"/>
      <c r="D2" s="233"/>
      <c r="E2" s="233"/>
      <c r="F2" s="233"/>
      <c r="G2" s="88"/>
      <c r="H2" s="234" t="s">
        <v>133</v>
      </c>
      <c r="I2" s="234"/>
      <c r="J2" s="234"/>
      <c r="K2" s="234"/>
      <c r="L2" s="234"/>
      <c r="M2" s="234"/>
    </row>
    <row r="3" spans="1:14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89"/>
      <c r="H3" s="66" t="s">
        <v>86</v>
      </c>
      <c r="I3" s="8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42"/>
      <c r="B4" s="28" t="s">
        <v>88</v>
      </c>
      <c r="C4" s="24"/>
      <c r="D4" s="24"/>
      <c r="E4" s="86"/>
      <c r="F4" s="96"/>
      <c r="H4" s="98">
        <v>5000</v>
      </c>
      <c r="I4" s="28" t="s">
        <v>88</v>
      </c>
      <c r="J4" s="24" t="s">
        <v>67</v>
      </c>
      <c r="K4" s="24" t="s">
        <v>35</v>
      </c>
      <c r="L4" s="18" t="s">
        <v>136</v>
      </c>
    </row>
    <row r="5" spans="1:14" x14ac:dyDescent="0.25">
      <c r="A5" s="43">
        <v>0</v>
      </c>
      <c r="B5" s="39" t="s">
        <v>113</v>
      </c>
      <c r="C5" s="30" t="s">
        <v>67</v>
      </c>
      <c r="D5" s="30" t="s">
        <v>90</v>
      </c>
      <c r="E5" s="86" t="s">
        <v>17</v>
      </c>
      <c r="F5" s="97" t="s">
        <v>114</v>
      </c>
      <c r="H5" s="43">
        <v>2000</v>
      </c>
      <c r="I5" s="39" t="s">
        <v>137</v>
      </c>
      <c r="J5" s="30" t="s">
        <v>38</v>
      </c>
      <c r="K5" s="30" t="s">
        <v>138</v>
      </c>
      <c r="L5" s="18" t="s">
        <v>139</v>
      </c>
    </row>
    <row r="6" spans="1:14" x14ac:dyDescent="0.25">
      <c r="A6" s="44">
        <v>0</v>
      </c>
      <c r="B6" s="17" t="s">
        <v>37</v>
      </c>
      <c r="C6" s="16" t="s">
        <v>38</v>
      </c>
      <c r="D6" s="16" t="s">
        <v>140</v>
      </c>
      <c r="E6" s="86" t="s">
        <v>17</v>
      </c>
      <c r="F6" s="17"/>
      <c r="H6" s="44">
        <v>27000</v>
      </c>
      <c r="I6" s="17" t="s">
        <v>37</v>
      </c>
      <c r="J6" s="16" t="s">
        <v>38</v>
      </c>
      <c r="K6" s="16" t="s">
        <v>38</v>
      </c>
      <c r="L6" s="18" t="s">
        <v>141</v>
      </c>
      <c r="M6" s="93">
        <f>SUM(H6:H10,'August 20'!G12,H13)</f>
        <v>70838</v>
      </c>
    </row>
    <row r="7" spans="1:14" x14ac:dyDescent="0.25">
      <c r="A7" s="44">
        <v>0</v>
      </c>
      <c r="B7" s="17" t="s">
        <v>142</v>
      </c>
      <c r="C7" s="16" t="s">
        <v>67</v>
      </c>
      <c r="D7" s="16" t="s">
        <v>35</v>
      </c>
      <c r="E7" s="86" t="s">
        <v>17</v>
      </c>
      <c r="F7" s="17"/>
      <c r="H7" s="44">
        <f>7000+3000+2000+3000</f>
        <v>15000</v>
      </c>
      <c r="I7" s="17" t="s">
        <v>143</v>
      </c>
      <c r="J7" s="16" t="s">
        <v>67</v>
      </c>
      <c r="K7" s="16" t="s">
        <v>144</v>
      </c>
      <c r="L7" s="18" t="s">
        <v>145</v>
      </c>
    </row>
    <row r="8" spans="1:14" x14ac:dyDescent="0.25">
      <c r="A8" s="44">
        <v>0</v>
      </c>
      <c r="B8" s="17" t="s">
        <v>146</v>
      </c>
      <c r="C8" s="16" t="s">
        <v>38</v>
      </c>
      <c r="D8" s="16" t="s">
        <v>147</v>
      </c>
      <c r="E8" s="86" t="s">
        <v>17</v>
      </c>
      <c r="F8" s="4">
        <f>40000/6</f>
        <v>6666.666666666667</v>
      </c>
      <c r="H8" s="35">
        <v>3000</v>
      </c>
      <c r="I8" s="94" t="s">
        <v>148</v>
      </c>
      <c r="J8" t="s">
        <v>67</v>
      </c>
      <c r="K8" s="35" t="s">
        <v>149</v>
      </c>
      <c r="L8" s="18" t="s">
        <v>150</v>
      </c>
    </row>
    <row r="9" spans="1:14" x14ac:dyDescent="0.25">
      <c r="A9" s="44">
        <v>0</v>
      </c>
      <c r="B9" s="17" t="s">
        <v>41</v>
      </c>
      <c r="C9" s="16" t="s">
        <v>38</v>
      </c>
      <c r="D9" s="16" t="s">
        <v>72</v>
      </c>
      <c r="E9" s="86" t="s">
        <v>17</v>
      </c>
      <c r="F9" s="17"/>
      <c r="H9" s="98">
        <v>6667</v>
      </c>
      <c r="I9" s="39" t="s">
        <v>146</v>
      </c>
      <c r="J9" s="30" t="s">
        <v>38</v>
      </c>
      <c r="K9" s="30" t="s">
        <v>147</v>
      </c>
      <c r="L9" s="95" t="s">
        <v>151</v>
      </c>
      <c r="M9">
        <f>6667*5</f>
        <v>33335</v>
      </c>
      <c r="N9" s="35" t="s">
        <v>108</v>
      </c>
    </row>
    <row r="10" spans="1:14" x14ac:dyDescent="0.25">
      <c r="A10" s="42">
        <v>0</v>
      </c>
      <c r="B10" s="28" t="s">
        <v>25</v>
      </c>
      <c r="C10" s="24" t="s">
        <v>35</v>
      </c>
      <c r="D10" s="24" t="s">
        <v>40</v>
      </c>
      <c r="E10" s="86" t="s">
        <v>17</v>
      </c>
      <c r="F10" s="28"/>
      <c r="H10" s="44">
        <v>590</v>
      </c>
      <c r="I10" s="17" t="s">
        <v>41</v>
      </c>
      <c r="J10" s="16" t="s">
        <v>38</v>
      </c>
      <c r="K10" s="16" t="s">
        <v>72</v>
      </c>
      <c r="L10" s="95" t="s">
        <v>136</v>
      </c>
    </row>
    <row r="11" spans="1:14" ht="30" x14ac:dyDescent="0.25">
      <c r="A11" s="40">
        <v>0</v>
      </c>
      <c r="B11" s="10" t="s">
        <v>152</v>
      </c>
      <c r="C11" s="16" t="s">
        <v>35</v>
      </c>
      <c r="D11" s="16" t="s">
        <v>47</v>
      </c>
      <c r="E11" s="86" t="s">
        <v>17</v>
      </c>
      <c r="F11" s="27"/>
      <c r="H11" s="98">
        <v>1618</v>
      </c>
      <c r="I11" s="39" t="s">
        <v>25</v>
      </c>
      <c r="J11" s="30" t="s">
        <v>35</v>
      </c>
      <c r="K11" s="30" t="s">
        <v>40</v>
      </c>
      <c r="L11" s="18" t="s">
        <v>145</v>
      </c>
    </row>
    <row r="12" spans="1:14" x14ac:dyDescent="0.25">
      <c r="A12" s="40">
        <v>0</v>
      </c>
      <c r="B12" s="10" t="s">
        <v>153</v>
      </c>
      <c r="C12" s="16" t="s">
        <v>35</v>
      </c>
      <c r="D12" s="6"/>
      <c r="E12" s="86" t="s">
        <v>17</v>
      </c>
    </row>
    <row r="13" spans="1:14" x14ac:dyDescent="0.25">
      <c r="A13" s="40">
        <v>0</v>
      </c>
      <c r="B13" s="10" t="s">
        <v>115</v>
      </c>
      <c r="C13" t="s">
        <v>35</v>
      </c>
      <c r="E13" s="53" t="s">
        <v>17</v>
      </c>
      <c r="F13" s="94" t="s">
        <v>114</v>
      </c>
      <c r="H13" s="76">
        <v>5581</v>
      </c>
      <c r="I13" s="17" t="s">
        <v>153</v>
      </c>
      <c r="J13" s="16" t="s">
        <v>38</v>
      </c>
      <c r="K13" s="16"/>
      <c r="L13" s="95" t="s">
        <v>154</v>
      </c>
      <c r="M13" s="35"/>
      <c r="N13" s="35"/>
    </row>
    <row r="14" spans="1:14" ht="45" x14ac:dyDescent="0.25">
      <c r="A14" s="41">
        <v>0</v>
      </c>
      <c r="B14" s="81" t="s">
        <v>131</v>
      </c>
      <c r="C14" s="41" t="s">
        <v>35</v>
      </c>
      <c r="D14" s="80" t="s">
        <v>67</v>
      </c>
      <c r="E14" s="56"/>
      <c r="H14" s="76">
        <v>15000</v>
      </c>
      <c r="I14" s="17" t="s">
        <v>155</v>
      </c>
      <c r="J14" s="16" t="s">
        <v>38</v>
      </c>
      <c r="K14" s="16" t="s">
        <v>156</v>
      </c>
      <c r="L14" s="95" t="s">
        <v>154</v>
      </c>
      <c r="M14" s="17" t="s">
        <v>157</v>
      </c>
      <c r="N14" s="94" t="s">
        <v>158</v>
      </c>
    </row>
    <row r="15" spans="1:14" ht="45" x14ac:dyDescent="0.25">
      <c r="A15" s="41"/>
      <c r="H15" s="99">
        <v>14745</v>
      </c>
      <c r="I15" s="77" t="s">
        <v>131</v>
      </c>
      <c r="J15" s="99" t="s">
        <v>67</v>
      </c>
      <c r="K15" s="100" t="s">
        <v>159</v>
      </c>
      <c r="L15" s="95" t="s">
        <v>160</v>
      </c>
    </row>
    <row r="16" spans="1:14" x14ac:dyDescent="0.25">
      <c r="A16" s="45" t="s">
        <v>66</v>
      </c>
      <c r="B16" s="4">
        <v>85000</v>
      </c>
      <c r="H16" s="99">
        <v>50100</v>
      </c>
      <c r="I16" s="94" t="s">
        <v>161</v>
      </c>
      <c r="J16" s="16" t="s">
        <v>67</v>
      </c>
      <c r="K16" s="16" t="s">
        <v>162</v>
      </c>
      <c r="L16" s="95" t="s">
        <v>163</v>
      </c>
    </row>
    <row r="17" spans="1:12" x14ac:dyDescent="0.25">
      <c r="A17" s="45" t="s">
        <v>164</v>
      </c>
      <c r="B17" s="4">
        <f>SUM(A4:A15)</f>
        <v>0</v>
      </c>
    </row>
    <row r="18" spans="1:12" x14ac:dyDescent="0.25">
      <c r="A18" s="3" t="s">
        <v>108</v>
      </c>
      <c r="B18" s="4">
        <f>B16-B17</f>
        <v>85000</v>
      </c>
    </row>
    <row r="20" spans="1:12" x14ac:dyDescent="0.25">
      <c r="A20" s="65" t="s">
        <v>35</v>
      </c>
      <c r="B20">
        <v>4660</v>
      </c>
    </row>
    <row r="21" spans="1:12" x14ac:dyDescent="0.25">
      <c r="A21" s="65" t="s">
        <v>38</v>
      </c>
      <c r="B21">
        <v>26860</v>
      </c>
    </row>
    <row r="22" spans="1:12" x14ac:dyDescent="0.25">
      <c r="A22" s="65" t="s">
        <v>67</v>
      </c>
      <c r="B22">
        <v>13525</v>
      </c>
      <c r="C22">
        <f>B23-13000-15000</f>
        <v>17045</v>
      </c>
      <c r="H22" s="45">
        <f>SUM(H4:H16)</f>
        <v>146301</v>
      </c>
      <c r="I22" s="87" t="s">
        <v>31</v>
      </c>
    </row>
    <row r="23" spans="1:12" x14ac:dyDescent="0.25">
      <c r="A23" s="3" t="s">
        <v>165</v>
      </c>
      <c r="B23">
        <f>SUM(B20:B22)</f>
        <v>45045</v>
      </c>
      <c r="H23" s="45">
        <v>85000</v>
      </c>
      <c r="I23" s="94" t="s">
        <v>66</v>
      </c>
    </row>
    <row r="24" spans="1:12" x14ac:dyDescent="0.25">
      <c r="H24" s="3">
        <f>H23-H22</f>
        <v>-61301</v>
      </c>
      <c r="I24" s="94" t="s">
        <v>108</v>
      </c>
    </row>
    <row r="25" spans="1:12" x14ac:dyDescent="0.25">
      <c r="L25" s="95">
        <f>H6+H9+H10+'August 20'!G12+H13</f>
        <v>52838</v>
      </c>
    </row>
    <row r="26" spans="1:12" x14ac:dyDescent="0.25">
      <c r="L26" s="95">
        <f>72000-L25</f>
        <v>19162</v>
      </c>
    </row>
  </sheetData>
  <autoFilter ref="A3:E3" xr:uid="{5E88C536-5958-427A-9B09-8A0CA9C64EFD}"/>
  <mergeCells count="3">
    <mergeCell ref="A2:F2"/>
    <mergeCell ref="A1:M1"/>
    <mergeCell ref="H2:M2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3949-B89C-4C55-B715-EB8CFE4F6108}">
  <dimension ref="A1:M35"/>
  <sheetViews>
    <sheetView topLeftCell="A4" workbookViewId="0">
      <selection activeCell="H12" sqref="H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42578125" bestFit="1" customWidth="1"/>
    <col min="5" max="5" width="14.5703125" style="4" customWidth="1"/>
    <col min="6" max="6" width="1.85546875" style="90" customWidth="1"/>
    <col min="7" max="7" width="17" bestFit="1" customWidth="1"/>
    <col min="8" max="8" width="35.42578125" style="142" bestFit="1" customWidth="1"/>
    <col min="9" max="9" width="14.85546875" bestFit="1" customWidth="1"/>
    <col min="10" max="10" width="15.42578125" bestFit="1" customWidth="1"/>
    <col min="11" max="11" width="15.7109375" style="95" bestFit="1" customWidth="1"/>
    <col min="12" max="12" width="12" bestFit="1" customWidth="1"/>
    <col min="13" max="13" width="18" bestFit="1" customWidth="1"/>
  </cols>
  <sheetData>
    <row r="1" spans="1:13" x14ac:dyDescent="0.25">
      <c r="A1" s="232">
        <v>44044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3" ht="23.25" x14ac:dyDescent="0.25">
      <c r="A2" s="235" t="s">
        <v>132</v>
      </c>
      <c r="B2" s="235"/>
      <c r="C2" s="235"/>
      <c r="D2" s="235"/>
      <c r="E2" s="235"/>
      <c r="F2" s="88"/>
      <c r="G2" s="236" t="s">
        <v>166</v>
      </c>
      <c r="H2" s="236"/>
      <c r="I2" s="236"/>
      <c r="J2" s="236"/>
      <c r="K2" s="236"/>
      <c r="L2" s="236"/>
    </row>
    <row r="3" spans="1:13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85" t="s">
        <v>135</v>
      </c>
      <c r="F3" s="89"/>
      <c r="G3" s="66" t="s">
        <v>86</v>
      </c>
      <c r="H3" s="66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x14ac:dyDescent="0.25">
      <c r="A4" s="98"/>
      <c r="B4" s="39" t="s">
        <v>167</v>
      </c>
      <c r="C4" s="30" t="s">
        <v>38</v>
      </c>
      <c r="D4" s="30" t="s">
        <v>81</v>
      </c>
      <c r="E4" s="96"/>
      <c r="G4" s="98">
        <v>8000</v>
      </c>
      <c r="H4" s="98" t="s">
        <v>167</v>
      </c>
      <c r="I4" s="30" t="s">
        <v>38</v>
      </c>
      <c r="J4" s="30" t="s">
        <v>81</v>
      </c>
      <c r="K4" s="18" t="s">
        <v>136</v>
      </c>
    </row>
    <row r="5" spans="1:13" x14ac:dyDescent="0.25">
      <c r="A5" s="44">
        <v>27000</v>
      </c>
      <c r="B5" s="17" t="s">
        <v>37</v>
      </c>
      <c r="C5" s="16" t="s">
        <v>38</v>
      </c>
      <c r="D5" s="16" t="s">
        <v>38</v>
      </c>
      <c r="E5" s="17"/>
      <c r="G5" s="44">
        <v>27000</v>
      </c>
      <c r="H5" s="44" t="s">
        <v>37</v>
      </c>
      <c r="I5" s="16" t="s">
        <v>38</v>
      </c>
      <c r="J5" s="16" t="s">
        <v>38</v>
      </c>
      <c r="K5" s="18" t="s">
        <v>168</v>
      </c>
      <c r="L5" s="93"/>
    </row>
    <row r="6" spans="1:13" x14ac:dyDescent="0.25">
      <c r="A6" s="44">
        <f>7000+3000+2000+3000</f>
        <v>15000</v>
      </c>
      <c r="B6" s="17" t="s">
        <v>143</v>
      </c>
      <c r="C6" s="16" t="s">
        <v>67</v>
      </c>
      <c r="D6" s="16" t="s">
        <v>144</v>
      </c>
      <c r="E6" s="17"/>
      <c r="G6" s="44">
        <f>7000+3000+2000+3000</f>
        <v>15000</v>
      </c>
      <c r="H6" s="44" t="s">
        <v>143</v>
      </c>
      <c r="I6" s="16" t="s">
        <v>67</v>
      </c>
      <c r="J6" s="16" t="s">
        <v>144</v>
      </c>
      <c r="K6" s="18" t="s">
        <v>168</v>
      </c>
    </row>
    <row r="7" spans="1:13" x14ac:dyDescent="0.25">
      <c r="A7" s="35">
        <v>3000</v>
      </c>
      <c r="B7" s="94" t="s">
        <v>148</v>
      </c>
      <c r="C7" t="s">
        <v>67</v>
      </c>
      <c r="D7" t="s">
        <v>149</v>
      </c>
      <c r="E7" s="4">
        <f>40000/6</f>
        <v>6666.666666666667</v>
      </c>
      <c r="G7" s="35">
        <v>3000</v>
      </c>
      <c r="H7" s="141" t="s">
        <v>148</v>
      </c>
      <c r="I7" t="s">
        <v>67</v>
      </c>
      <c r="J7" t="s">
        <v>149</v>
      </c>
      <c r="K7" s="18" t="s">
        <v>168</v>
      </c>
    </row>
    <row r="8" spans="1:13" x14ac:dyDescent="0.25">
      <c r="A8" s="98">
        <v>6667</v>
      </c>
      <c r="B8" s="39" t="s">
        <v>146</v>
      </c>
      <c r="C8" s="30" t="s">
        <v>38</v>
      </c>
      <c r="D8" s="30" t="s">
        <v>147</v>
      </c>
      <c r="E8" s="17"/>
      <c r="G8" s="98">
        <v>6667</v>
      </c>
      <c r="H8" s="98" t="s">
        <v>146</v>
      </c>
      <c r="I8" s="30" t="s">
        <v>38</v>
      </c>
      <c r="J8" s="30" t="s">
        <v>147</v>
      </c>
      <c r="K8" s="18" t="s">
        <v>168</v>
      </c>
      <c r="L8">
        <f>6667*4</f>
        <v>26668</v>
      </c>
      <c r="M8" s="35" t="s">
        <v>169</v>
      </c>
    </row>
    <row r="9" spans="1:13" x14ac:dyDescent="0.25">
      <c r="A9" s="44">
        <v>800</v>
      </c>
      <c r="B9" s="17" t="s">
        <v>41</v>
      </c>
      <c r="C9" s="16" t="s">
        <v>38</v>
      </c>
      <c r="D9" s="16" t="s">
        <v>72</v>
      </c>
      <c r="E9" s="28"/>
      <c r="G9" s="44">
        <v>1250</v>
      </c>
      <c r="H9" s="44" t="s">
        <v>41</v>
      </c>
      <c r="I9" s="16" t="s">
        <v>38</v>
      </c>
      <c r="J9" s="16" t="s">
        <v>72</v>
      </c>
      <c r="K9" s="18"/>
    </row>
    <row r="10" spans="1:13" x14ac:dyDescent="0.25">
      <c r="A10" s="98"/>
      <c r="B10" s="39" t="s">
        <v>25</v>
      </c>
      <c r="C10" s="30" t="s">
        <v>35</v>
      </c>
      <c r="D10" s="30" t="s">
        <v>40</v>
      </c>
      <c r="E10" s="27"/>
      <c r="G10" s="98">
        <v>1620</v>
      </c>
      <c r="H10" s="98" t="s">
        <v>25</v>
      </c>
      <c r="I10" s="30" t="s">
        <v>35</v>
      </c>
      <c r="J10" s="30" t="s">
        <v>40</v>
      </c>
      <c r="K10" s="18" t="s">
        <v>170</v>
      </c>
    </row>
    <row r="11" spans="1:13" ht="45" x14ac:dyDescent="0.25">
      <c r="A11" s="139">
        <v>15000</v>
      </c>
      <c r="B11" s="140" t="s">
        <v>155</v>
      </c>
      <c r="C11" s="139" t="s">
        <v>38</v>
      </c>
      <c r="D11" s="139" t="s">
        <v>156</v>
      </c>
      <c r="E11" s="80"/>
      <c r="F11" s="102"/>
      <c r="G11" s="76"/>
      <c r="H11" s="76" t="s">
        <v>171</v>
      </c>
      <c r="I11" s="76" t="s">
        <v>38</v>
      </c>
      <c r="J11" s="76" t="s">
        <v>156</v>
      </c>
      <c r="K11" s="103"/>
      <c r="L11" s="77" t="s">
        <v>157</v>
      </c>
      <c r="M11" s="100" t="s">
        <v>158</v>
      </c>
    </row>
    <row r="12" spans="1:13" ht="30" x14ac:dyDescent="0.25">
      <c r="A12" s="75">
        <v>13000</v>
      </c>
      <c r="B12" s="39" t="s">
        <v>152</v>
      </c>
      <c r="C12" s="30" t="s">
        <v>38</v>
      </c>
      <c r="D12" s="30" t="s">
        <v>47</v>
      </c>
      <c r="G12" s="75">
        <v>13000</v>
      </c>
      <c r="H12" s="98" t="s">
        <v>152</v>
      </c>
      <c r="I12" s="30" t="s">
        <v>38</v>
      </c>
      <c r="J12" s="30" t="s">
        <v>47</v>
      </c>
      <c r="K12" s="18" t="s">
        <v>172</v>
      </c>
      <c r="L12" s="17"/>
      <c r="M12" s="94"/>
    </row>
    <row r="13" spans="1:13" ht="30" x14ac:dyDescent="0.25">
      <c r="A13" s="76">
        <v>14000</v>
      </c>
      <c r="B13" s="17" t="s">
        <v>173</v>
      </c>
      <c r="C13" s="16" t="s">
        <v>38</v>
      </c>
      <c r="D13" s="16" t="s">
        <v>174</v>
      </c>
      <c r="G13" s="76">
        <v>13375</v>
      </c>
      <c r="H13" s="44" t="s">
        <v>173</v>
      </c>
      <c r="I13" s="16" t="s">
        <v>38</v>
      </c>
      <c r="J13" s="16" t="s">
        <v>174</v>
      </c>
      <c r="K13" s="18" t="s">
        <v>175</v>
      </c>
      <c r="L13" s="17"/>
      <c r="M13" s="94"/>
    </row>
    <row r="14" spans="1:13" x14ac:dyDescent="0.25">
      <c r="A14" s="76"/>
      <c r="B14" s="17"/>
      <c r="C14" s="16"/>
      <c r="D14" s="16"/>
      <c r="G14" s="76">
        <v>2000</v>
      </c>
      <c r="H14" s="44" t="s">
        <v>176</v>
      </c>
      <c r="I14" s="16" t="s">
        <v>38</v>
      </c>
      <c r="J14" s="16" t="s">
        <v>47</v>
      </c>
      <c r="K14" s="18" t="s">
        <v>177</v>
      </c>
      <c r="L14" s="17"/>
      <c r="M14" s="94"/>
    </row>
    <row r="15" spans="1:13" x14ac:dyDescent="0.25">
      <c r="A15" s="76"/>
      <c r="B15" s="17"/>
      <c r="C15" s="16"/>
      <c r="D15" s="16"/>
      <c r="G15" s="76">
        <v>2500</v>
      </c>
      <c r="H15" s="44" t="s">
        <v>178</v>
      </c>
      <c r="I15" s="16" t="s">
        <v>38</v>
      </c>
      <c r="J15" s="16" t="s">
        <v>47</v>
      </c>
      <c r="K15" s="18" t="s">
        <v>177</v>
      </c>
      <c r="L15" s="17"/>
      <c r="M15" s="94"/>
    </row>
    <row r="16" spans="1:13" x14ac:dyDescent="0.25">
      <c r="A16" s="76"/>
      <c r="B16" s="17"/>
      <c r="C16" s="16"/>
      <c r="D16" s="16"/>
      <c r="G16" s="76">
        <v>10500</v>
      </c>
      <c r="H16" s="44" t="s">
        <v>179</v>
      </c>
      <c r="I16" s="16" t="s">
        <v>180</v>
      </c>
      <c r="J16" s="16" t="s">
        <v>181</v>
      </c>
      <c r="K16" s="18" t="s">
        <v>182</v>
      </c>
      <c r="L16" s="17"/>
      <c r="M16" s="94"/>
    </row>
    <row r="17" spans="1:13" x14ac:dyDescent="0.25">
      <c r="A17" s="76"/>
      <c r="B17" s="17"/>
      <c r="C17" s="16"/>
      <c r="D17" s="16"/>
      <c r="G17" s="76"/>
      <c r="H17" s="44"/>
      <c r="I17" s="16"/>
      <c r="J17" s="16"/>
      <c r="L17" s="17"/>
      <c r="M17" s="94"/>
    </row>
    <row r="18" spans="1:13" x14ac:dyDescent="0.25">
      <c r="A18" s="76"/>
      <c r="B18" s="17"/>
      <c r="C18" s="16"/>
      <c r="D18" s="16"/>
      <c r="G18" s="76"/>
      <c r="H18" s="44"/>
      <c r="I18" s="16"/>
      <c r="J18" s="16"/>
      <c r="L18" s="17"/>
      <c r="M18" s="94"/>
    </row>
    <row r="19" spans="1:13" x14ac:dyDescent="0.25">
      <c r="A19" s="76"/>
      <c r="B19" s="17"/>
      <c r="C19" s="16"/>
      <c r="D19" s="16"/>
      <c r="G19" s="76"/>
      <c r="H19" s="44"/>
      <c r="I19" s="16"/>
      <c r="J19" s="16"/>
      <c r="L19" s="17"/>
      <c r="M19" s="94"/>
    </row>
    <row r="20" spans="1:13" x14ac:dyDescent="0.25">
      <c r="A20" s="76"/>
      <c r="B20" s="17"/>
      <c r="C20" s="16"/>
      <c r="D20" s="16"/>
      <c r="G20" s="76"/>
      <c r="H20" s="44"/>
      <c r="I20" s="16"/>
      <c r="J20" s="16"/>
      <c r="L20" s="17"/>
      <c r="M20" s="94"/>
    </row>
    <row r="21" spans="1:13" x14ac:dyDescent="0.25">
      <c r="A21" s="76"/>
      <c r="B21" s="17"/>
      <c r="C21" s="16"/>
      <c r="D21" s="16"/>
      <c r="G21" s="76"/>
      <c r="H21" s="44"/>
      <c r="I21" s="16"/>
      <c r="J21" s="16"/>
      <c r="L21" s="17"/>
      <c r="M21" s="94"/>
    </row>
    <row r="22" spans="1:13" x14ac:dyDescent="0.25">
      <c r="A22" s="76"/>
      <c r="B22" s="17"/>
      <c r="C22" s="16"/>
      <c r="D22" s="16"/>
      <c r="G22" s="76"/>
      <c r="H22" s="44"/>
      <c r="I22" s="16"/>
      <c r="J22" s="16"/>
      <c r="L22" s="17"/>
      <c r="M22" s="94"/>
    </row>
    <row r="23" spans="1:13" x14ac:dyDescent="0.25">
      <c r="A23" s="76"/>
      <c r="B23" s="17"/>
      <c r="C23" s="16"/>
      <c r="D23" s="16"/>
      <c r="G23" s="76"/>
      <c r="H23" s="44"/>
      <c r="I23" s="16"/>
      <c r="J23" s="16"/>
      <c r="L23" s="17"/>
      <c r="M23" s="94"/>
    </row>
    <row r="24" spans="1:13" x14ac:dyDescent="0.25">
      <c r="A24" s="76"/>
      <c r="B24" s="17"/>
      <c r="C24" s="16"/>
      <c r="D24" s="16"/>
      <c r="G24" s="76"/>
      <c r="H24" s="44"/>
      <c r="I24" s="16"/>
      <c r="J24" s="16"/>
      <c r="L24" s="17"/>
      <c r="M24" s="94"/>
    </row>
    <row r="25" spans="1:13" x14ac:dyDescent="0.25">
      <c r="A25" s="76"/>
      <c r="B25" s="17"/>
      <c r="C25" s="16"/>
      <c r="D25" s="16"/>
      <c r="G25" s="76"/>
      <c r="H25" s="44"/>
      <c r="I25" s="16"/>
      <c r="J25" s="16"/>
      <c r="L25" s="17"/>
      <c r="M25" s="94"/>
    </row>
    <row r="26" spans="1:13" x14ac:dyDescent="0.25">
      <c r="A26" s="76"/>
      <c r="B26" s="17"/>
      <c r="C26" s="16"/>
      <c r="D26" s="16"/>
      <c r="G26" s="76"/>
      <c r="H26" s="44"/>
      <c r="I26" s="16"/>
      <c r="J26" s="16"/>
      <c r="L26" s="17"/>
      <c r="M26" s="94"/>
    </row>
    <row r="27" spans="1:13" x14ac:dyDescent="0.25">
      <c r="A27" s="76"/>
      <c r="B27" s="17"/>
      <c r="C27" s="16"/>
      <c r="D27" s="16"/>
      <c r="G27" s="76"/>
      <c r="H27" s="44"/>
      <c r="I27" s="16"/>
      <c r="J27" s="16"/>
      <c r="L27" s="17"/>
      <c r="M27" s="94"/>
    </row>
    <row r="28" spans="1:13" x14ac:dyDescent="0.25">
      <c r="A28" s="45" t="s">
        <v>66</v>
      </c>
      <c r="B28" s="4">
        <v>93000</v>
      </c>
      <c r="G28" s="41"/>
    </row>
    <row r="29" spans="1:13" x14ac:dyDescent="0.25">
      <c r="A29" s="45" t="s">
        <v>164</v>
      </c>
      <c r="B29" s="4">
        <f>SUM(A4:A11)</f>
        <v>67467</v>
      </c>
      <c r="G29" s="45">
        <f>SUM(G4:G11)</f>
        <v>62537</v>
      </c>
      <c r="H29" s="101" t="s">
        <v>31</v>
      </c>
    </row>
    <row r="30" spans="1:13" x14ac:dyDescent="0.25">
      <c r="A30" s="3" t="s">
        <v>108</v>
      </c>
      <c r="B30" s="4">
        <f>B28-B29</f>
        <v>25533</v>
      </c>
      <c r="G30" s="45">
        <v>85000</v>
      </c>
      <c r="H30" s="141" t="s">
        <v>66</v>
      </c>
    </row>
    <row r="31" spans="1:13" x14ac:dyDescent="0.25">
      <c r="G31" s="3">
        <f>G30-G29</f>
        <v>22463</v>
      </c>
      <c r="H31" s="141" t="s">
        <v>108</v>
      </c>
    </row>
    <row r="32" spans="1:13" x14ac:dyDescent="0.25">
      <c r="A32" s="65" t="s">
        <v>35</v>
      </c>
      <c r="B32">
        <v>4660</v>
      </c>
      <c r="K32" s="95" t="e">
        <f>G5+G8+G9+#REF!+#REF!</f>
        <v>#REF!</v>
      </c>
    </row>
    <row r="33" spans="1:11" x14ac:dyDescent="0.25">
      <c r="A33" s="65" t="s">
        <v>38</v>
      </c>
      <c r="B33">
        <v>26860</v>
      </c>
      <c r="K33" s="95" t="e">
        <f>72000-K32</f>
        <v>#REF!</v>
      </c>
    </row>
    <row r="34" spans="1:11" x14ac:dyDescent="0.25">
      <c r="A34" s="65" t="s">
        <v>67</v>
      </c>
      <c r="B34">
        <v>13525</v>
      </c>
      <c r="C34">
        <f>B35-13000-15000</f>
        <v>17045</v>
      </c>
    </row>
    <row r="35" spans="1:11" x14ac:dyDescent="0.25">
      <c r="A35" s="3" t="s">
        <v>165</v>
      </c>
      <c r="B35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honeticPr fontId="12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8" ma:contentTypeDescription="Create a new document." ma:contentTypeScope="" ma:versionID="d0f8ef3af180fb4ddb5e95743212642f">
  <xsd:schema xmlns:xsd="http://www.w3.org/2001/XMLSchema" xmlns:xs="http://www.w3.org/2001/XMLSchema" xmlns:p="http://schemas.microsoft.com/office/2006/metadata/properties" xmlns:ns3="df3f84f5-0dce-435a-abac-67420900ba59" targetNamespace="http://schemas.microsoft.com/office/2006/metadata/properties" ma:root="true" ma:fieldsID="2069e023351266972e9c1aca68960d8c" ns3:_="">
    <xsd:import namespace="df3f84f5-0dce-435a-abac-67420900ba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55E539-E9CC-455F-B094-E363B2CCC4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DF5BFB-C4A2-42C5-9ACB-F42BB2AD57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845A164-C435-4094-8F0C-F88A8D76F1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</vt:i4>
      </vt:variant>
    </vt:vector>
  </HeadingPairs>
  <TitlesOfParts>
    <vt:vector size="31" baseType="lpstr">
      <vt:lpstr>LIC Details</vt:lpstr>
      <vt:lpstr>Jan 20</vt:lpstr>
      <vt:lpstr>Feb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 20</vt:lpstr>
      <vt:lpstr>December 20</vt:lpstr>
      <vt:lpstr>January 21</vt:lpstr>
      <vt:lpstr>Feb 21</vt:lpstr>
      <vt:lpstr>March 21</vt:lpstr>
      <vt:lpstr>April 21</vt:lpstr>
      <vt:lpstr>May 21</vt:lpstr>
      <vt:lpstr>June 21</vt:lpstr>
      <vt:lpstr>July 21</vt:lpstr>
      <vt:lpstr>LIC Paid '21 Month</vt:lpstr>
      <vt:lpstr>LIC Loan_NEW</vt:lpstr>
      <vt:lpstr>Sheet1</vt:lpstr>
      <vt:lpstr>LIC_Policies_dues</vt:lpstr>
      <vt:lpstr>LOAN_Records</vt:lpstr>
      <vt:lpstr>Yearly Fixed Expenses</vt:lpstr>
      <vt:lpstr>'LIC Details'!HREF_txnHistoryList_Header2</vt:lpstr>
      <vt:lpstr>'LIC Details'!HREF_txnHistoryList_Header3</vt:lpstr>
      <vt:lpstr>'LIC Details'!HREF_txnHistoryList_Header5</vt:lpstr>
      <vt:lpstr>'LIC Details'!HREF_txnHistoryList_Header6</vt:lpstr>
      <vt:lpstr>'LIC Details'!HREF_txnHistoryList_Header7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Shah, Jimish</dc:creator>
  <cp:keywords/>
  <dc:description/>
  <cp:lastModifiedBy>Shah, Jimish</cp:lastModifiedBy>
  <cp:revision/>
  <dcterms:created xsi:type="dcterms:W3CDTF">2020-01-02T06:58:58Z</dcterms:created>
  <dcterms:modified xsi:type="dcterms:W3CDTF">2021-06-01T06:52:42Z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2021-03-31T12:28:02Z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e36b61ff-e59b-4e51-92e8-cd628cd94429</vt:lpwstr>
  </property>
  <property fmtid="{D5CDD505-2E9C-101B-9397-08002B2CF9AE}" pid="9" name="MSIP_Label_e463cba9-5f6c-478d-9329-7b2295e4e8ed_ContentBits">
    <vt:lpwstr>0</vt:lpwstr>
  </property>
</Properties>
</file>