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work\school\SPS\DATA622\FinalProject\"/>
    </mc:Choice>
  </mc:AlternateContent>
  <xr:revisionPtr revIDLastSave="0" documentId="13_ncr:1_{0A2C46C2-AF03-4953-AD49-0FD4488E9E91}" xr6:coauthVersionLast="46" xr6:coauthVersionMax="46" xr10:uidLastSave="{00000000-0000-0000-0000-000000000000}"/>
  <bookViews>
    <workbookView xWindow="1290" yWindow="945" windowWidth="12300" windowHeight="736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8" i="1" l="1"/>
  <c r="L18" i="1"/>
  <c r="K18" i="1"/>
  <c r="A18" i="1"/>
  <c r="B18" i="1" s="1"/>
  <c r="C18" i="1" s="1"/>
  <c r="K17" i="1"/>
  <c r="L17" i="1"/>
  <c r="M17" i="1"/>
  <c r="M16" i="1"/>
  <c r="L16" i="1"/>
  <c r="K16" i="1"/>
  <c r="K15" i="1"/>
  <c r="L15" i="1"/>
  <c r="M15" i="1"/>
  <c r="M14" i="1"/>
  <c r="L14" i="1"/>
  <c r="K14" i="1"/>
  <c r="K13" i="1"/>
  <c r="L13" i="1"/>
  <c r="M13" i="1"/>
  <c r="M12" i="1"/>
  <c r="L12" i="1"/>
  <c r="K12" i="1"/>
  <c r="K11" i="1" l="1"/>
  <c r="L11" i="1"/>
  <c r="M11" i="1"/>
  <c r="M10" i="1"/>
  <c r="L10" i="1"/>
  <c r="K10" i="1"/>
  <c r="K9" i="1"/>
  <c r="L9" i="1"/>
  <c r="M9" i="1"/>
  <c r="M8" i="1"/>
  <c r="L8" i="1"/>
  <c r="K8" i="1"/>
  <c r="K7" i="1"/>
  <c r="L7" i="1"/>
  <c r="M7" i="1"/>
  <c r="M6" i="1"/>
  <c r="L6" i="1"/>
  <c r="K6" i="1"/>
  <c r="M5" i="1"/>
  <c r="L5" i="1"/>
  <c r="K5" i="1"/>
  <c r="M4" i="1"/>
  <c r="L4" i="1"/>
  <c r="K4" i="1"/>
  <c r="M3" i="1"/>
  <c r="L3" i="1"/>
  <c r="K3" i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P10" i="1"/>
  <c r="B11" i="1"/>
  <c r="C11" i="1" s="1"/>
  <c r="A12" i="1"/>
  <c r="A13" i="1" s="1"/>
  <c r="A14" i="1" s="1"/>
  <c r="A15" i="1" s="1"/>
  <c r="A16" i="1" s="1"/>
  <c r="A17" i="1" s="1"/>
  <c r="B17" i="1" s="1"/>
  <c r="C17" i="1" s="1"/>
  <c r="B13" i="1" l="1"/>
  <c r="C13" i="1" s="1"/>
  <c r="B15" i="1"/>
  <c r="C15" i="1" s="1"/>
  <c r="B14" i="1"/>
  <c r="C14" i="1" s="1"/>
  <c r="B16" i="1"/>
  <c r="C16" i="1" s="1"/>
  <c r="C12" i="1"/>
  <c r="D12" i="1"/>
</calcChain>
</file>

<file path=xl/sharedStrings.xml><?xml version="1.0" encoding="utf-8"?>
<sst xmlns="http://schemas.openxmlformats.org/spreadsheetml/2006/main" count="25" uniqueCount="23">
  <si>
    <t>Size</t>
  </si>
  <si>
    <t>Test Size</t>
  </si>
  <si>
    <t>Size - NAs</t>
  </si>
  <si>
    <t>RF 1</t>
  </si>
  <si>
    <t>RF 2</t>
  </si>
  <si>
    <t>RF 3</t>
  </si>
  <si>
    <t>SVM</t>
  </si>
  <si>
    <t>Notes</t>
  </si>
  <si>
    <t>RF 3 - tuned for mtry = 9 and various mtree values</t>
  </si>
  <si>
    <t>RF 2 - tuned for mtry = 9</t>
  </si>
  <si>
    <t>RF 1 - plain vanilla Random Forest with no tuning.</t>
  </si>
  <si>
    <t>NAs</t>
  </si>
  <si>
    <t>%NAs</t>
  </si>
  <si>
    <t>SVM 1 - linear, gamma = 0.05, cost = 6</t>
  </si>
  <si>
    <t>SVM 2 - radial, gamma = 0.005, cost = 1</t>
  </si>
  <si>
    <t>SVM 3 - NOT EXECUTED - polynomial, could not even execute at size 400.</t>
  </si>
  <si>
    <t>SVM 1</t>
  </si>
  <si>
    <t>SVM 2</t>
  </si>
  <si>
    <t>DT</t>
  </si>
  <si>
    <t>Accuracies</t>
  </si>
  <si>
    <t>Times (Minutes)</t>
  </si>
  <si>
    <t>RF</t>
  </si>
  <si>
    <t>Var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</si>
</sst>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2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2" fontId="0" fillId="0" borderId="10" xfId="0" applyNumberFormat="1" applyBorder="1"/>
    <xf numFmtId="0" fontId="1" fillId="0" borderId="0" xfId="0" applyFont="1"/>
    <xf numFmtId="10" fontId="0" fillId="0" borderId="10" xfId="0" applyNumberFormat="1" applyBorder="1"/>
    <xf numFmtId="164" fontId="0" fillId="0" borderId="10" xfId="0" applyNumberFormat="1" applyBorder="1"/>
    <xf numFmtId="164" fontId="0" fillId="0" borderId="9" xfId="0" applyNumberFormat="1" applyBorder="1"/>
    <xf numFmtId="10" fontId="0" fillId="0" borderId="9" xfId="0" applyNumberFormat="1" applyBorder="1"/>
    <xf numFmtId="2" fontId="0" fillId="2" borderId="1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26"/>
  <sheetViews>
    <sheetView tabSelected="1" topLeftCell="A13" workbookViewId="0">
      <selection activeCell="A19" sqref="A19"/>
    </sheetView>
  </sheetViews>
  <sheetFormatPr defaultRowHeight="15" x14ac:dyDescent="0.25"/>
  <cols>
    <col min="4" max="4" width="10.28515625" customWidth="1"/>
    <col min="8" max="8" width="10.85546875" customWidth="1"/>
    <col min="13" max="13" width="10.42578125" customWidth="1"/>
    <col min="14" max="14" width="8" customWidth="1"/>
  </cols>
  <sheetData>
    <row r="1" spans="1:55" x14ac:dyDescent="0.25">
      <c r="A1" s="4" t="s">
        <v>0</v>
      </c>
      <c r="B1" s="4" t="s">
        <v>11</v>
      </c>
      <c r="C1" s="4" t="s">
        <v>12</v>
      </c>
      <c r="D1" s="5" t="s">
        <v>1</v>
      </c>
      <c r="E1" s="5" t="s">
        <v>19</v>
      </c>
      <c r="F1" s="6"/>
      <c r="G1" s="6"/>
      <c r="H1" s="6"/>
      <c r="I1" s="6"/>
      <c r="J1" s="7"/>
      <c r="K1" s="5" t="s">
        <v>20</v>
      </c>
      <c r="L1" s="6"/>
      <c r="M1" s="7"/>
      <c r="N1" s="4" t="s">
        <v>6</v>
      </c>
    </row>
    <row r="2" spans="1:55" ht="15.75" thickBot="1" x14ac:dyDescent="0.3">
      <c r="A2" s="8"/>
      <c r="B2" s="8"/>
      <c r="C2" s="8"/>
      <c r="D2" s="9" t="s">
        <v>2</v>
      </c>
      <c r="E2" s="9" t="s">
        <v>3</v>
      </c>
      <c r="F2" s="10" t="s">
        <v>4</v>
      </c>
      <c r="G2" s="10" t="s">
        <v>5</v>
      </c>
      <c r="H2" s="10" t="s">
        <v>16</v>
      </c>
      <c r="I2" s="10" t="s">
        <v>17</v>
      </c>
      <c r="J2" s="11" t="s">
        <v>18</v>
      </c>
      <c r="K2" s="9" t="s">
        <v>21</v>
      </c>
      <c r="L2" s="10" t="s">
        <v>6</v>
      </c>
      <c r="M2" s="11" t="s">
        <v>18</v>
      </c>
      <c r="N2" s="8" t="s">
        <v>22</v>
      </c>
    </row>
    <row r="3" spans="1:55" s="2" customFormat="1" x14ac:dyDescent="0.25">
      <c r="A3" s="3">
        <v>400</v>
      </c>
      <c r="B3" s="2">
        <f t="shared" ref="B3:B11" si="0">A3-D3</f>
        <v>90</v>
      </c>
      <c r="C3" s="14">
        <f t="shared" ref="C3:C17" si="1">B3/A3</f>
        <v>0.22500000000000001</v>
      </c>
      <c r="D3" s="3">
        <v>310</v>
      </c>
      <c r="E3" s="15">
        <v>0.89500000000000002</v>
      </c>
      <c r="F3" s="15">
        <v>0.89500000000000002</v>
      </c>
      <c r="G3" s="15">
        <v>0.89500000000000002</v>
      </c>
      <c r="H3" s="15">
        <v>0.83299999999999996</v>
      </c>
      <c r="I3" s="15">
        <v>0.97399999999999998</v>
      </c>
      <c r="J3" s="16">
        <v>0.89700000000000002</v>
      </c>
      <c r="K3" s="12">
        <f>3.81/60</f>
        <v>6.3500000000000001E-2</v>
      </c>
      <c r="L3" s="12">
        <f>0.98/60</f>
        <v>1.6333333333333332E-2</v>
      </c>
      <c r="M3" s="18">
        <f>0.53/60</f>
        <v>8.8333333333333337E-3</v>
      </c>
      <c r="N3" s="3">
        <v>54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 s="2" customFormat="1" x14ac:dyDescent="0.25">
      <c r="A4" s="2">
        <v>800</v>
      </c>
      <c r="B4" s="2">
        <f t="shared" si="0"/>
        <v>232</v>
      </c>
      <c r="C4" s="14">
        <f t="shared" si="1"/>
        <v>0.28999999999999998</v>
      </c>
      <c r="D4" s="2">
        <v>568</v>
      </c>
      <c r="E4" s="16">
        <v>0.96499999999999997</v>
      </c>
      <c r="F4" s="16">
        <v>0.97199999999999998</v>
      </c>
      <c r="G4" s="16">
        <v>0.96499999999999997</v>
      </c>
      <c r="H4" s="16">
        <v>0.48599999999999999</v>
      </c>
      <c r="I4" s="16">
        <v>0.95099999999999996</v>
      </c>
      <c r="J4" s="16">
        <v>0.94399999999999995</v>
      </c>
      <c r="K4" s="12">
        <f>3.14/60</f>
        <v>5.2333333333333336E-2</v>
      </c>
      <c r="L4" s="12">
        <f>0.89/60</f>
        <v>1.4833333333333334E-2</v>
      </c>
      <c r="M4" s="18">
        <f>0.56/60</f>
        <v>9.3333333333333341E-3</v>
      </c>
      <c r="N4" s="2">
        <v>65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 s="2" customFormat="1" x14ac:dyDescent="0.25">
      <c r="A5" s="2">
        <v>1600</v>
      </c>
      <c r="B5" s="2">
        <f t="shared" si="0"/>
        <v>433</v>
      </c>
      <c r="C5" s="14">
        <f t="shared" si="1"/>
        <v>0.270625</v>
      </c>
      <c r="D5" s="2">
        <v>1167</v>
      </c>
      <c r="E5" s="16">
        <v>0.94499999999999995</v>
      </c>
      <c r="F5" s="16">
        <v>0.94199999999999995</v>
      </c>
      <c r="G5" s="16">
        <v>0.94199999999999995</v>
      </c>
      <c r="H5" s="16">
        <v>0.753</v>
      </c>
      <c r="I5" s="16">
        <v>0.92900000000000005</v>
      </c>
      <c r="J5" s="16">
        <v>0.94899999999999995</v>
      </c>
      <c r="K5" s="12">
        <f>4/60</f>
        <v>6.6666666666666666E-2</v>
      </c>
      <c r="L5" s="12">
        <f>1.12/60</f>
        <v>1.8666666666666668E-2</v>
      </c>
      <c r="M5" s="18">
        <f>0.58/60</f>
        <v>9.6666666666666654E-3</v>
      </c>
      <c r="N5" s="2">
        <v>70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 s="2" customFormat="1" x14ac:dyDescent="0.25">
      <c r="A6" s="2">
        <v>3200</v>
      </c>
      <c r="B6" s="2">
        <f t="shared" si="0"/>
        <v>853</v>
      </c>
      <c r="C6" s="14">
        <f t="shared" si="1"/>
        <v>0.26656249999999998</v>
      </c>
      <c r="D6" s="2">
        <v>2347</v>
      </c>
      <c r="E6" s="16">
        <v>0.94199999999999995</v>
      </c>
      <c r="F6" s="16">
        <v>0.94399999999999995</v>
      </c>
      <c r="G6" s="16">
        <v>0.94499999999999995</v>
      </c>
      <c r="H6" s="16">
        <v>0.49399999999999999</v>
      </c>
      <c r="I6" s="16">
        <v>0.93700000000000006</v>
      </c>
      <c r="J6" s="16">
        <v>0.94199999999999995</v>
      </c>
      <c r="K6" s="12">
        <f>5.92/60</f>
        <v>9.8666666666666666E-2</v>
      </c>
      <c r="L6" s="12">
        <f>21.87/60</f>
        <v>0.36449999999999999</v>
      </c>
      <c r="M6" s="18">
        <f>0.66/60</f>
        <v>1.1000000000000001E-2</v>
      </c>
      <c r="N6" s="2">
        <v>75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 s="2" customFormat="1" x14ac:dyDescent="0.25">
      <c r="A7" s="2">
        <v>6400</v>
      </c>
      <c r="B7" s="2">
        <f t="shared" si="0"/>
        <v>1709</v>
      </c>
      <c r="C7" s="14">
        <f t="shared" si="1"/>
        <v>0.26703125</v>
      </c>
      <c r="D7" s="2">
        <v>4691</v>
      </c>
      <c r="E7" s="16">
        <v>0.95</v>
      </c>
      <c r="F7" s="16">
        <v>0.94499999999999995</v>
      </c>
      <c r="G7" s="16">
        <v>0.94599999999999995</v>
      </c>
      <c r="H7" s="16">
        <v>0.60399999999999998</v>
      </c>
      <c r="I7" s="16">
        <v>0.95499999999999996</v>
      </c>
      <c r="J7" s="16">
        <v>0.92400000000000004</v>
      </c>
      <c r="K7" s="12">
        <f>9.65/60</f>
        <v>0.16083333333333333</v>
      </c>
      <c r="L7" s="12">
        <f>3.69/60</f>
        <v>6.1499999999999999E-2</v>
      </c>
      <c r="M7" s="18">
        <f>0.83/60</f>
        <v>1.3833333333333333E-2</v>
      </c>
      <c r="N7" s="2">
        <v>77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 s="2" customFormat="1" x14ac:dyDescent="0.25">
      <c r="A8" s="2">
        <v>12800</v>
      </c>
      <c r="B8" s="2">
        <f t="shared" si="0"/>
        <v>3597</v>
      </c>
      <c r="C8" s="14">
        <f t="shared" si="1"/>
        <v>0.28101562499999999</v>
      </c>
      <c r="D8" s="2">
        <v>9203</v>
      </c>
      <c r="E8" s="16">
        <v>0.94499999999999995</v>
      </c>
      <c r="F8" s="16">
        <v>0.94099999999999995</v>
      </c>
      <c r="G8" s="16">
        <v>0.94199999999999995</v>
      </c>
      <c r="H8" s="16">
        <v>0.48299999999999998</v>
      </c>
      <c r="I8" s="16">
        <v>0.93</v>
      </c>
      <c r="J8" s="16">
        <v>0.92</v>
      </c>
      <c r="K8" s="12">
        <f>16.11/60</f>
        <v>0.26850000000000002</v>
      </c>
      <c r="L8" s="12">
        <f>18.26/60</f>
        <v>0.30433333333333334</v>
      </c>
      <c r="M8" s="18">
        <f>1.25/60</f>
        <v>2.0833333333333332E-2</v>
      </c>
      <c r="N8" s="2">
        <v>91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s="2" customFormat="1" x14ac:dyDescent="0.25">
      <c r="A9" s="2">
        <v>25600</v>
      </c>
      <c r="B9" s="2">
        <f t="shared" si="0"/>
        <v>7461</v>
      </c>
      <c r="C9" s="14">
        <f t="shared" si="1"/>
        <v>0.2914453125</v>
      </c>
      <c r="D9" s="2">
        <v>18139</v>
      </c>
      <c r="E9" s="16">
        <v>0.94399999999999995</v>
      </c>
      <c r="F9" s="16">
        <v>0.95099999999999996</v>
      </c>
      <c r="G9" s="16">
        <v>0.95099999999999996</v>
      </c>
      <c r="H9" s="16">
        <v>0.54500000000000004</v>
      </c>
      <c r="I9" s="16">
        <v>0.92400000000000004</v>
      </c>
      <c r="J9" s="16">
        <v>0.92400000000000004</v>
      </c>
      <c r="K9" s="12">
        <f>30.3/60</f>
        <v>0.505</v>
      </c>
      <c r="L9" s="12">
        <f>48.36/60</f>
        <v>0.80599999999999994</v>
      </c>
      <c r="M9" s="18">
        <f>1.97/60</f>
        <v>3.2833333333333332E-2</v>
      </c>
      <c r="N9" s="2">
        <v>102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 s="2" customFormat="1" x14ac:dyDescent="0.25">
      <c r="A10" s="2">
        <v>65000</v>
      </c>
      <c r="B10" s="2">
        <f t="shared" si="0"/>
        <v>18047</v>
      </c>
      <c r="C10" s="14">
        <f t="shared" si="1"/>
        <v>0.27764615384615382</v>
      </c>
      <c r="D10" s="2">
        <v>46953</v>
      </c>
      <c r="E10" s="16">
        <v>0.94199999999999995</v>
      </c>
      <c r="F10" s="16">
        <v>0.95299999999999996</v>
      </c>
      <c r="G10" s="16">
        <v>0.95299999999999996</v>
      </c>
      <c r="H10" s="16">
        <v>0.57999999999999996</v>
      </c>
      <c r="I10" s="16">
        <v>0.92600000000000005</v>
      </c>
      <c r="J10" s="16">
        <v>0.93</v>
      </c>
      <c r="K10" s="12">
        <f>83.86/60</f>
        <v>1.3976666666666666</v>
      </c>
      <c r="L10" s="12">
        <f>319.98/60</f>
        <v>5.3330000000000002</v>
      </c>
      <c r="M10" s="18">
        <f>5.16/60</f>
        <v>8.6000000000000007E-2</v>
      </c>
      <c r="N10" s="2">
        <v>110</v>
      </c>
      <c r="O10" s="1"/>
      <c r="P10" s="1">
        <f>195000*0.3</f>
        <v>58500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 s="2" customFormat="1" x14ac:dyDescent="0.25">
      <c r="A11" s="2">
        <v>130000</v>
      </c>
      <c r="B11" s="2">
        <f t="shared" si="0"/>
        <v>37958</v>
      </c>
      <c r="C11" s="14">
        <f t="shared" si="1"/>
        <v>0.2919846153846154</v>
      </c>
      <c r="D11" s="2">
        <v>92042</v>
      </c>
      <c r="E11" s="16">
        <v>0.94099999999999995</v>
      </c>
      <c r="F11" s="16">
        <v>0.94799999999999995</v>
      </c>
      <c r="G11" s="16">
        <v>0.94799999999999995</v>
      </c>
      <c r="H11" s="16">
        <v>0.56999999999999995</v>
      </c>
      <c r="I11" s="16">
        <v>0.91700000000000004</v>
      </c>
      <c r="J11" s="16">
        <v>0.91</v>
      </c>
      <c r="K11" s="12">
        <f>182.24/60</f>
        <v>3.0373333333333337</v>
      </c>
      <c r="L11" s="12">
        <f>2143.99/60</f>
        <v>35.733166666666662</v>
      </c>
      <c r="M11" s="18">
        <f>9.99/60</f>
        <v>0.16650000000000001</v>
      </c>
      <c r="N11" s="2">
        <v>117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 s="2" customFormat="1" x14ac:dyDescent="0.25">
      <c r="A12" s="2">
        <f t="shared" ref="A12:A18" si="2">A11+65000</f>
        <v>195000</v>
      </c>
      <c r="B12" s="2">
        <v>58456</v>
      </c>
      <c r="C12" s="14">
        <f t="shared" si="1"/>
        <v>0.299774358974359</v>
      </c>
      <c r="D12" s="2">
        <f>A12-B12</f>
        <v>136544</v>
      </c>
      <c r="E12" s="16">
        <v>0.93100000000000005</v>
      </c>
      <c r="F12" s="16">
        <v>0.94599999999999995</v>
      </c>
      <c r="G12" s="16">
        <v>0.94599999999999995</v>
      </c>
      <c r="H12" s="16">
        <v>0.59</v>
      </c>
      <c r="I12" s="16">
        <v>0.91500000000000004</v>
      </c>
      <c r="J12" s="16">
        <v>0.9</v>
      </c>
      <c r="K12" s="12">
        <f>330.43/60</f>
        <v>5.5071666666666665</v>
      </c>
      <c r="L12" s="12">
        <f>5087.87/60</f>
        <v>84.79783333333333</v>
      </c>
      <c r="M12" s="18">
        <f>16.7/60</f>
        <v>0.27833333333333332</v>
      </c>
      <c r="N12" s="2">
        <v>123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 s="2" customFormat="1" x14ac:dyDescent="0.25">
      <c r="A13" s="2">
        <f t="shared" si="2"/>
        <v>260000</v>
      </c>
      <c r="B13" s="2">
        <f>A13-D13</f>
        <v>76303</v>
      </c>
      <c r="C13" s="17">
        <f t="shared" si="1"/>
        <v>0.29347307692307695</v>
      </c>
      <c r="D13" s="2">
        <v>183697</v>
      </c>
      <c r="E13" s="16">
        <v>0.92700000000000005</v>
      </c>
      <c r="F13" s="16">
        <v>0.94399999999999995</v>
      </c>
      <c r="G13" s="16">
        <v>0.94399999999999995</v>
      </c>
      <c r="H13" s="16">
        <v>0.51</v>
      </c>
      <c r="I13" s="16">
        <v>0.91</v>
      </c>
      <c r="J13" s="16">
        <v>0.89700000000000002</v>
      </c>
      <c r="K13" s="12">
        <f>522.28/60</f>
        <v>8.7046666666666663</v>
      </c>
      <c r="L13" s="12">
        <f>14093.59/60</f>
        <v>234.89316666666667</v>
      </c>
      <c r="M13" s="18">
        <f>22.37/60</f>
        <v>0.37283333333333335</v>
      </c>
      <c r="N13" s="2">
        <v>125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 s="2" customFormat="1" x14ac:dyDescent="0.25">
      <c r="A14" s="2">
        <f t="shared" si="2"/>
        <v>325000</v>
      </c>
      <c r="B14" s="2">
        <f>A14-D14</f>
        <v>95505</v>
      </c>
      <c r="C14" s="17">
        <f t="shared" si="1"/>
        <v>0.29386153846153845</v>
      </c>
      <c r="D14" s="2">
        <v>229495</v>
      </c>
      <c r="E14" s="16">
        <v>0.92300000000000004</v>
      </c>
      <c r="F14" s="16">
        <v>0.94</v>
      </c>
      <c r="G14" s="16">
        <v>0.94</v>
      </c>
      <c r="H14" s="16">
        <v>0.56999999999999995</v>
      </c>
      <c r="I14" s="16">
        <v>0.91200000000000003</v>
      </c>
      <c r="J14" s="16">
        <v>0.98899999999999999</v>
      </c>
      <c r="K14" s="12">
        <f>734.58/60</f>
        <v>12.243</v>
      </c>
      <c r="L14" s="12">
        <f>15406.02/60</f>
        <v>256.767</v>
      </c>
      <c r="M14" s="18">
        <f>28.26/60</f>
        <v>0.47100000000000003</v>
      </c>
      <c r="N14" s="2">
        <v>125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 s="2" customFormat="1" x14ac:dyDescent="0.25">
      <c r="A15" s="2">
        <f t="shared" si="2"/>
        <v>390000</v>
      </c>
      <c r="B15" s="2">
        <f>A15-D15</f>
        <v>113828</v>
      </c>
      <c r="C15" s="17">
        <f t="shared" si="1"/>
        <v>0.29186666666666666</v>
      </c>
      <c r="D15" s="2">
        <v>276172</v>
      </c>
      <c r="E15" s="16">
        <v>0.91800000000000004</v>
      </c>
      <c r="F15" s="16">
        <v>0.93600000000000005</v>
      </c>
      <c r="G15" s="16">
        <v>0.93600000000000005</v>
      </c>
      <c r="H15" s="16">
        <v>0.54900000000000004</v>
      </c>
      <c r="I15" s="16">
        <v>0.91</v>
      </c>
      <c r="J15" s="16">
        <v>0.879</v>
      </c>
      <c r="K15" s="12">
        <f>1017.62/60</f>
        <v>16.960333333333335</v>
      </c>
      <c r="L15" s="12">
        <f>21060.58/60</f>
        <v>351.0096666666667</v>
      </c>
      <c r="M15" s="18">
        <f>34.87/60</f>
        <v>0.58116666666666661</v>
      </c>
      <c r="N15" s="2">
        <v>128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 s="2" customFormat="1" x14ac:dyDescent="0.25">
      <c r="A16" s="2">
        <f t="shared" si="2"/>
        <v>455000</v>
      </c>
      <c r="B16" s="2">
        <f>A16-D16</f>
        <v>130985</v>
      </c>
      <c r="C16" s="17">
        <f t="shared" si="1"/>
        <v>0.28787912087912088</v>
      </c>
      <c r="D16" s="2">
        <v>324015</v>
      </c>
      <c r="E16" s="16">
        <v>0.91100000000000003</v>
      </c>
      <c r="F16" s="16">
        <v>0.93100000000000005</v>
      </c>
      <c r="G16" s="16">
        <v>0.93100000000000005</v>
      </c>
      <c r="H16" s="16">
        <v>0.53</v>
      </c>
      <c r="I16" s="16">
        <v>0.90900000000000003</v>
      </c>
      <c r="J16" s="16">
        <v>0.877</v>
      </c>
      <c r="K16" s="12">
        <f>1339.89/60</f>
        <v>22.331500000000002</v>
      </c>
      <c r="L16" s="12">
        <f>39843.97/60</f>
        <v>664.06616666666673</v>
      </c>
      <c r="M16" s="18">
        <f>47.47/60</f>
        <v>0.79116666666666668</v>
      </c>
      <c r="N16" s="2">
        <v>129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14" x14ac:dyDescent="0.25">
      <c r="A17" s="2">
        <f t="shared" si="2"/>
        <v>520000</v>
      </c>
      <c r="B17" s="2">
        <f>A17-D17</f>
        <v>148330</v>
      </c>
      <c r="C17" s="17">
        <f t="shared" si="1"/>
        <v>0.28525</v>
      </c>
      <c r="D17" s="2">
        <v>371670</v>
      </c>
      <c r="E17" s="16">
        <v>0.90800000000000003</v>
      </c>
      <c r="F17" s="16">
        <v>0.92700000000000005</v>
      </c>
      <c r="G17" s="16">
        <v>0.92700000000000005</v>
      </c>
      <c r="H17" s="16">
        <v>0.53500000000000003</v>
      </c>
      <c r="I17" s="16">
        <v>0.90900000000000003</v>
      </c>
      <c r="J17" s="16">
        <v>0.874</v>
      </c>
      <c r="K17" s="12">
        <f>1672.72/60</f>
        <v>27.878666666666668</v>
      </c>
      <c r="L17" s="12">
        <f>33395.93/60</f>
        <v>556.59883333333335</v>
      </c>
      <c r="M17" s="18">
        <f>51.26/60</f>
        <v>0.85433333333333328</v>
      </c>
      <c r="N17" s="2">
        <v>130</v>
      </c>
    </row>
    <row r="18" spans="1:14" x14ac:dyDescent="0.25">
      <c r="A18" s="2">
        <f t="shared" si="2"/>
        <v>585000</v>
      </c>
      <c r="B18" s="2">
        <f>A18-D18</f>
        <v>168151</v>
      </c>
      <c r="C18" s="17">
        <f t="shared" ref="C18" si="3">B18/A18</f>
        <v>0.28743760683760683</v>
      </c>
      <c r="D18" s="2">
        <v>416849</v>
      </c>
      <c r="E18" s="16">
        <v>0.90300000000000002</v>
      </c>
      <c r="F18" s="16">
        <v>0.92200000000000004</v>
      </c>
      <c r="G18" s="16">
        <v>0.92300000000000004</v>
      </c>
      <c r="H18" s="16">
        <v>0.52500000000000002</v>
      </c>
      <c r="I18" s="16">
        <v>0.90800000000000003</v>
      </c>
      <c r="J18" s="16">
        <v>0.86899999999999999</v>
      </c>
      <c r="K18" s="12">
        <f>2024.97/60</f>
        <v>33.749499999999998</v>
      </c>
      <c r="L18" s="12">
        <f>61748.06/60</f>
        <v>1029.1343333333332</v>
      </c>
      <c r="M18" s="18">
        <f>60.24/60</f>
        <v>1.004</v>
      </c>
      <c r="N18" s="2">
        <v>131</v>
      </c>
    </row>
    <row r="19" spans="1:14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25">
      <c r="A20" s="13" t="s">
        <v>7</v>
      </c>
    </row>
    <row r="21" spans="1:14" x14ac:dyDescent="0.25">
      <c r="A21" t="s">
        <v>10</v>
      </c>
    </row>
    <row r="22" spans="1:14" x14ac:dyDescent="0.25">
      <c r="A22" t="s">
        <v>9</v>
      </c>
    </row>
    <row r="23" spans="1:14" x14ac:dyDescent="0.25">
      <c r="A23" t="s">
        <v>8</v>
      </c>
    </row>
    <row r="24" spans="1:14" x14ac:dyDescent="0.25">
      <c r="A24" t="s">
        <v>13</v>
      </c>
    </row>
    <row r="25" spans="1:14" x14ac:dyDescent="0.25">
      <c r="A25" t="s">
        <v>14</v>
      </c>
    </row>
    <row r="26" spans="1:14" x14ac:dyDescent="0.25">
      <c r="A26" t="s">
        <v>15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RFUSER</dc:creator>
  <cp:lastModifiedBy>RFUSER</cp:lastModifiedBy>
  <dcterms:created xsi:type="dcterms:W3CDTF">2015-06-05T18:17:20Z</dcterms:created>
  <dcterms:modified xsi:type="dcterms:W3CDTF">2021-05-13T18:35:21Z</dcterms:modified>
</cp:coreProperties>
</file>