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hula-my.sharepoint.com/personal/6541154826_student_chula_ac_th/Documents/"/>
    </mc:Choice>
  </mc:AlternateContent>
  <xr:revisionPtr revIDLastSave="0" documentId="8_{EAA7FD55-6F42-46EA-A8B0-2B27F68B5AAB}" xr6:coauthVersionLast="47" xr6:coauthVersionMax="47" xr10:uidLastSave="{00000000-0000-0000-0000-000000000000}"/>
  <bookViews>
    <workbookView xWindow="290" yWindow="520" windowWidth="18450" windowHeight="9730" activeTab="5" xr2:uid="{C69D53D8-6D45-4926-9918-D87EE23CEAB7}"/>
  </bookViews>
  <sheets>
    <sheet name="Statement&gt;&gt;&gt;" sheetId="16" r:id="rId1"/>
    <sheet name="BL" sheetId="2" r:id="rId2"/>
    <sheet name="CF" sheetId="3" r:id="rId3"/>
    <sheet name="PL" sheetId="1" r:id="rId4"/>
    <sheet name="Valuation&amp;Analysis&gt;&gt;&gt;" sheetId="17" r:id="rId5"/>
    <sheet name="Ratio" sheetId="12" r:id="rId6"/>
    <sheet name="Valuation" sheetId="13" r:id="rId7"/>
    <sheet name="WACC" sheetId="11" r:id="rId8"/>
    <sheet name="Comparable-PE" sheetId="15" r:id="rId9"/>
  </sheets>
  <externalReferences>
    <externalReference r:id="rId10"/>
  </externalReferences>
  <definedNames>
    <definedName name="_xlnm.Print_Area" localSheetId="1">BL!$A$1:$O$99</definedName>
    <definedName name="_xlnm.Print_Area" localSheetId="2">CF!$A$1:$O$154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1" i="2" l="1"/>
  <c r="I115" i="13"/>
  <c r="H115" i="13"/>
  <c r="G115" i="13"/>
  <c r="F115" i="13"/>
  <c r="I108" i="13"/>
  <c r="H108" i="13"/>
  <c r="G108" i="13"/>
  <c r="F108" i="13"/>
  <c r="E7" i="12"/>
  <c r="N20" i="11"/>
  <c r="N19" i="11"/>
  <c r="N18" i="11"/>
  <c r="N17" i="11"/>
  <c r="N16" i="11"/>
  <c r="N15" i="11"/>
  <c r="I13" i="11"/>
  <c r="N14" i="11"/>
  <c r="N13" i="11"/>
  <c r="J10" i="11"/>
  <c r="H30" i="12"/>
  <c r="G30" i="12"/>
  <c r="F30" i="12"/>
  <c r="E30" i="12"/>
  <c r="E40" i="12"/>
  <c r="E20" i="12"/>
  <c r="P8" i="15"/>
  <c r="Q8" i="15" s="1"/>
  <c r="R8" i="15" s="1"/>
  <c r="S8" i="15" s="1"/>
  <c r="O9" i="15"/>
  <c r="O13" i="15" s="1"/>
  <c r="P9" i="15"/>
  <c r="Q9" i="15"/>
  <c r="R9" i="15"/>
  <c r="S9" i="15"/>
  <c r="M15" i="15"/>
  <c r="M16" i="15"/>
  <c r="M17" i="15"/>
  <c r="I19" i="15"/>
  <c r="N15" i="15" s="1"/>
  <c r="I20" i="15"/>
  <c r="N16" i="15" s="1"/>
  <c r="I21" i="15"/>
  <c r="I22" i="15"/>
  <c r="N17" i="15" s="1"/>
  <c r="O17" i="15" l="1"/>
  <c r="O16" i="15"/>
  <c r="O15" i="15"/>
  <c r="H17" i="12" l="1"/>
  <c r="G17" i="12"/>
  <c r="F17" i="12"/>
  <c r="E17" i="12"/>
  <c r="F7" i="12"/>
  <c r="G7" i="12"/>
  <c r="H7" i="12"/>
  <c r="F35" i="12"/>
  <c r="G35" i="12" s="1"/>
  <c r="H35" i="12" s="1"/>
  <c r="F27" i="12"/>
  <c r="G27" i="12" s="1"/>
  <c r="H27" i="12" s="1"/>
  <c r="F15" i="12"/>
  <c r="G15" i="12" s="1"/>
  <c r="H15" i="12" s="1"/>
  <c r="F10" i="12"/>
  <c r="G10" i="12" s="1"/>
  <c r="H10" i="12" s="1"/>
  <c r="G102" i="13"/>
  <c r="H102" i="13" s="1"/>
  <c r="I102" i="13" s="1"/>
  <c r="J102" i="13" s="1"/>
  <c r="K102" i="13" s="1"/>
  <c r="L102" i="13" s="1"/>
  <c r="M102" i="13" s="1"/>
  <c r="N102" i="13" s="1"/>
  <c r="U213" i="13"/>
  <c r="S213" i="13"/>
  <c r="R213" i="13"/>
  <c r="R212" i="13"/>
  <c r="U211" i="13"/>
  <c r="S211" i="13"/>
  <c r="R211" i="13"/>
  <c r="U206" i="13"/>
  <c r="U212" i="13" s="1"/>
  <c r="S206" i="13"/>
  <c r="T205" i="13"/>
  <c r="T213" i="13" s="1"/>
  <c r="T204" i="13"/>
  <c r="T211" i="13" s="1"/>
  <c r="J197" i="13"/>
  <c r="K197" i="13" s="1"/>
  <c r="L197" i="13" s="1"/>
  <c r="M197" i="13" s="1"/>
  <c r="P190" i="13"/>
  <c r="H190" i="13"/>
  <c r="H191" i="13" s="1"/>
  <c r="H192" i="13" s="1"/>
  <c r="H193" i="13" s="1"/>
  <c r="P189" i="13"/>
  <c r="P188" i="13"/>
  <c r="J188" i="13"/>
  <c r="K188" i="13" s="1"/>
  <c r="L188" i="13" s="1"/>
  <c r="M188" i="13" s="1"/>
  <c r="J179" i="13"/>
  <c r="J173" i="13"/>
  <c r="K165" i="13"/>
  <c r="L165" i="13" s="1"/>
  <c r="M165" i="13" s="1"/>
  <c r="H162" i="13"/>
  <c r="H160" i="13"/>
  <c r="E138" i="13"/>
  <c r="I113" i="13"/>
  <c r="H113" i="13"/>
  <c r="G113" i="13"/>
  <c r="F113" i="13"/>
  <c r="I96" i="13"/>
  <c r="I111" i="13" s="1"/>
  <c r="H96" i="13"/>
  <c r="H111" i="13" s="1"/>
  <c r="G96" i="13"/>
  <c r="G111" i="13" s="1"/>
  <c r="F96" i="13"/>
  <c r="F111" i="13" s="1"/>
  <c r="I93" i="13"/>
  <c r="J93" i="13" s="1"/>
  <c r="K93" i="13" s="1"/>
  <c r="L93" i="13" s="1"/>
  <c r="M93" i="13" s="1"/>
  <c r="N93" i="13" s="1"/>
  <c r="H93" i="13"/>
  <c r="G93" i="13"/>
  <c r="F93" i="13"/>
  <c r="I92" i="13"/>
  <c r="J92" i="13" s="1"/>
  <c r="H92" i="13"/>
  <c r="G92" i="13"/>
  <c r="F92" i="13"/>
  <c r="I85" i="13"/>
  <c r="H85" i="13"/>
  <c r="G85" i="13"/>
  <c r="F85" i="13"/>
  <c r="I84" i="13"/>
  <c r="H84" i="13"/>
  <c r="G84" i="13"/>
  <c r="F84" i="13"/>
  <c r="I81" i="13"/>
  <c r="I106" i="13" s="1"/>
  <c r="H81" i="13"/>
  <c r="G81" i="13"/>
  <c r="G106" i="13" s="1"/>
  <c r="F81" i="13"/>
  <c r="F106" i="13" s="1"/>
  <c r="I79" i="13"/>
  <c r="H79" i="13"/>
  <c r="G79" i="13"/>
  <c r="F79" i="13"/>
  <c r="I78" i="13"/>
  <c r="H78" i="13"/>
  <c r="G78" i="13"/>
  <c r="F78" i="13"/>
  <c r="I75" i="13"/>
  <c r="J75" i="13" s="1"/>
  <c r="H75" i="13"/>
  <c r="G75" i="13"/>
  <c r="F75" i="13"/>
  <c r="I74" i="13"/>
  <c r="H74" i="13"/>
  <c r="G74" i="13"/>
  <c r="F74" i="13"/>
  <c r="K67" i="13"/>
  <c r="L67" i="13" s="1"/>
  <c r="M67" i="13" s="1"/>
  <c r="N67" i="13" s="1"/>
  <c r="F61" i="13"/>
  <c r="G58" i="13" s="1"/>
  <c r="I60" i="13"/>
  <c r="I138" i="13" s="1"/>
  <c r="H60" i="13"/>
  <c r="H138" i="13" s="1"/>
  <c r="G60" i="13"/>
  <c r="G138" i="13" s="1"/>
  <c r="F60" i="13"/>
  <c r="I59" i="13"/>
  <c r="I134" i="13" s="1"/>
  <c r="H59" i="13"/>
  <c r="H134" i="13" s="1"/>
  <c r="G59" i="13"/>
  <c r="G134" i="13" s="1"/>
  <c r="F59" i="13"/>
  <c r="F134" i="13" s="1"/>
  <c r="I50" i="13"/>
  <c r="I148" i="13" s="1"/>
  <c r="H50" i="13"/>
  <c r="G50" i="13"/>
  <c r="F50" i="13"/>
  <c r="I46" i="13"/>
  <c r="H46" i="13"/>
  <c r="G46" i="13"/>
  <c r="F46" i="13"/>
  <c r="I38" i="13"/>
  <c r="I146" i="13" s="1"/>
  <c r="H38" i="13"/>
  <c r="G38" i="13"/>
  <c r="F38" i="13"/>
  <c r="I34" i="13"/>
  <c r="I142" i="13" s="1"/>
  <c r="H34" i="13"/>
  <c r="G34" i="13"/>
  <c r="F34" i="13"/>
  <c r="I30" i="13"/>
  <c r="H30" i="13"/>
  <c r="G30" i="13"/>
  <c r="F30" i="13"/>
  <c r="I26" i="13"/>
  <c r="H26" i="13"/>
  <c r="G26" i="13"/>
  <c r="F26" i="13"/>
  <c r="G15" i="13"/>
  <c r="K9" i="13"/>
  <c r="L9" i="13" s="1"/>
  <c r="M9" i="13" s="1"/>
  <c r="N9" i="13" s="1"/>
  <c r="M7" i="13"/>
  <c r="N7" i="13" s="1"/>
  <c r="K7" i="13"/>
  <c r="G3" i="13"/>
  <c r="H3" i="13" s="1"/>
  <c r="F2" i="13"/>
  <c r="H7" i="13" l="1"/>
  <c r="G73" i="13"/>
  <c r="G103" i="13" s="1"/>
  <c r="G91" i="13"/>
  <c r="G110" i="13" s="1"/>
  <c r="I9" i="13"/>
  <c r="I13" i="13"/>
  <c r="F15" i="13"/>
  <c r="G77" i="13"/>
  <c r="G104" i="13" s="1"/>
  <c r="G105" i="13" s="1"/>
  <c r="F91" i="13"/>
  <c r="F110" i="13" s="1"/>
  <c r="H15" i="13"/>
  <c r="H83" i="13"/>
  <c r="H107" i="13" s="1"/>
  <c r="F73" i="13"/>
  <c r="F103" i="13" s="1"/>
  <c r="F77" i="13"/>
  <c r="F39" i="13" s="1"/>
  <c r="G7" i="13"/>
  <c r="H77" i="13"/>
  <c r="H104" i="13" s="1"/>
  <c r="I73" i="13"/>
  <c r="I65" i="13" s="1"/>
  <c r="H9" i="13"/>
  <c r="F13" i="13"/>
  <c r="G27" i="13"/>
  <c r="I7" i="13"/>
  <c r="H13" i="13"/>
  <c r="H42" i="13"/>
  <c r="G9" i="13"/>
  <c r="G19" i="13"/>
  <c r="G13" i="13"/>
  <c r="I42" i="13"/>
  <c r="I144" i="13" s="1"/>
  <c r="F83" i="13"/>
  <c r="F86" i="13" s="1"/>
  <c r="I91" i="13"/>
  <c r="I110" i="13" s="1"/>
  <c r="T206" i="13"/>
  <c r="T212" i="13" s="1"/>
  <c r="J74" i="13"/>
  <c r="J73" i="13" s="1"/>
  <c r="H91" i="13"/>
  <c r="H110" i="13" s="1"/>
  <c r="H73" i="13"/>
  <c r="H47" i="13" s="1"/>
  <c r="G83" i="13"/>
  <c r="G107" i="13" s="1"/>
  <c r="G2" i="13"/>
  <c r="F35" i="13"/>
  <c r="H88" i="13"/>
  <c r="I83" i="13"/>
  <c r="G61" i="13"/>
  <c r="H58" i="13" s="1"/>
  <c r="H61" i="13" s="1"/>
  <c r="I58" i="13" s="1"/>
  <c r="I61" i="13" s="1"/>
  <c r="J58" i="13" s="1"/>
  <c r="I77" i="13"/>
  <c r="I104" i="13" s="1"/>
  <c r="N165" i="13"/>
  <c r="N169" i="13" s="1"/>
  <c r="M169" i="13"/>
  <c r="J91" i="13"/>
  <c r="J110" i="13" s="1"/>
  <c r="K92" i="13"/>
  <c r="K75" i="13"/>
  <c r="I3" i="13"/>
  <c r="H2" i="13"/>
  <c r="L169" i="13"/>
  <c r="J96" i="13"/>
  <c r="S212" i="13"/>
  <c r="F63" i="13"/>
  <c r="I143" i="13"/>
  <c r="I147" i="13"/>
  <c r="I149" i="13" s="1"/>
  <c r="H106" i="13"/>
  <c r="I15" i="13"/>
  <c r="I16" i="13" s="1"/>
  <c r="J79" i="13" s="1"/>
  <c r="F138" i="13"/>
  <c r="J169" i="13"/>
  <c r="F42" i="13"/>
  <c r="G42" i="13"/>
  <c r="G43" i="13" s="1"/>
  <c r="I141" i="13"/>
  <c r="K169" i="13"/>
  <c r="G35" i="13" l="1"/>
  <c r="I14" i="13"/>
  <c r="H43" i="13"/>
  <c r="G39" i="13"/>
  <c r="I22" i="13"/>
  <c r="G65" i="13"/>
  <c r="G31" i="13"/>
  <c r="G47" i="13"/>
  <c r="F88" i="13"/>
  <c r="G22" i="13"/>
  <c r="G51" i="13"/>
  <c r="F104" i="13"/>
  <c r="F105" i="13" s="1"/>
  <c r="F107" i="13"/>
  <c r="F47" i="13"/>
  <c r="F31" i="13"/>
  <c r="I10" i="13"/>
  <c r="I8" i="13"/>
  <c r="H63" i="13"/>
  <c r="I63" i="13"/>
  <c r="I31" i="13"/>
  <c r="F22" i="13"/>
  <c r="I103" i="13"/>
  <c r="I105" i="13" s="1"/>
  <c r="I120" i="13" s="1"/>
  <c r="F65" i="13"/>
  <c r="F51" i="13"/>
  <c r="I35" i="13"/>
  <c r="H22" i="13"/>
  <c r="I47" i="13"/>
  <c r="F27" i="13"/>
  <c r="I86" i="13"/>
  <c r="I51" i="13"/>
  <c r="H103" i="13"/>
  <c r="H105" i="13" s="1"/>
  <c r="H120" i="13" s="1"/>
  <c r="H39" i="13"/>
  <c r="F43" i="13"/>
  <c r="I19" i="13"/>
  <c r="H35" i="13"/>
  <c r="H31" i="13"/>
  <c r="H19" i="13"/>
  <c r="F19" i="13"/>
  <c r="I27" i="13"/>
  <c r="H51" i="13"/>
  <c r="H86" i="13"/>
  <c r="I39" i="13"/>
  <c r="H65" i="13"/>
  <c r="I145" i="13"/>
  <c r="I151" i="13" s="1"/>
  <c r="I43" i="13"/>
  <c r="G63" i="13"/>
  <c r="H27" i="13"/>
  <c r="G88" i="13"/>
  <c r="I107" i="13"/>
  <c r="I88" i="13"/>
  <c r="K74" i="13"/>
  <c r="J78" i="13"/>
  <c r="J77" i="13" s="1"/>
  <c r="J104" i="13" s="1"/>
  <c r="G86" i="13"/>
  <c r="J60" i="13"/>
  <c r="J138" i="13" s="1"/>
  <c r="K96" i="13"/>
  <c r="J111" i="13"/>
  <c r="K91" i="13"/>
  <c r="K110" i="13" s="1"/>
  <c r="L92" i="13"/>
  <c r="G120" i="13"/>
  <c r="G109" i="13"/>
  <c r="J3" i="13"/>
  <c r="I2" i="13"/>
  <c r="J103" i="13"/>
  <c r="L75" i="13"/>
  <c r="K79" i="13"/>
  <c r="I23" i="13" l="1"/>
  <c r="J83" i="13" s="1"/>
  <c r="J107" i="13" s="1"/>
  <c r="F109" i="13"/>
  <c r="F129" i="13" s="1"/>
  <c r="F133" i="13" s="1"/>
  <c r="F135" i="13" s="1"/>
  <c r="F120" i="13"/>
  <c r="H109" i="13"/>
  <c r="H112" i="13" s="1"/>
  <c r="H114" i="13" s="1"/>
  <c r="I64" i="13"/>
  <c r="J59" i="13" s="1"/>
  <c r="J134" i="13" s="1"/>
  <c r="I66" i="13"/>
  <c r="I48" i="13"/>
  <c r="J46" i="13" s="1"/>
  <c r="J147" i="13" s="1"/>
  <c r="I89" i="13"/>
  <c r="I40" i="13"/>
  <c r="J38" i="13" s="1"/>
  <c r="J146" i="13" s="1"/>
  <c r="I52" i="13"/>
  <c r="J50" i="13" s="1"/>
  <c r="J148" i="13" s="1"/>
  <c r="I32" i="13"/>
  <c r="J30" i="13" s="1"/>
  <c r="J141" i="13" s="1"/>
  <c r="I28" i="13"/>
  <c r="J26" i="13" s="1"/>
  <c r="J174" i="13" s="1"/>
  <c r="J175" i="13" s="1"/>
  <c r="I44" i="13"/>
  <c r="J42" i="13" s="1"/>
  <c r="J144" i="13" s="1"/>
  <c r="I36" i="13"/>
  <c r="J34" i="13" s="1"/>
  <c r="J142" i="13" s="1"/>
  <c r="I87" i="13"/>
  <c r="I109" i="13"/>
  <c r="I129" i="13" s="1"/>
  <c r="I133" i="13" s="1"/>
  <c r="I135" i="13" s="1"/>
  <c r="I20" i="13"/>
  <c r="J81" i="13" s="1"/>
  <c r="J106" i="13" s="1"/>
  <c r="J105" i="13"/>
  <c r="K73" i="13"/>
  <c r="K78" i="13"/>
  <c r="K77" i="13" s="1"/>
  <c r="L74" i="13"/>
  <c r="K3" i="13"/>
  <c r="J2" i="13"/>
  <c r="L96" i="13"/>
  <c r="K111" i="13"/>
  <c r="G112" i="13"/>
  <c r="G114" i="13" s="1"/>
  <c r="G129" i="13"/>
  <c r="G133" i="13" s="1"/>
  <c r="G135" i="13" s="1"/>
  <c r="J61" i="13"/>
  <c r="K58" i="13" s="1"/>
  <c r="H129" i="13"/>
  <c r="H133" i="13" s="1"/>
  <c r="H135" i="13" s="1"/>
  <c r="L79" i="13"/>
  <c r="M75" i="13"/>
  <c r="L91" i="13"/>
  <c r="L110" i="13" s="1"/>
  <c r="M92" i="13"/>
  <c r="F112" i="13" l="1"/>
  <c r="F114" i="13" s="1"/>
  <c r="F121" i="13" s="1"/>
  <c r="G121" i="13"/>
  <c r="G118" i="13"/>
  <c r="G117" i="13"/>
  <c r="H121" i="13"/>
  <c r="H118" i="13"/>
  <c r="H117" i="13"/>
  <c r="J149" i="13"/>
  <c r="J109" i="13"/>
  <c r="J143" i="13"/>
  <c r="J145" i="13" s="1"/>
  <c r="J120" i="13"/>
  <c r="K42" i="13"/>
  <c r="K144" i="13" s="1"/>
  <c r="I112" i="13"/>
  <c r="I114" i="13" s="1"/>
  <c r="K104" i="13"/>
  <c r="K38" i="13"/>
  <c r="K146" i="13" s="1"/>
  <c r="L78" i="13"/>
  <c r="L77" i="13" s="1"/>
  <c r="L104" i="13" s="1"/>
  <c r="M74" i="13"/>
  <c r="M73" i="13" s="1"/>
  <c r="L73" i="13"/>
  <c r="K34" i="13"/>
  <c r="K142" i="13" s="1"/>
  <c r="K83" i="13"/>
  <c r="K107" i="13" s="1"/>
  <c r="K46" i="13"/>
  <c r="K147" i="13" s="1"/>
  <c r="K26" i="13"/>
  <c r="K143" i="13" s="1"/>
  <c r="K50" i="13"/>
  <c r="K148" i="13" s="1"/>
  <c r="K30" i="13"/>
  <c r="K141" i="13" s="1"/>
  <c r="K81" i="13"/>
  <c r="K106" i="13" s="1"/>
  <c r="K103" i="13"/>
  <c r="M96" i="13"/>
  <c r="L111" i="13"/>
  <c r="L3" i="13"/>
  <c r="K2" i="13"/>
  <c r="N92" i="13"/>
  <c r="N91" i="13" s="1"/>
  <c r="N110" i="13" s="1"/>
  <c r="M91" i="13"/>
  <c r="M110" i="13" s="1"/>
  <c r="M79" i="13"/>
  <c r="N75" i="13"/>
  <c r="N79" i="13" s="1"/>
  <c r="K60" i="13"/>
  <c r="K138" i="13" s="1"/>
  <c r="K59" i="13"/>
  <c r="K134" i="13" s="1"/>
  <c r="F117" i="13" l="1"/>
  <c r="F118" i="13"/>
  <c r="I121" i="13"/>
  <c r="I118" i="13"/>
  <c r="I117" i="13"/>
  <c r="J129" i="13"/>
  <c r="J133" i="13" s="1"/>
  <c r="J135" i="13" s="1"/>
  <c r="J155" i="13" s="1"/>
  <c r="J166" i="13" s="1"/>
  <c r="J168" i="13" s="1"/>
  <c r="J170" i="13" s="1"/>
  <c r="J108" i="13"/>
  <c r="J112" i="13"/>
  <c r="J113" i="13" s="1"/>
  <c r="J114" i="13" s="1"/>
  <c r="J151" i="13"/>
  <c r="J152" i="13" s="1"/>
  <c r="K105" i="13"/>
  <c r="K109" i="13" s="1"/>
  <c r="M81" i="13"/>
  <c r="M106" i="13" s="1"/>
  <c r="M83" i="13"/>
  <c r="M107" i="13" s="1"/>
  <c r="L38" i="13"/>
  <c r="L146" i="13" s="1"/>
  <c r="M30" i="13"/>
  <c r="M141" i="13" s="1"/>
  <c r="K149" i="13"/>
  <c r="M103" i="13"/>
  <c r="K145" i="13"/>
  <c r="M42" i="13"/>
  <c r="M144" i="13" s="1"/>
  <c r="M34" i="13"/>
  <c r="M142" i="13" s="1"/>
  <c r="L26" i="13"/>
  <c r="L143" i="13" s="1"/>
  <c r="L46" i="13"/>
  <c r="L147" i="13" s="1"/>
  <c r="L34" i="13"/>
  <c r="L142" i="13" s="1"/>
  <c r="L81" i="13"/>
  <c r="L106" i="13" s="1"/>
  <c r="L42" i="13"/>
  <c r="L144" i="13" s="1"/>
  <c r="L30" i="13"/>
  <c r="L141" i="13" s="1"/>
  <c r="L50" i="13"/>
  <c r="L148" i="13" s="1"/>
  <c r="L83" i="13"/>
  <c r="L107" i="13" s="1"/>
  <c r="L103" i="13"/>
  <c r="L105" i="13" s="1"/>
  <c r="M46" i="13"/>
  <c r="M147" i="13" s="1"/>
  <c r="N74" i="13"/>
  <c r="N78" i="13" s="1"/>
  <c r="N77" i="13" s="1"/>
  <c r="M78" i="13"/>
  <c r="M77" i="13" s="1"/>
  <c r="M50" i="13"/>
  <c r="M148" i="13" s="1"/>
  <c r="M26" i="13"/>
  <c r="M143" i="13" s="1"/>
  <c r="L2" i="13"/>
  <c r="M3" i="13"/>
  <c r="K61" i="13"/>
  <c r="L58" i="13" s="1"/>
  <c r="N96" i="13"/>
  <c r="N111" i="13" s="1"/>
  <c r="M111" i="13"/>
  <c r="K129" i="13" l="1"/>
  <c r="K133" i="13" s="1"/>
  <c r="K135" i="13" s="1"/>
  <c r="K108" i="13"/>
  <c r="K120" i="13"/>
  <c r="K151" i="13"/>
  <c r="K152" i="13" s="1"/>
  <c r="L109" i="13"/>
  <c r="K112" i="13"/>
  <c r="K113" i="13" s="1"/>
  <c r="K114" i="13" s="1"/>
  <c r="L149" i="13"/>
  <c r="M145" i="13"/>
  <c r="L120" i="13"/>
  <c r="M38" i="13"/>
  <c r="M146" i="13" s="1"/>
  <c r="M149" i="13" s="1"/>
  <c r="M104" i="13"/>
  <c r="M105" i="13" s="1"/>
  <c r="M120" i="13" s="1"/>
  <c r="L145" i="13"/>
  <c r="N73" i="13"/>
  <c r="N83" i="13" s="1"/>
  <c r="N107" i="13" s="1"/>
  <c r="K155" i="13"/>
  <c r="K166" i="13" s="1"/>
  <c r="K168" i="13" s="1"/>
  <c r="K170" i="13" s="1"/>
  <c r="J121" i="13"/>
  <c r="J115" i="13"/>
  <c r="N104" i="13"/>
  <c r="N38" i="13"/>
  <c r="N146" i="13" s="1"/>
  <c r="L60" i="13"/>
  <c r="L138" i="13" s="1"/>
  <c r="L59" i="13"/>
  <c r="L134" i="13" s="1"/>
  <c r="N3" i="13"/>
  <c r="N2" i="13" s="1"/>
  <c r="M2" i="13"/>
  <c r="L129" i="13" l="1"/>
  <c r="L133" i="13" s="1"/>
  <c r="L135" i="13" s="1"/>
  <c r="L108" i="13"/>
  <c r="M151" i="13"/>
  <c r="L112" i="13"/>
  <c r="L113" i="13" s="1"/>
  <c r="L114" i="13" s="1"/>
  <c r="L151" i="13"/>
  <c r="L152" i="13" s="1"/>
  <c r="M109" i="13"/>
  <c r="N46" i="13"/>
  <c r="N147" i="13" s="1"/>
  <c r="N30" i="13"/>
  <c r="N141" i="13" s="1"/>
  <c r="N34" i="13"/>
  <c r="N142" i="13" s="1"/>
  <c r="N50" i="13"/>
  <c r="N148" i="13" s="1"/>
  <c r="N81" i="13"/>
  <c r="N106" i="13" s="1"/>
  <c r="N26" i="13"/>
  <c r="N143" i="13" s="1"/>
  <c r="N103" i="13"/>
  <c r="N105" i="13" s="1"/>
  <c r="L61" i="13"/>
  <c r="M58" i="13" s="1"/>
  <c r="M60" i="13" s="1"/>
  <c r="M138" i="13" s="1"/>
  <c r="N42" i="13"/>
  <c r="N144" i="13" s="1"/>
  <c r="K121" i="13"/>
  <c r="K115" i="13"/>
  <c r="K119" i="13" s="1"/>
  <c r="M112" i="13" l="1"/>
  <c r="M113" i="13" s="1"/>
  <c r="M114" i="13" s="1"/>
  <c r="M129" i="13"/>
  <c r="M133" i="13" s="1"/>
  <c r="L155" i="13"/>
  <c r="L166" i="13" s="1"/>
  <c r="L168" i="13" s="1"/>
  <c r="L170" i="13" s="1"/>
  <c r="N149" i="13"/>
  <c r="M152" i="13"/>
  <c r="N145" i="13"/>
  <c r="M59" i="13"/>
  <c r="M134" i="13" s="1"/>
  <c r="L121" i="13"/>
  <c r="L115" i="13"/>
  <c r="L119" i="13" s="1"/>
  <c r="N120" i="13"/>
  <c r="N109" i="13"/>
  <c r="M135" i="13" l="1"/>
  <c r="M155" i="13" s="1"/>
  <c r="M166" i="13" s="1"/>
  <c r="M168" i="13" s="1"/>
  <c r="M170" i="13" s="1"/>
  <c r="M108" i="13"/>
  <c r="N151" i="13"/>
  <c r="N152" i="13" s="1"/>
  <c r="M61" i="13"/>
  <c r="N58" i="13" s="1"/>
  <c r="M121" i="13"/>
  <c r="M115" i="13"/>
  <c r="M119" i="13" s="1"/>
  <c r="N112" i="13"/>
  <c r="N129" i="13"/>
  <c r="N133" i="13" s="1"/>
  <c r="N59" i="13" l="1"/>
  <c r="N134" i="13" s="1"/>
  <c r="N60" i="13"/>
  <c r="N113" i="13"/>
  <c r="N114" i="13" s="1"/>
  <c r="N135" i="13" l="1"/>
  <c r="N108" i="13"/>
  <c r="N138" i="13"/>
  <c r="N155" i="13" s="1"/>
  <c r="N166" i="13" s="1"/>
  <c r="N167" i="13" s="1"/>
  <c r="N168" i="13" s="1"/>
  <c r="N170" i="13" s="1"/>
  <c r="J171" i="13" s="1"/>
  <c r="J177" i="13" s="1"/>
  <c r="J180" i="13" s="1"/>
  <c r="D2" i="13" s="1"/>
  <c r="N61" i="13"/>
  <c r="N121" i="13"/>
  <c r="N115" i="13"/>
  <c r="N119" i="13" s="1"/>
  <c r="E2" i="13" l="1"/>
  <c r="H197" i="13"/>
  <c r="H188" i="13"/>
  <c r="E24" i="12"/>
  <c r="F24" i="12"/>
  <c r="G24" i="12"/>
  <c r="H24" i="12"/>
  <c r="E8" i="12"/>
  <c r="F38" i="12"/>
  <c r="G38" i="12"/>
  <c r="H38" i="12"/>
  <c r="E38" i="12"/>
  <c r="F19" i="12"/>
  <c r="G19" i="12"/>
  <c r="H19" i="12"/>
  <c r="E19" i="12"/>
  <c r="E13" i="12"/>
  <c r="E11" i="12"/>
  <c r="F11" i="12"/>
  <c r="G11" i="12"/>
  <c r="H11" i="12"/>
  <c r="E18" i="12"/>
  <c r="F18" i="12"/>
  <c r="G18" i="12"/>
  <c r="H18" i="12"/>
  <c r="E16" i="12"/>
  <c r="H32" i="12"/>
  <c r="G32" i="12"/>
  <c r="F32" i="12"/>
  <c r="E32" i="12"/>
  <c r="H31" i="12"/>
  <c r="G31" i="12"/>
  <c r="G33" i="12" s="1"/>
  <c r="F31" i="12"/>
  <c r="E31" i="12"/>
  <c r="H22" i="12"/>
  <c r="G22" i="12"/>
  <c r="F22" i="12"/>
  <c r="E22" i="12"/>
  <c r="F23" i="12"/>
  <c r="G23" i="12"/>
  <c r="H23" i="12"/>
  <c r="E23" i="12"/>
  <c r="D27" i="1"/>
  <c r="F8" i="12"/>
  <c r="G8" i="12"/>
  <c r="H8" i="12"/>
  <c r="D8" i="1"/>
  <c r="F6" i="12"/>
  <c r="G6" i="12"/>
  <c r="H6" i="12"/>
  <c r="E6" i="12"/>
  <c r="D7" i="1"/>
  <c r="E4" i="12"/>
  <c r="F4" i="12"/>
  <c r="G4" i="12"/>
  <c r="H4" i="12"/>
  <c r="E5" i="12"/>
  <c r="F5" i="12"/>
  <c r="G5" i="12"/>
  <c r="H5" i="12"/>
  <c r="E12" i="12"/>
  <c r="F12" i="12"/>
  <c r="G12" i="12"/>
  <c r="H12" i="12"/>
  <c r="F13" i="12"/>
  <c r="G13" i="12"/>
  <c r="H13" i="12"/>
  <c r="F16" i="12"/>
  <c r="G16" i="12"/>
  <c r="H16" i="12"/>
  <c r="E21" i="12"/>
  <c r="F21" i="12"/>
  <c r="F20" i="12" s="1"/>
  <c r="G21" i="12"/>
  <c r="G20" i="12" s="1"/>
  <c r="H21" i="12"/>
  <c r="H20" i="12" s="1"/>
  <c r="E28" i="12"/>
  <c r="F28" i="12"/>
  <c r="G28" i="12"/>
  <c r="H28" i="12"/>
  <c r="E29" i="12"/>
  <c r="F29" i="12"/>
  <c r="G29" i="12"/>
  <c r="H29" i="12"/>
  <c r="E41" i="12"/>
  <c r="F41" i="12"/>
  <c r="G41" i="12"/>
  <c r="H43" i="12"/>
  <c r="H41" i="2"/>
  <c r="F41" i="2"/>
  <c r="F3" i="12"/>
  <c r="G3" i="12" s="1"/>
  <c r="H3" i="12" s="1"/>
  <c r="E43" i="12" l="1"/>
  <c r="E33" i="12"/>
  <c r="H41" i="12"/>
  <c r="H33" i="12"/>
  <c r="F33" i="12"/>
  <c r="E39" i="12"/>
  <c r="E44" i="12" s="1"/>
  <c r="F39" i="12"/>
  <c r="F36" i="12" s="1"/>
  <c r="F43" i="12"/>
  <c r="G39" i="12"/>
  <c r="G43" i="12"/>
  <c r="H39" i="12"/>
  <c r="E25" i="12"/>
  <c r="F25" i="12"/>
  <c r="H25" i="12"/>
  <c r="G25" i="12"/>
  <c r="E42" i="12" l="1"/>
  <c r="E45" i="12"/>
  <c r="E46" i="12"/>
  <c r="E36" i="12"/>
  <c r="H40" i="12"/>
  <c r="H46" i="12"/>
  <c r="H44" i="12"/>
  <c r="H42" i="12"/>
  <c r="H45" i="12"/>
  <c r="G46" i="12"/>
  <c r="G44" i="12"/>
  <c r="G42" i="12"/>
  <c r="G40" i="12"/>
  <c r="G45" i="12"/>
  <c r="H36" i="12"/>
  <c r="G36" i="12"/>
  <c r="F46" i="12"/>
  <c r="F44" i="12"/>
  <c r="F42" i="12"/>
  <c r="F40" i="12"/>
  <c r="F45" i="12"/>
  <c r="J5" i="11" l="1"/>
  <c r="F12" i="11" s="1"/>
  <c r="F6" i="11"/>
  <c r="I70" i="2"/>
  <c r="F5" i="11"/>
  <c r="F11" i="11" s="1"/>
  <c r="I41" i="2"/>
  <c r="E12" i="11"/>
  <c r="E11" i="11"/>
  <c r="J8" i="11"/>
  <c r="F7" i="11" l="1"/>
  <c r="F13" i="11"/>
  <c r="F14" i="11" s="1"/>
  <c r="F15" i="11" l="1"/>
  <c r="F18" i="11" s="1"/>
  <c r="K153" i="3" l="1"/>
  <c r="L153" i="3"/>
  <c r="I41" i="3" l="1"/>
  <c r="I45" i="3" s="1"/>
  <c r="H41" i="3"/>
  <c r="H45" i="3" s="1"/>
  <c r="N41" i="3"/>
  <c r="N45" i="3" s="1"/>
  <c r="M41" i="3"/>
  <c r="M45" i="3" s="1"/>
  <c r="I82" i="3"/>
  <c r="H82" i="3"/>
  <c r="N82" i="3"/>
  <c r="M82" i="3"/>
  <c r="I109" i="3"/>
  <c r="H109" i="3"/>
  <c r="N109" i="3"/>
  <c r="M109" i="3"/>
  <c r="I150" i="3"/>
  <c r="I153" i="3" s="1"/>
  <c r="H150" i="3"/>
  <c r="H153" i="3" s="1"/>
  <c r="N153" i="3"/>
  <c r="M153" i="3"/>
  <c r="M110" i="3" l="1"/>
  <c r="M112" i="3" s="1"/>
  <c r="I110" i="3"/>
  <c r="I112" i="3" s="1"/>
  <c r="N110" i="3"/>
  <c r="N112" i="3" s="1"/>
  <c r="H110" i="3"/>
  <c r="H112" i="3" s="1"/>
  <c r="H17" i="2" l="1"/>
  <c r="I17" i="2"/>
  <c r="M17" i="2"/>
  <c r="N17" i="2"/>
  <c r="H34" i="2"/>
  <c r="H35" i="2" s="1"/>
  <c r="I34" i="2"/>
  <c r="I35" i="2" s="1"/>
  <c r="M34" i="2"/>
  <c r="N34" i="2"/>
  <c r="H57" i="2"/>
  <c r="N57" i="2"/>
  <c r="M57" i="2"/>
  <c r="I57" i="2"/>
  <c r="H68" i="2"/>
  <c r="H69" i="2" s="1"/>
  <c r="N68" i="2"/>
  <c r="N69" i="2" s="1"/>
  <c r="M68" i="2"/>
  <c r="I68" i="2"/>
  <c r="H95" i="2"/>
  <c r="H97" i="2" s="1"/>
  <c r="N95" i="2"/>
  <c r="N97" i="2" s="1"/>
  <c r="M95" i="2"/>
  <c r="M97" i="2" s="1"/>
  <c r="I95" i="2"/>
  <c r="I97" i="2" s="1"/>
  <c r="N44" i="1"/>
  <c r="J44" i="1"/>
  <c r="I44" i="1"/>
  <c r="J38" i="1"/>
  <c r="O32" i="1"/>
  <c r="N32" i="1"/>
  <c r="J32" i="1"/>
  <c r="I32" i="1"/>
  <c r="J25" i="1"/>
  <c r="J27" i="1" s="1"/>
  <c r="O16" i="1"/>
  <c r="N16" i="1"/>
  <c r="J16" i="1"/>
  <c r="I16" i="1"/>
  <c r="O12" i="1"/>
  <c r="N12" i="1"/>
  <c r="J12" i="1"/>
  <c r="I12" i="1"/>
  <c r="N35" i="2" l="1"/>
  <c r="M69" i="2"/>
  <c r="M98" i="2" s="1"/>
  <c r="I17" i="1"/>
  <c r="I21" i="1" s="1"/>
  <c r="I25" i="1" s="1"/>
  <c r="I27" i="1" s="1"/>
  <c r="I38" i="1" s="1"/>
  <c r="J33" i="1"/>
  <c r="J42" i="1" s="1"/>
  <c r="J17" i="1"/>
  <c r="N17" i="1"/>
  <c r="N21" i="1" s="1"/>
  <c r="N25" i="1" s="1"/>
  <c r="N27" i="1" s="1"/>
  <c r="N38" i="1" s="1"/>
  <c r="O17" i="1"/>
  <c r="O21" i="1" s="1"/>
  <c r="O25" i="1" s="1"/>
  <c r="O27" i="1" s="1"/>
  <c r="O36" i="1" s="1"/>
  <c r="O44" i="1" s="1"/>
  <c r="M35" i="2"/>
  <c r="I69" i="2"/>
  <c r="I98" i="2" s="1"/>
  <c r="N98" i="2"/>
  <c r="H98" i="2"/>
  <c r="I33" i="1" l="1"/>
  <c r="I42" i="1" s="1"/>
  <c r="N33" i="1"/>
  <c r="N42" i="1" s="1"/>
  <c r="O38" i="1"/>
  <c r="O33" i="1"/>
  <c r="O42" i="1" s="1"/>
  <c r="O4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Panuponh</author>
  </authors>
  <commentList>
    <comment ref="E94" authorId="0" shapeId="0" xr:uid="{A743D385-55F7-49A7-A321-8186C1A97DFB}">
      <text>
        <r>
          <rPr>
            <b/>
            <sz val="9"/>
            <color indexed="81"/>
            <rFont val="Tahoma"/>
            <family val="2"/>
          </rPr>
          <t>assume inflation growth
because no major addition Debt Financing</t>
        </r>
      </text>
    </comment>
    <comment ref="E97" authorId="0" shapeId="0" xr:uid="{41E0E072-1A40-4165-B76A-3FCD47873D64}">
      <text>
        <r>
          <rPr>
            <b/>
            <sz val="9"/>
            <color indexed="81"/>
            <rFont val="Tahoma"/>
            <family val="2"/>
          </rPr>
          <t>assume inflation growth
because no major change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Panuponh</author>
  </authors>
  <commentList>
    <comment ref="E6" authorId="0" shapeId="0" xr:uid="{5C168B8C-CD28-41B1-9B26-03C5F083FBE0}">
      <text>
        <r>
          <rPr>
            <sz val="9"/>
            <color indexed="81"/>
            <rFont val="Tahoma"/>
            <family val="2"/>
          </rPr>
          <t>SCF interest paid</t>
        </r>
      </text>
    </comment>
  </commentList>
</comments>
</file>

<file path=xl/sharedStrings.xml><?xml version="1.0" encoding="utf-8"?>
<sst xmlns="http://schemas.openxmlformats.org/spreadsheetml/2006/main" count="577" uniqueCount="400">
  <si>
    <t>ASSETWISE PUBLIC COMPANY LIMITED AND SUBSIDIARIES</t>
  </si>
  <si>
    <t>STATEMENTS OF FINANCIAL POSITION</t>
  </si>
  <si>
    <t>AS AT DECEMBER 31, 2023</t>
  </si>
  <si>
    <t>Consolidated financial statements (Baht)</t>
  </si>
  <si>
    <t>Separate financial statements (Baht)</t>
  </si>
  <si>
    <t>Assets</t>
  </si>
  <si>
    <t>December 31, 2020</t>
  </si>
  <si>
    <t>December 31, 2021</t>
  </si>
  <si>
    <t>December 31, 2022</t>
  </si>
  <si>
    <t>December 31, 2023</t>
  </si>
  <si>
    <t>Current assets</t>
  </si>
  <si>
    <t xml:space="preserve">        Cash and cash equivalents </t>
  </si>
  <si>
    <t xml:space="preserve">        Trade and other current receivables</t>
  </si>
  <si>
    <t xml:space="preserve">        Accrued dividend income</t>
  </si>
  <si>
    <t xml:space="preserve">        Loans to related parties</t>
  </si>
  <si>
    <t xml:space="preserve">        Current portion of long-term loans to </t>
  </si>
  <si>
    <t xml:space="preserve">                  related parties</t>
  </si>
  <si>
    <t xml:space="preserve">        Inventories</t>
  </si>
  <si>
    <t xml:space="preserve">        Deposits for land</t>
  </si>
  <si>
    <t xml:space="preserve">        Other current financial assets</t>
  </si>
  <si>
    <t xml:space="preserve">        Total current assets</t>
  </si>
  <si>
    <t>Non-current assets</t>
  </si>
  <si>
    <r>
      <t xml:space="preserve">     </t>
    </r>
    <r>
      <rPr>
        <sz val="14"/>
        <rFont val="Angsana New"/>
        <family val="1"/>
      </rPr>
      <t xml:space="preserve">  Deposits at banks with obligations</t>
    </r>
  </si>
  <si>
    <t xml:space="preserve">                  and restriction</t>
  </si>
  <si>
    <t xml:space="preserve">        Long-term loans to related parties</t>
  </si>
  <si>
    <t xml:space="preserve">        Investments in subsidiaries</t>
  </si>
  <si>
    <t xml:space="preserve">        Investments in associates</t>
  </si>
  <si>
    <t xml:space="preserve">        Investments in joint ventures</t>
  </si>
  <si>
    <t>-</t>
  </si>
  <si>
    <t xml:space="preserve">        Long-term investment</t>
  </si>
  <si>
    <t xml:space="preserve">        Investment properties</t>
  </si>
  <si>
    <t xml:space="preserve">        Property, plant and equipment</t>
  </si>
  <si>
    <t xml:space="preserve">        Right-of-use assets</t>
  </si>
  <si>
    <t xml:space="preserve">        Goodwill</t>
  </si>
  <si>
    <t xml:space="preserve">        Other intangible assets</t>
  </si>
  <si>
    <t xml:space="preserve">        Land under development</t>
  </si>
  <si>
    <t xml:space="preserve">        Deferred tax assets</t>
  </si>
  <si>
    <t xml:space="preserve">        Other non-current assets</t>
  </si>
  <si>
    <t xml:space="preserve">        Total non-current assets</t>
  </si>
  <si>
    <t>Total assets</t>
  </si>
  <si>
    <t>STATEMENTS OF FINANCIAL POSITION (Continued)</t>
  </si>
  <si>
    <t>IBD'</t>
  </si>
  <si>
    <t>Liabilities and shareholders' equity</t>
  </si>
  <si>
    <t>Current liabilities</t>
  </si>
  <si>
    <t xml:space="preserve">        Short-term borrowings</t>
  </si>
  <si>
    <t>from financial institutions</t>
  </si>
  <si>
    <t xml:space="preserve">        Trade and other current payables </t>
  </si>
  <si>
    <t xml:space="preserve">        Unrealised installment income</t>
  </si>
  <si>
    <t xml:space="preserve">        Borrowings from related paties </t>
  </si>
  <si>
    <t xml:space="preserve">        Short-term borrowings from other parties</t>
  </si>
  <si>
    <t xml:space="preserve">        Current portion of long-term liabilities</t>
  </si>
  <si>
    <t>- Lease liabilities</t>
  </si>
  <si>
    <t>- Long-term borrowings from financial institutions</t>
  </si>
  <si>
    <t>- Debentures</t>
  </si>
  <si>
    <t xml:space="preserve"> - Convertible debentures</t>
  </si>
  <si>
    <t xml:space="preserve">        Current income tax payable</t>
  </si>
  <si>
    <t xml:space="preserve">       Total current liabilities</t>
  </si>
  <si>
    <t>Non-current liabilities</t>
  </si>
  <si>
    <t xml:space="preserve">        Lease liabilities</t>
  </si>
  <si>
    <t xml:space="preserve">        Long-term borrowings from financial </t>
  </si>
  <si>
    <t>institutions</t>
  </si>
  <si>
    <t xml:space="preserve">        Debentures</t>
  </si>
  <si>
    <t xml:space="preserve">        Convertible debentures - liability portion</t>
  </si>
  <si>
    <t xml:space="preserve">        Deferred tax liabilities</t>
  </si>
  <si>
    <t xml:space="preserve">        Non-current provisions for employee </t>
  </si>
  <si>
    <t>benefits</t>
  </si>
  <si>
    <t xml:space="preserve">        Other non-current liabilities</t>
  </si>
  <si>
    <t xml:space="preserve">       Total non-current liabilities</t>
  </si>
  <si>
    <t xml:space="preserve">       Total liabilities</t>
  </si>
  <si>
    <t>Liabilities and shareholders' equity (Cont'd)</t>
  </si>
  <si>
    <t>Shareholders' equity</t>
  </si>
  <si>
    <t xml:space="preserve">        Share capital</t>
  </si>
  <si>
    <t xml:space="preserve">            Authorized share capital</t>
  </si>
  <si>
    <t>1,363,106,937 ordinary shares of Baht 1 each</t>
  </si>
  <si>
    <t xml:space="preserve">     (December 31, 2022: 1,363,106,937 ordinary </t>
  </si>
  <si>
    <t xml:space="preserve">        shares of Baht 1 each)</t>
  </si>
  <si>
    <t xml:space="preserve">            Issued and paid-up share capital</t>
  </si>
  <si>
    <t xml:space="preserve">         shares of Baht 1 each)</t>
  </si>
  <si>
    <t xml:space="preserve">        Share premium</t>
  </si>
  <si>
    <t xml:space="preserve">        Capital surplus from share-based payment</t>
  </si>
  <si>
    <t xml:space="preserve">        Convertible debentures - equity portion</t>
  </si>
  <si>
    <t xml:space="preserve">       Warrants</t>
  </si>
  <si>
    <t xml:space="preserve">        Retained earnings</t>
  </si>
  <si>
    <t>Appropriated - legal reserve</t>
  </si>
  <si>
    <t>Unappropriated</t>
  </si>
  <si>
    <t xml:space="preserve">        Unrealized gains on changes in investment proportion</t>
  </si>
  <si>
    <t xml:space="preserve">Total owners of the Parent </t>
  </si>
  <si>
    <t xml:space="preserve">       Non-controlling interests</t>
  </si>
  <si>
    <t xml:space="preserve">       Total shareholders' equity</t>
  </si>
  <si>
    <t>Total liabilities and shareholders' equity</t>
  </si>
  <si>
    <t>STATEMENTS OF CASH FLOWS</t>
  </si>
  <si>
    <t>FOR THE YEAR ENDED DECEMBER 31, 2023</t>
  </si>
  <si>
    <t>Cash flows from operating activities</t>
  </si>
  <si>
    <t xml:space="preserve">      Profit (loss) for the year</t>
  </si>
  <si>
    <t xml:space="preserve">          Adjustment to reconcile profit (loss) to cash receipt (payment) </t>
  </si>
  <si>
    <t xml:space="preserve">           operating activities</t>
  </si>
  <si>
    <t xml:space="preserve">Tax expense (income) </t>
  </si>
  <si>
    <t>Finance income</t>
  </si>
  <si>
    <t>Finance costs</t>
  </si>
  <si>
    <t>Depreciation</t>
  </si>
  <si>
    <t>Amortization</t>
  </si>
  <si>
    <t>Loss (gain) on write-off assets</t>
  </si>
  <si>
    <t>Loss (gain) on sale of assets</t>
  </si>
  <si>
    <t xml:space="preserve">Gain on disposal of investment in a subsidiary </t>
  </si>
  <si>
    <t xml:space="preserve">Gain on remeasurement of investment in joint venture </t>
  </si>
  <si>
    <t>Share of loss from investments in joint venture and associate</t>
  </si>
  <si>
    <t>Share of loss from investments in associate</t>
  </si>
  <si>
    <t>Unrealised gain on revaluation of fair value</t>
  </si>
  <si>
    <t>Gain on sale of other current financial assets</t>
  </si>
  <si>
    <t>Allowance for expected credit losses</t>
  </si>
  <si>
    <t>Allowance from devaluation in value of inventories</t>
  </si>
  <si>
    <t>Reversed allowance for devaluation in value of inventories</t>
  </si>
  <si>
    <t>Allowance for impairment loss in investment properties</t>
  </si>
  <si>
    <t>(Reversed)  allowance for impairment loss in intangible assets</t>
  </si>
  <si>
    <t>Dividend received from subsidiaries</t>
  </si>
  <si>
    <t>Employee benefits expenses</t>
  </si>
  <si>
    <t xml:space="preserve">          Changes in working capital</t>
  </si>
  <si>
    <t>Trade and other current receivables</t>
  </si>
  <si>
    <t>Inventories</t>
  </si>
  <si>
    <t>Deposits for land</t>
  </si>
  <si>
    <t>Other non-current assets</t>
  </si>
  <si>
    <t>Trade and other current payables</t>
  </si>
  <si>
    <t>Unrealised installment income</t>
  </si>
  <si>
    <t>Non-current provisions for employee benefits</t>
  </si>
  <si>
    <t>Other non-current liabilities</t>
  </si>
  <si>
    <t xml:space="preserve">         Cash generated (paid) from operation</t>
  </si>
  <si>
    <t>Interest paid</t>
  </si>
  <si>
    <t>            (204,979,067)</t>
  </si>
  <si>
    <t>               (179,212,480)</t>
  </si>
  <si>
    <t>               (68,915,294)</t>
  </si>
  <si>
    <t>               (22,485,558)</t>
  </si>
  <si>
    <t>Proceeds from Income tax</t>
  </si>
  <si>
    <t>Income tax paid</t>
  </si>
  <si>
    <t>            (158,193,373)</t>
  </si>
  <si>
    <t>               (352,640,576)</t>
  </si>
  <si>
    <t>               (11,233,593)</t>
  </si>
  <si>
    <t>                 (5,786,998)</t>
  </si>
  <si>
    <t>Net cash provided by (used in) operating activities</t>
  </si>
  <si>
    <t>239,816,988 </t>
  </si>
  <si>
    <t>107,060,463 </t>
  </si>
  <si>
    <t>STATEMENTS OF CASH FLOWS (Cont'd)</t>
  </si>
  <si>
    <t>Cash flows from investing activities</t>
  </si>
  <si>
    <t>Payments for investment in other current financial assets</t>
  </si>
  <si>
    <t>Proceeds for investment in other current financial assets</t>
  </si>
  <si>
    <t>Proceeds from investments in joint venture</t>
  </si>
  <si>
    <t>Proceeds from investments in subsidiaries</t>
  </si>
  <si>
    <t>Payments for investments in subsidiaries</t>
  </si>
  <si>
    <t>Payments for investments in joint ventures</t>
  </si>
  <si>
    <t>Payments for investments in associate</t>
  </si>
  <si>
    <t>Payments for investments in long-term investment</t>
  </si>
  <si>
    <t xml:space="preserve">Increase in restricted deposits </t>
  </si>
  <si>
    <t>Proceeds from loans to subsidiaries</t>
  </si>
  <si>
    <t>Payments for loans to subsidiaries</t>
  </si>
  <si>
    <t>Payments from loans to  associate</t>
  </si>
  <si>
    <t>Proceeds from loans to joint ventures</t>
  </si>
  <si>
    <t>Payments from loans to joint ventures</t>
  </si>
  <si>
    <t>Proceeds from loans to related parties</t>
  </si>
  <si>
    <t>Payments for loans to related parties</t>
  </si>
  <si>
    <t>Proceeds from loans to related persons</t>
  </si>
  <si>
    <t>Proceeds from interest</t>
  </si>
  <si>
    <t>Payments for investment properties</t>
  </si>
  <si>
    <t xml:space="preserve">                          -  </t>
  </si>
  <si>
    <t>Proceeds from sales of office equipment and tools</t>
  </si>
  <si>
    <t>Payments for purchase of office equipment and tools</t>
  </si>
  <si>
    <t>Payments for intangible assets</t>
  </si>
  <si>
    <t>Payments for land under development</t>
  </si>
  <si>
    <t>Proceeds from investment in preferred shares of subsidiary</t>
  </si>
  <si>
    <t>Proceeds from investment in ordinary shares of</t>
  </si>
  <si>
    <t xml:space="preserve">     subsidiaries of non-controlling interests</t>
  </si>
  <si>
    <t>Net cash provided by (used in) investing activities</t>
  </si>
  <si>
    <t>Cash flows from financing activities</t>
  </si>
  <si>
    <t>Proceeds from short-term borrowings from</t>
  </si>
  <si>
    <t xml:space="preserve">      financial institution</t>
  </si>
  <si>
    <t>Payments  for short-term borrowings from</t>
  </si>
  <si>
    <t>Proceeds from borrowings from related parties</t>
  </si>
  <si>
    <t>Payments for borrowings from related parties</t>
  </si>
  <si>
    <t>Proceeds from borrowings from other parties</t>
  </si>
  <si>
    <t>Payments for borrowings from other parties</t>
  </si>
  <si>
    <t>Payments for lease liabilities</t>
  </si>
  <si>
    <t>Proceeds from long-term borrowings</t>
  </si>
  <si>
    <t>Payments for long-term borrowings</t>
  </si>
  <si>
    <t>Proceeds from convertible debentures</t>
  </si>
  <si>
    <t>Proceeds from debentures</t>
  </si>
  <si>
    <t>Payments for debentures</t>
  </si>
  <si>
    <t>Proceeds for increase in share capital</t>
  </si>
  <si>
    <t>Payments for dividend</t>
  </si>
  <si>
    <t>Dividend of non-controlling interests of subsidiaries</t>
  </si>
  <si>
    <t>Net cash provided by (used in) financing activities</t>
  </si>
  <si>
    <t>Net increase (decrease) in cash and cash equivalents</t>
  </si>
  <si>
    <t>Cash and cash equivalents as at January 1</t>
  </si>
  <si>
    <t>Cash and cash equivalents as at December 31</t>
  </si>
  <si>
    <t>Supplemental information of cash flows information for non-cash transactions</t>
  </si>
  <si>
    <t xml:space="preserve">        Non-reconcile cash transaction</t>
  </si>
  <si>
    <t>Interest capitalized as costs of inventories</t>
  </si>
  <si>
    <t>Interest capitalized as costs of investment properties</t>
  </si>
  <si>
    <t>Transfer deposits for land to property, plant and equipment</t>
  </si>
  <si>
    <t>Assets from lease liabilities</t>
  </si>
  <si>
    <t>Right-of-use assets from lease liabilities</t>
  </si>
  <si>
    <t xml:space="preserve">Depreciation of right-of-use assets capitalized as cost </t>
  </si>
  <si>
    <t>of investment properties</t>
  </si>
  <si>
    <t>Depreciation capitalized as cost of investment properties</t>
  </si>
  <si>
    <t>Share capital increased from share dividend</t>
  </si>
  <si>
    <t xml:space="preserve">      Proceeds from disposal of investment in subsidiary </t>
  </si>
  <si>
    <t xml:space="preserve">           and change in assets and liabilities at disposal date</t>
  </si>
  <si>
    <t>Loans to related persons and parties</t>
  </si>
  <si>
    <t>Property, plant and equipment</t>
  </si>
  <si>
    <t>Right-of-use assets</t>
  </si>
  <si>
    <t>Deferred tax assets</t>
  </si>
  <si>
    <t>Loans from related persons and parties</t>
  </si>
  <si>
    <t>Current income tax payable</t>
  </si>
  <si>
    <t>Long-term borrowings from financial institution</t>
  </si>
  <si>
    <t>Lease liabilities</t>
  </si>
  <si>
    <t xml:space="preserve">       Total net asset value</t>
  </si>
  <si>
    <r>
      <rPr>
        <u/>
        <sz val="14"/>
        <rFont val="Angsana New"/>
        <family val="1"/>
      </rPr>
      <t xml:space="preserve">Less </t>
    </r>
    <r>
      <rPr>
        <sz val="14"/>
        <rFont val="Angsana New"/>
        <family val="1"/>
      </rPr>
      <t xml:space="preserve"> Retained investment </t>
    </r>
  </si>
  <si>
    <t>Gain on disposal of investment</t>
  </si>
  <si>
    <t xml:space="preserve">Proceeds from disposal of investment </t>
  </si>
  <si>
    <t>STATEMENTS OF COMPREHENSIVE INCOME</t>
  </si>
  <si>
    <t>Revenues</t>
  </si>
  <si>
    <t>Sales of real estate</t>
  </si>
  <si>
    <t xml:space="preserve">Rental and services </t>
  </si>
  <si>
    <t>Dividend income</t>
  </si>
  <si>
    <t>Total revenues</t>
  </si>
  <si>
    <t>Cost of sales</t>
  </si>
  <si>
    <t>Cost of sales of real estate</t>
  </si>
  <si>
    <t xml:space="preserve">Cost of rental and services </t>
  </si>
  <si>
    <t>Total cost of sales</t>
  </si>
  <si>
    <t>Gross profit</t>
  </si>
  <si>
    <t>Other income</t>
  </si>
  <si>
    <t xml:space="preserve">Distribution costs </t>
  </si>
  <si>
    <t>Administrative expenses</t>
  </si>
  <si>
    <t>Operating profit</t>
  </si>
  <si>
    <t>Share of loss from investments in joint ventures</t>
  </si>
  <si>
    <t>Profit before income tax expenses</t>
  </si>
  <si>
    <t>Tax expenses</t>
  </si>
  <si>
    <t xml:space="preserve">Profit for the year </t>
  </si>
  <si>
    <t>Other comprehensive income (expesne)</t>
  </si>
  <si>
    <t xml:space="preserve">Component of other comprehensive income that </t>
  </si>
  <si>
    <t xml:space="preserve">       will not be reclassified to profit or loss :</t>
  </si>
  <si>
    <t xml:space="preserve">Gains on re-measurements of defined benefit plans </t>
  </si>
  <si>
    <t>Other comprehensive income for the year-net of tax</t>
  </si>
  <si>
    <t>Total comprehensive income for the year</t>
  </si>
  <si>
    <t>Profit (loss) attributable to</t>
  </si>
  <si>
    <t>Owners of the Company</t>
  </si>
  <si>
    <t>Non-controlling interests</t>
  </si>
  <si>
    <t xml:space="preserve">Total comprehensive income (expenses) attributable to : </t>
  </si>
  <si>
    <t>Basic earnings per share</t>
  </si>
  <si>
    <t>Earnings  per share - owners of the Company</t>
  </si>
  <si>
    <t>Weighted average number of ordinary shares (share)</t>
  </si>
  <si>
    <t>Leverage ratio</t>
  </si>
  <si>
    <t>EBITDA</t>
  </si>
  <si>
    <t>Liquidity ratio</t>
  </si>
  <si>
    <t>Debt to Asset Ratio</t>
  </si>
  <si>
    <t>Cash ratio</t>
  </si>
  <si>
    <t>Efficiency ratio</t>
  </si>
  <si>
    <t>Inventory turnover ratio</t>
  </si>
  <si>
    <t>Average age of inventory</t>
  </si>
  <si>
    <t>COGS per day</t>
  </si>
  <si>
    <t>Average collection period</t>
  </si>
  <si>
    <t>Sales per day</t>
  </si>
  <si>
    <t>Average payment period</t>
  </si>
  <si>
    <t>Average accrued expense period</t>
  </si>
  <si>
    <t>SG&amp;A per day</t>
  </si>
  <si>
    <t>Cash cycle</t>
  </si>
  <si>
    <t>Profitability</t>
  </si>
  <si>
    <t>Gross profit margin</t>
  </si>
  <si>
    <t>Operation profit margin</t>
  </si>
  <si>
    <t>Net profit margin</t>
  </si>
  <si>
    <t>ROA</t>
  </si>
  <si>
    <t>ROE</t>
  </si>
  <si>
    <t xml:space="preserve">Equity multiplier </t>
  </si>
  <si>
    <t>Market-value ratio</t>
  </si>
  <si>
    <t xml:space="preserve">Stock price </t>
  </si>
  <si>
    <t>Number of stock</t>
  </si>
  <si>
    <t>BV</t>
  </si>
  <si>
    <t>Dividend yield</t>
  </si>
  <si>
    <t>Price/sales</t>
  </si>
  <si>
    <t>Value</t>
  </si>
  <si>
    <t>Upside</t>
  </si>
  <si>
    <t>As of 25 Apr</t>
  </si>
  <si>
    <t>Assumption</t>
  </si>
  <si>
    <t>Sales Growth</t>
  </si>
  <si>
    <t>avg</t>
  </si>
  <si>
    <t>COGS</t>
  </si>
  <si>
    <t>%of sales</t>
  </si>
  <si>
    <t>%to rental</t>
  </si>
  <si>
    <t>Other Income</t>
  </si>
  <si>
    <t>SGA</t>
  </si>
  <si>
    <t>Turnover</t>
  </si>
  <si>
    <t>Cash</t>
  </si>
  <si>
    <t>%of Sales</t>
  </si>
  <si>
    <t>AR</t>
  </si>
  <si>
    <t>Inventory</t>
  </si>
  <si>
    <t>AP</t>
  </si>
  <si>
    <t>Other CA</t>
  </si>
  <si>
    <t>Other CL</t>
  </si>
  <si>
    <t>ST Loan (~NP)</t>
  </si>
  <si>
    <t>PPE</t>
  </si>
  <si>
    <t>Beginning</t>
  </si>
  <si>
    <t>less: Depre</t>
  </si>
  <si>
    <t>add: CAPEX</t>
  </si>
  <si>
    <t>Ending</t>
  </si>
  <si>
    <t>%depre</t>
  </si>
  <si>
    <t>CAPEX to Sales</t>
  </si>
  <si>
    <t>Maintaining CAPEX</t>
  </si>
  <si>
    <t>Forecast</t>
  </si>
  <si>
    <t>PL</t>
  </si>
  <si>
    <t>Sales</t>
  </si>
  <si>
    <t>Cost of Sales</t>
  </si>
  <si>
    <t>Cost of Rental</t>
  </si>
  <si>
    <t>Administrative exp</t>
  </si>
  <si>
    <t>%Distribution to SGA</t>
  </si>
  <si>
    <t>%Admin to SGA</t>
  </si>
  <si>
    <t>Interest</t>
  </si>
  <si>
    <t>%inflation</t>
  </si>
  <si>
    <t>Share loss from Investment</t>
  </si>
  <si>
    <t>Statement of Comprehensive Income</t>
  </si>
  <si>
    <t>Revenue</t>
  </si>
  <si>
    <t>Gross Profit</t>
  </si>
  <si>
    <t>EBIT</t>
  </si>
  <si>
    <t>Share Loss</t>
  </si>
  <si>
    <t>EBT</t>
  </si>
  <si>
    <t>Tax</t>
  </si>
  <si>
    <t>Net Income</t>
  </si>
  <si>
    <t>EPS</t>
  </si>
  <si>
    <t>%Gross Margin</t>
  </si>
  <si>
    <t>%Net Margin</t>
  </si>
  <si>
    <t>FCFF</t>
  </si>
  <si>
    <t>OCF</t>
  </si>
  <si>
    <t>NOPAT</t>
  </si>
  <si>
    <t>Depre</t>
  </si>
  <si>
    <t>CAPEX</t>
  </si>
  <si>
    <t>NWC</t>
  </si>
  <si>
    <t>Operating CA</t>
  </si>
  <si>
    <t>NP</t>
  </si>
  <si>
    <t>Operating CL</t>
  </si>
  <si>
    <t>Change in NWC</t>
  </si>
  <si>
    <t>DCF</t>
  </si>
  <si>
    <t>WACC</t>
  </si>
  <si>
    <t>Terminal Growth</t>
  </si>
  <si>
    <t>Terminal Value</t>
  </si>
  <si>
    <t>Total FCFF</t>
  </si>
  <si>
    <t>Discount Factor</t>
  </si>
  <si>
    <t>NPV</t>
  </si>
  <si>
    <t>Enterprise Value</t>
  </si>
  <si>
    <t>Debt</t>
  </si>
  <si>
    <t>Net Debt</t>
  </si>
  <si>
    <t>Market Cap</t>
  </si>
  <si>
    <t>#issue and paid stock</t>
  </si>
  <si>
    <t>ASW Value</t>
  </si>
  <si>
    <t>IBD</t>
  </si>
  <si>
    <t>Equity</t>
  </si>
  <si>
    <t>Rm</t>
  </si>
  <si>
    <t>Rd</t>
  </si>
  <si>
    <t>Rf</t>
  </si>
  <si>
    <t>Rrp</t>
  </si>
  <si>
    <t>Beta</t>
  </si>
  <si>
    <t>Refinitiv</t>
  </si>
  <si>
    <t>Re</t>
  </si>
  <si>
    <t>Debt + Equity</t>
  </si>
  <si>
    <t>Wd</t>
  </si>
  <si>
    <t>We</t>
  </si>
  <si>
    <t>Price/EBIT</t>
  </si>
  <si>
    <t>Earning yields</t>
  </si>
  <si>
    <t>MV</t>
  </si>
  <si>
    <t>P/E ratio</t>
  </si>
  <si>
    <t>P/BV ratio</t>
  </si>
  <si>
    <t xml:space="preserve">EV/EBITDA </t>
  </si>
  <si>
    <t>Asset Turnover ratio</t>
  </si>
  <si>
    <t>As of 23 Apr</t>
  </si>
  <si>
    <t xml:space="preserve"> </t>
  </si>
  <si>
    <t>Low</t>
  </si>
  <si>
    <t>High</t>
  </si>
  <si>
    <t>52 wk</t>
  </si>
  <si>
    <t>PE</t>
  </si>
  <si>
    <t>Debt to Equity</t>
  </si>
  <si>
    <t>Interest Coverage Ratio</t>
  </si>
  <si>
    <t>EBITDA to Interest Coverage Ratio</t>
  </si>
  <si>
    <t>Debt to Equity Ratio</t>
  </si>
  <si>
    <t>Current Ratio</t>
  </si>
  <si>
    <t>Median</t>
  </si>
  <si>
    <t>Mean</t>
  </si>
  <si>
    <t>ORI</t>
  </si>
  <si>
    <t>SIRI</t>
  </si>
  <si>
    <t>Trailing PE</t>
  </si>
  <si>
    <t>Forward PE</t>
  </si>
  <si>
    <t>Risk Free Rate</t>
  </si>
  <si>
    <t>Releverd Beta</t>
  </si>
  <si>
    <t>DE</t>
  </si>
  <si>
    <t>Market Risk Premium</t>
  </si>
  <si>
    <t>Cost of Equity</t>
  </si>
  <si>
    <t>Cost of Debt</t>
  </si>
  <si>
    <t>Tax Rate</t>
  </si>
  <si>
    <t>Wacc</t>
  </si>
  <si>
    <t>ASW</t>
  </si>
  <si>
    <t>ANAN</t>
  </si>
  <si>
    <t>LH</t>
  </si>
  <si>
    <t>%EPS growth</t>
  </si>
  <si>
    <t>sensitivity</t>
  </si>
  <si>
    <t>Default Spread</t>
  </si>
  <si>
    <t>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</si>
</sst>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3" formatCode="_(* #,##0.00_);_(* \(#,##0.00\);_(* &quot;-&quot;??_);_(@_)"/>
    <numFmt numFmtId="164" formatCode="#,##0.00_);[Blue]\(#,##0.00\)"/>
    <numFmt numFmtId="165" formatCode="_-* #,##0.00_-;\-* #,##0.00_-;_-* &quot;-&quot;??_-;_-@_-"/>
    <numFmt numFmtId="166" formatCode="_(* #,##0_);_(* \(#,##0\);_(* &quot;-&quot;??_);_(@_)"/>
    <numFmt numFmtId="167" formatCode="_-* #,##0_-;\-* #,##0_-;_-* &quot;-&quot;??_-;_-@_-"/>
    <numFmt numFmtId="168" formatCode="#,##0\ ;\(#,##0\)"/>
    <numFmt numFmtId="169" formatCode="#,##0.00\ ;\(#,##0.00\)"/>
    <numFmt numFmtId="170" formatCode="#,##0.00;\(#,##0.00\)"/>
    <numFmt numFmtId="171" formatCode="&quot;฿&quot;#,##0;\-&quot;฿&quot;#,##0"/>
    <numFmt numFmtId="172" formatCode="_-* #,##0_-;\-* #,##0_-;_-* &quot;-&quot;_-;_-@_-"/>
    <numFmt numFmtId="173" formatCode="\t&quot;$&quot;#,##0.00_);[Red]\(\t&quot;$&quot;#,##0.00\)"/>
    <numFmt numFmtId="174" formatCode="#,##0;\(#,##0\)"/>
    <numFmt numFmtId="175" formatCode="_-* #,##0.00_-;\-* #,##0.00_-;_-* \-??_-;_-@_-"/>
    <numFmt numFmtId="176" formatCode="\$#,##0.00;\(\$#,##0.00\)"/>
    <numFmt numFmtId="177" formatCode="\$#,##0;\(\$#,##0\)"/>
    <numFmt numFmtId="178" formatCode="0.0%"/>
    <numFmt numFmtId="179" formatCode="0&quot;  &quot;"/>
    <numFmt numFmtId="180" formatCode="#,##0.00&quot; F&quot;_);[Red]\(#,##0.00&quot; F&quot;\)"/>
    <numFmt numFmtId="181" formatCode="_-* #,##0_-;\(\ #,##0\)_-;_-* \-??_-;_-@_-"/>
    <numFmt numFmtId="182" formatCode="####\ &quot;A&quot;"/>
    <numFmt numFmtId="183" formatCode="####\ &quot;F&quot;"/>
    <numFmt numFmtId="186" formatCode="0.0"/>
  </numFmts>
  <fonts count="67">
    <font>
      <sz val="11"/>
      <color theme="1"/>
      <name val="Calibri"/>
      <family val="2"/>
      <scheme val="minor"/>
    </font>
    <font>
      <sz val="14"/>
      <name val="Cordia New"/>
      <family val="2"/>
    </font>
    <font>
      <sz val="14"/>
      <name val="Angsana New"/>
      <family val="1"/>
    </font>
    <font>
      <b/>
      <sz val="14"/>
      <name val="Angsana New"/>
      <family val="1"/>
    </font>
    <font>
      <sz val="10"/>
      <name val="Courier"/>
      <family val="3"/>
    </font>
    <font>
      <b/>
      <sz val="14"/>
      <color theme="1"/>
      <name val="Angsana New"/>
      <family val="1"/>
    </font>
    <font>
      <sz val="14"/>
      <name val="AngsanaUPC"/>
      <family val="1"/>
      <charset val="1"/>
    </font>
    <font>
      <sz val="14"/>
      <color theme="0"/>
      <name val="Angsana New"/>
      <family val="1"/>
    </font>
    <font>
      <sz val="15"/>
      <name val="Angsana New"/>
      <family val="1"/>
    </font>
    <font>
      <sz val="14"/>
      <color indexed="45"/>
      <name val="Angsana New"/>
      <family val="1"/>
    </font>
    <font>
      <sz val="14"/>
      <color rgb="FFFF0000"/>
      <name val="Angsana New"/>
      <family val="1"/>
    </font>
    <font>
      <sz val="14"/>
      <color theme="1"/>
      <name val="Angsana New"/>
      <family val="1"/>
    </font>
    <font>
      <b/>
      <sz val="15"/>
      <name val="Angsana New"/>
      <family val="1"/>
    </font>
    <font>
      <sz val="10"/>
      <color indexed="8"/>
      <name val="MS Sans Serif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indexed="8"/>
      <name val="Tahoma"/>
      <family val="2"/>
    </font>
    <font>
      <sz val="14"/>
      <color indexed="8"/>
      <name val="MS Sans Serif"/>
      <family val="2"/>
    </font>
    <font>
      <sz val="10"/>
      <name val="Times New Roman"/>
      <family val="1"/>
    </font>
    <font>
      <sz val="16"/>
      <name val="AngsanaUPC"/>
      <family val="1"/>
      <charset val="1"/>
    </font>
    <font>
      <sz val="10"/>
      <name val="Arial"/>
      <family val="2"/>
    </font>
    <font>
      <b/>
      <sz val="14"/>
      <name val="Cordia New"/>
      <family val="2"/>
    </font>
    <font>
      <sz val="12"/>
      <name val="Times New Roman"/>
      <family val="1"/>
    </font>
    <font>
      <b/>
      <sz val="20.05"/>
      <color indexed="8"/>
      <name val="AngsanaUPC"/>
      <family val="1"/>
      <charset val="1"/>
    </font>
    <font>
      <sz val="11"/>
      <color indexed="8"/>
      <name val="Calibri"/>
      <family val="2"/>
    </font>
    <font>
      <sz val="8"/>
      <name val="Arial"/>
      <family val="2"/>
    </font>
    <font>
      <sz val="7"/>
      <name val="Small Fonts"/>
      <family val="2"/>
    </font>
    <font>
      <b/>
      <i/>
      <sz val="16"/>
      <name val="Helv"/>
    </font>
    <font>
      <sz val="10"/>
      <name val="MS Sans Serif"/>
      <family val="2"/>
    </font>
    <font>
      <sz val="10"/>
      <name val="Helv"/>
      <family val="2"/>
    </font>
    <font>
      <vertAlign val="superscript"/>
      <sz val="18"/>
      <name val="AngsanaUPC"/>
      <family val="1"/>
      <charset val="1"/>
    </font>
    <font>
      <b/>
      <sz val="14"/>
      <name val="AngsanaUPC"/>
      <family val="1"/>
      <charset val="1"/>
    </font>
    <font>
      <u/>
      <sz val="14"/>
      <name val="Angsana New"/>
      <family val="1"/>
    </font>
    <font>
      <sz val="11"/>
      <color theme="1"/>
      <name val="Tahoma"/>
      <family val="2"/>
    </font>
    <font>
      <sz val="11"/>
      <color theme="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4"/>
      <color rgb="FF000000"/>
      <name val="Angsana New"/>
      <family val="1"/>
    </font>
    <font>
      <sz val="16"/>
      <color rgb="FF000000"/>
      <name val="TH SarabunPSK"/>
      <family val="2"/>
      <charset val="222"/>
    </font>
    <font>
      <b/>
      <sz val="16"/>
      <color rgb="FF000000"/>
      <name val="TH SarabunPSK"/>
      <family val="2"/>
      <charset val="222"/>
    </font>
    <font>
      <b/>
      <sz val="14"/>
      <color theme="0"/>
      <name val="TH SarabunPSK"/>
      <family val="2"/>
      <charset val="222"/>
    </font>
    <font>
      <sz val="16"/>
      <color theme="1"/>
      <name val="TH SarabunPSK"/>
      <family val="2"/>
      <charset val="222"/>
    </font>
    <font>
      <b/>
      <sz val="16"/>
      <color theme="1"/>
      <name val="TH SarabunPSK"/>
      <family val="2"/>
      <charset val="222"/>
    </font>
    <font>
      <sz val="15"/>
      <name val="TH SarabunPSK"/>
      <family val="2"/>
      <charset val="222"/>
    </font>
    <font>
      <i/>
      <sz val="15"/>
      <name val="TH SarabunPSK"/>
      <family val="2"/>
      <charset val="222"/>
    </font>
    <font>
      <sz val="16"/>
      <color rgb="FFFF0000"/>
      <name val="TH SarabunPSK"/>
      <family val="2"/>
      <charset val="222"/>
    </font>
    <font>
      <sz val="16"/>
      <color rgb="FF00B050"/>
      <name val="TH SarabunPSK"/>
      <family val="2"/>
      <charset val="222"/>
    </font>
    <font>
      <sz val="10"/>
      <color theme="1"/>
      <name val="TH SarabunPSK"/>
      <family val="2"/>
      <charset val="222"/>
    </font>
    <font>
      <b/>
      <sz val="10"/>
      <color theme="1"/>
      <name val="TH SarabunPSK"/>
      <family val="2"/>
      <charset val="222"/>
    </font>
    <font>
      <b/>
      <sz val="11"/>
      <color theme="1"/>
      <name val="TH SarabunPSK"/>
      <family val="2"/>
      <charset val="222"/>
    </font>
    <font>
      <sz val="12"/>
      <color theme="1"/>
      <name val="TH SarabunPSK"/>
      <family val="2"/>
      <charset val="222"/>
    </font>
    <font>
      <b/>
      <sz val="12"/>
      <color theme="1"/>
      <name val="TH SarabunPSK"/>
      <family val="2"/>
      <charset val="222"/>
    </font>
    <font>
      <b/>
      <i/>
      <sz val="12"/>
      <color theme="1"/>
      <name val="TH SarabunPSK"/>
      <family val="2"/>
      <charset val="222"/>
    </font>
    <font>
      <sz val="10"/>
      <color theme="0" tint="-0.249977111117893"/>
      <name val="TH SarabunPSK"/>
      <family val="2"/>
      <charset val="222"/>
    </font>
    <font>
      <i/>
      <sz val="10"/>
      <color theme="1"/>
      <name val="TH SarabunPSK"/>
      <family val="2"/>
      <charset val="222"/>
    </font>
    <font>
      <sz val="10"/>
      <color theme="2" tint="-9.9978637043366805E-2"/>
      <name val="TH SarabunPSK"/>
      <family val="2"/>
      <charset val="222"/>
    </font>
    <font>
      <i/>
      <sz val="8"/>
      <color theme="1"/>
      <name val="TH SarabunPSK"/>
      <family val="2"/>
      <charset val="222"/>
    </font>
    <font>
      <sz val="10"/>
      <color theme="0"/>
      <name val="TH SarabunPSK"/>
      <family val="2"/>
      <charset val="222"/>
    </font>
    <font>
      <i/>
      <sz val="8"/>
      <name val="TH SarabunPSK"/>
      <family val="2"/>
      <charset val="222"/>
    </font>
    <font>
      <sz val="18"/>
      <color theme="1"/>
      <name val="TH SarabunPSK"/>
      <family val="2"/>
      <charset val="222"/>
    </font>
    <font>
      <sz val="18"/>
      <color rgb="FF000000"/>
      <name val="TH SarabunPSK"/>
      <family val="2"/>
      <charset val="222"/>
    </font>
    <font>
      <sz val="24"/>
      <color theme="1"/>
      <name val="TH SarabunPSK"/>
      <family val="2"/>
      <charset val="222"/>
    </font>
    <font>
      <sz val="20"/>
      <color rgb="FF000000"/>
      <name val="TH SarabunPSK"/>
      <family val="2"/>
      <charset val="222"/>
    </font>
    <font>
      <b/>
      <sz val="24"/>
      <color theme="1"/>
      <name val="TH SarabunPSK"/>
      <family val="2"/>
      <charset val="222"/>
    </font>
    <font>
      <sz val="24"/>
      <name val="TH SarabunPSK"/>
      <family val="2"/>
      <charset val="222"/>
    </font>
    <font>
      <sz val="24"/>
      <color rgb="FF000000"/>
      <name val="TH SarabunPSK"/>
      <family val="2"/>
      <charset val="222"/>
    </font>
    <font>
      <b/>
      <sz val="26"/>
      <color rgb="FF000000"/>
      <name val="TH SarabunPSK"/>
      <family val="2"/>
      <charset val="222"/>
    </font>
  </fonts>
  <fills count="2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6" tint="0.59999389629810485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rgb="FF00000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47">
    <xf numFmtId="0" fontId="0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39" fontId="4" fillId="0" borderId="0"/>
    <xf numFmtId="0" fontId="1" fillId="0" borderId="0"/>
    <xf numFmtId="0" fontId="6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3" fillId="0" borderId="0"/>
    <xf numFmtId="0" fontId="6" fillId="0" borderId="0"/>
    <xf numFmtId="0" fontId="22" fillId="0" borderId="0"/>
    <xf numFmtId="0" fontId="17" fillId="0" borderId="6" applyNumberFormat="0" applyFont="0" applyFill="0" applyAlignment="0"/>
    <xf numFmtId="0" fontId="1" fillId="0" borderId="0"/>
    <xf numFmtId="165" fontId="14" fillId="0" borderId="0" applyFont="0" applyFill="0" applyBorder="0" applyAlignment="0" applyProtection="0"/>
    <xf numFmtId="0" fontId="1" fillId="0" borderId="0"/>
    <xf numFmtId="171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173" fontId="24" fillId="0" borderId="0" applyFont="0" applyFill="0" applyBorder="0" applyAlignment="0" applyProtection="0"/>
    <xf numFmtId="173" fontId="2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74" fontId="18" fillId="0" borderId="0"/>
    <xf numFmtId="0" fontId="6" fillId="0" borderId="0"/>
    <xf numFmtId="176" fontId="18" fillId="0" borderId="0"/>
    <xf numFmtId="0" fontId="6" fillId="0" borderId="0"/>
    <xf numFmtId="175" fontId="1" fillId="0" borderId="0"/>
    <xf numFmtId="0" fontId="1" fillId="0" borderId="0"/>
    <xf numFmtId="175" fontId="1" fillId="0" borderId="0"/>
    <xf numFmtId="172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77" fontId="18" fillId="0" borderId="0"/>
    <xf numFmtId="178" fontId="6" fillId="0" borderId="0"/>
    <xf numFmtId="0" fontId="21" fillId="0" borderId="0" applyFont="0" applyBorder="0" applyAlignment="0">
      <alignment horizontal="left"/>
    </xf>
    <xf numFmtId="0" fontId="24" fillId="0" borderId="0"/>
    <xf numFmtId="38" fontId="25" fillId="2" borderId="0" applyNumberFormat="0" applyBorder="0" applyAlignment="0" applyProtection="0"/>
    <xf numFmtId="10" fontId="25" fillId="3" borderId="6" applyNumberFormat="0" applyBorder="0" applyAlignment="0" applyProtection="0"/>
    <xf numFmtId="37" fontId="26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3" fillId="0" borderId="0"/>
    <xf numFmtId="175" fontId="1" fillId="0" borderId="0"/>
    <xf numFmtId="0" fontId="1" fillId="0" borderId="0"/>
    <xf numFmtId="0" fontId="34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175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0" fontId="20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1" fontId="20" fillId="0" borderId="7" applyNumberFormat="0" applyFill="0" applyAlignment="0" applyProtection="0">
      <alignment horizontal="center" vertical="center"/>
    </xf>
    <xf numFmtId="0" fontId="20" fillId="4" borderId="0"/>
    <xf numFmtId="179" fontId="1" fillId="0" borderId="0" applyFont="0" applyFill="0" applyBorder="0" applyAlignment="0" applyProtection="0"/>
    <xf numFmtId="180" fontId="6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13" fillId="0" borderId="0" applyNumberFormat="0" applyFont="0" applyFill="0" applyBorder="0" applyProtection="0">
      <alignment vertical="center"/>
    </xf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30" fillId="0" borderId="0" applyFill="0" applyBorder="0" applyAlignment="0" applyProtection="0"/>
    <xf numFmtId="43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3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2" fillId="0" borderId="0"/>
    <xf numFmtId="0" fontId="1" fillId="0" borderId="0"/>
    <xf numFmtId="39" fontId="4" fillId="0" borderId="0"/>
    <xf numFmtId="9" fontId="2" fillId="0" borderId="0" applyFont="0" applyFill="0" applyBorder="0" applyAlignment="0" applyProtection="0"/>
    <xf numFmtId="0" fontId="29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43" fontId="20" fillId="0" borderId="0" applyFont="0" applyFill="0" applyBorder="0" applyAlignment="0" applyProtection="0"/>
    <xf numFmtId="9" fontId="14" fillId="0" borderId="0" applyFont="0" applyFill="0" applyBorder="0" applyAlignment="0" applyProtection="0"/>
  </cellStyleXfs>
  <cellXfs count="399">
    <xf numFmtId="0" fontId="0" fillId="0" borderId="0" xfId="0"/>
    <xf numFmtId="0" fontId="1" fillId="0" borderId="0" xfId="2"/>
    <xf numFmtId="164" fontId="3" fillId="0" borderId="0" xfId="3" applyNumberFormat="1" applyFont="1" applyAlignment="1">
      <alignment horizontal="center"/>
    </xf>
    <xf numFmtId="37" fontId="3" fillId="0" borderId="0" xfId="4" applyNumberFormat="1" applyFont="1" applyAlignment="1">
      <alignment horizontal="center"/>
    </xf>
    <xf numFmtId="37" fontId="2" fillId="0" borderId="0" xfId="2" applyNumberFormat="1" applyFont="1" applyAlignment="1">
      <alignment horizontal="center"/>
    </xf>
    <xf numFmtId="37" fontId="2" fillId="0" borderId="0" xfId="1" applyNumberFormat="1" applyFont="1" applyFill="1" applyAlignment="1">
      <alignment horizontal="center"/>
    </xf>
    <xf numFmtId="37" fontId="2" fillId="0" borderId="0" xfId="4" applyNumberFormat="1" applyFont="1"/>
    <xf numFmtId="37" fontId="2" fillId="0" borderId="0" xfId="4" applyNumberFormat="1" applyFont="1" applyAlignment="1">
      <alignment horizontal="center"/>
    </xf>
    <xf numFmtId="37" fontId="5" fillId="0" borderId="2" xfId="2" quotePrefix="1" applyNumberFormat="1" applyFont="1" applyBorder="1" applyAlignment="1">
      <alignment horizontal="center"/>
    </xf>
    <xf numFmtId="37" fontId="5" fillId="0" borderId="0" xfId="2" quotePrefix="1" applyNumberFormat="1" applyFont="1" applyAlignment="1">
      <alignment horizontal="center"/>
    </xf>
    <xf numFmtId="37" fontId="3" fillId="0" borderId="0" xfId="2" applyNumberFormat="1" applyFont="1"/>
    <xf numFmtId="37" fontId="2" fillId="0" borderId="0" xfId="1" applyNumberFormat="1" applyFont="1" applyFill="1" applyBorder="1" applyAlignment="1">
      <alignment horizontal="right"/>
    </xf>
    <xf numFmtId="37" fontId="3" fillId="0" borderId="0" xfId="1" applyNumberFormat="1" applyFont="1" applyFill="1" applyBorder="1" applyAlignment="1">
      <alignment horizontal="right"/>
    </xf>
    <xf numFmtId="37" fontId="2" fillId="0" borderId="0" xfId="2" applyNumberFormat="1" applyFont="1"/>
    <xf numFmtId="166" fontId="2" fillId="0" borderId="0" xfId="1" applyNumberFormat="1" applyFont="1" applyFill="1" applyBorder="1" applyAlignment="1">
      <alignment horizontal="right"/>
    </xf>
    <xf numFmtId="165" fontId="2" fillId="0" borderId="0" xfId="1" applyFont="1" applyFill="1" applyBorder="1" applyAlignment="1">
      <alignment horizontal="right"/>
    </xf>
    <xf numFmtId="37" fontId="2" fillId="0" borderId="3" xfId="1" applyNumberFormat="1" applyFont="1" applyFill="1" applyBorder="1" applyAlignment="1">
      <alignment horizontal="right"/>
    </xf>
    <xf numFmtId="166" fontId="2" fillId="0" borderId="3" xfId="1" applyNumberFormat="1" applyFont="1" applyFill="1" applyBorder="1" applyAlignment="1">
      <alignment horizontal="right"/>
    </xf>
    <xf numFmtId="37" fontId="2" fillId="0" borderId="0" xfId="2" applyNumberFormat="1" applyFont="1" applyAlignment="1">
      <alignment horizontal="right"/>
    </xf>
    <xf numFmtId="166" fontId="2" fillId="0" borderId="1" xfId="1" applyNumberFormat="1" applyFont="1" applyFill="1" applyBorder="1" applyAlignment="1">
      <alignment horizontal="right"/>
    </xf>
    <xf numFmtId="37" fontId="3" fillId="0" borderId="0" xfId="6" applyNumberFormat="1" applyFont="1" applyAlignment="1">
      <alignment horizontal="left"/>
    </xf>
    <xf numFmtId="166" fontId="2" fillId="0" borderId="0" xfId="1" applyNumberFormat="1" applyFont="1" applyFill="1" applyBorder="1"/>
    <xf numFmtId="166" fontId="2" fillId="0" borderId="0" xfId="2" applyNumberFormat="1" applyFont="1"/>
    <xf numFmtId="39" fontId="2" fillId="0" borderId="0" xfId="7" applyNumberFormat="1" applyFont="1"/>
    <xf numFmtId="166" fontId="2" fillId="0" borderId="1" xfId="1" applyNumberFormat="1" applyFont="1" applyFill="1" applyBorder="1"/>
    <xf numFmtId="37" fontId="2" fillId="0" borderId="4" xfId="1" applyNumberFormat="1" applyFont="1" applyFill="1" applyBorder="1"/>
    <xf numFmtId="166" fontId="2" fillId="0" borderId="4" xfId="1" applyNumberFormat="1" applyFont="1" applyFill="1" applyBorder="1"/>
    <xf numFmtId="37" fontId="7" fillId="0" borderId="0" xfId="1" applyNumberFormat="1" applyFont="1" applyFill="1" applyAlignment="1">
      <alignment horizontal="center"/>
    </xf>
    <xf numFmtId="37" fontId="2" fillId="0" borderId="0" xfId="1" applyNumberFormat="1" applyFont="1" applyFill="1" applyBorder="1"/>
    <xf numFmtId="37" fontId="2" fillId="0" borderId="4" xfId="1" applyNumberFormat="1" applyFont="1" applyFill="1" applyBorder="1" applyAlignment="1">
      <alignment horizontal="right"/>
    </xf>
    <xf numFmtId="43" fontId="2" fillId="0" borderId="0" xfId="1" applyNumberFormat="1" applyFont="1" applyFill="1"/>
    <xf numFmtId="166" fontId="2" fillId="0" borderId="0" xfId="1" applyNumberFormat="1" applyFont="1" applyFill="1"/>
    <xf numFmtId="0" fontId="2" fillId="0" borderId="0" xfId="2" applyFont="1"/>
    <xf numFmtId="167" fontId="2" fillId="0" borderId="0" xfId="1" applyNumberFormat="1" applyFont="1" applyFill="1"/>
    <xf numFmtId="164" fontId="8" fillId="0" borderId="0" xfId="2" applyNumberFormat="1" applyFont="1" applyAlignment="1">
      <alignment horizontal="center"/>
    </xf>
    <xf numFmtId="164" fontId="8" fillId="0" borderId="0" xfId="4" applyNumberFormat="1" applyFont="1"/>
    <xf numFmtId="164" fontId="8" fillId="0" borderId="0" xfId="2" applyNumberFormat="1" applyFont="1"/>
    <xf numFmtId="165" fontId="2" fillId="0" borderId="0" xfId="3" applyNumberFormat="1" applyFont="1" applyAlignment="1">
      <alignment horizontal="center"/>
    </xf>
    <xf numFmtId="167" fontId="2" fillId="0" borderId="0" xfId="1" applyNumberFormat="1" applyFont="1" applyFill="1" applyAlignment="1">
      <alignment horizontal="center"/>
    </xf>
    <xf numFmtId="39" fontId="8" fillId="0" borderId="0" xfId="2" applyNumberFormat="1" applyFont="1"/>
    <xf numFmtId="0" fontId="2" fillId="0" borderId="0" xfId="3" applyFont="1"/>
    <xf numFmtId="167" fontId="7" fillId="0" borderId="0" xfId="1" applyNumberFormat="1" applyFont="1" applyFill="1" applyAlignment="1">
      <alignment horizontal="center"/>
    </xf>
    <xf numFmtId="167" fontId="9" fillId="0" borderId="0" xfId="1" applyNumberFormat="1" applyFont="1" applyFill="1" applyAlignment="1">
      <alignment horizontal="center"/>
    </xf>
    <xf numFmtId="39" fontId="10" fillId="0" borderId="0" xfId="8" applyNumberFormat="1" applyFont="1" applyFill="1" applyBorder="1"/>
    <xf numFmtId="167" fontId="10" fillId="0" borderId="0" xfId="1" applyNumberFormat="1" applyFont="1" applyFill="1" applyAlignment="1">
      <alignment horizontal="center"/>
    </xf>
    <xf numFmtId="164" fontId="9" fillId="0" borderId="0" xfId="3" applyNumberFormat="1" applyFont="1"/>
    <xf numFmtId="164" fontId="2" fillId="0" borderId="0" xfId="4" applyNumberFormat="1" applyFont="1" applyAlignment="1">
      <alignment horizontal="left"/>
    </xf>
    <xf numFmtId="165" fontId="2" fillId="0" borderId="0" xfId="2" applyNumberFormat="1" applyFont="1"/>
    <xf numFmtId="168" fontId="2" fillId="0" borderId="0" xfId="8" applyNumberFormat="1" applyFont="1" applyFill="1" applyBorder="1"/>
    <xf numFmtId="166" fontId="2" fillId="0" borderId="3" xfId="1" applyNumberFormat="1" applyFont="1" applyFill="1" applyBorder="1"/>
    <xf numFmtId="164" fontId="3" fillId="0" borderId="0" xfId="3" applyNumberFormat="1" applyFont="1"/>
    <xf numFmtId="169" fontId="11" fillId="0" borderId="0" xfId="8" applyNumberFormat="1" applyFont="1" applyFill="1" applyBorder="1"/>
    <xf numFmtId="164" fontId="2" fillId="0" borderId="0" xfId="3" applyNumberFormat="1" applyFont="1"/>
    <xf numFmtId="166" fontId="2" fillId="0" borderId="1" xfId="9" applyNumberFormat="1" applyFont="1" applyFill="1" applyBorder="1"/>
    <xf numFmtId="166" fontId="2" fillId="0" borderId="0" xfId="1" quotePrefix="1" applyNumberFormat="1" applyFont="1" applyFill="1" applyBorder="1" applyAlignment="1">
      <alignment horizontal="center"/>
    </xf>
    <xf numFmtId="166" fontId="2" fillId="0" borderId="0" xfId="9" applyNumberFormat="1" applyFont="1" applyFill="1" applyBorder="1"/>
    <xf numFmtId="166" fontId="2" fillId="0" borderId="0" xfId="9" applyNumberFormat="1" applyFont="1" applyFill="1"/>
    <xf numFmtId="39" fontId="2" fillId="0" borderId="0" xfId="8" applyNumberFormat="1" applyFont="1" applyFill="1"/>
    <xf numFmtId="166" fontId="2" fillId="0" borderId="5" xfId="9" applyNumberFormat="1" applyFont="1" applyFill="1" applyBorder="1"/>
    <xf numFmtId="39" fontId="2" fillId="0" borderId="0" xfId="8" applyNumberFormat="1" applyFont="1" applyFill="1" applyBorder="1"/>
    <xf numFmtId="167" fontId="2" fillId="0" borderId="0" xfId="1" applyNumberFormat="1" applyFont="1" applyFill="1" applyBorder="1"/>
    <xf numFmtId="167" fontId="3" fillId="0" borderId="0" xfId="1" applyNumberFormat="1" applyFont="1" applyFill="1" applyAlignment="1">
      <alignment horizontal="center"/>
    </xf>
    <xf numFmtId="164" fontId="2" fillId="0" borderId="0" xfId="3" applyNumberFormat="1" applyFont="1" applyAlignment="1">
      <alignment horizontal="center"/>
    </xf>
    <xf numFmtId="0" fontId="12" fillId="0" borderId="0" xfId="2" applyFont="1" applyAlignment="1">
      <alignment horizontal="center"/>
    </xf>
    <xf numFmtId="39" fontId="2" fillId="0" borderId="0" xfId="3" applyNumberFormat="1" applyFont="1"/>
    <xf numFmtId="164" fontId="3" fillId="0" borderId="0" xfId="4" applyNumberFormat="1" applyFont="1" applyAlignment="1">
      <alignment horizontal="center"/>
    </xf>
    <xf numFmtId="167" fontId="3" fillId="0" borderId="0" xfId="1" applyNumberFormat="1" applyFont="1" applyFill="1" applyAlignment="1" applyProtection="1">
      <alignment horizontal="center"/>
    </xf>
    <xf numFmtId="0" fontId="3" fillId="0" borderId="0" xfId="3" applyFont="1" applyAlignment="1">
      <alignment horizontal="center"/>
    </xf>
    <xf numFmtId="39" fontId="3" fillId="0" borderId="0" xfId="4" applyFont="1" applyAlignment="1">
      <alignment horizontal="center"/>
    </xf>
    <xf numFmtId="164" fontId="2" fillId="0" borderId="0" xfId="3" quotePrefix="1" applyNumberFormat="1" applyFont="1" applyAlignment="1">
      <alignment horizontal="center"/>
    </xf>
    <xf numFmtId="164" fontId="2" fillId="0" borderId="0" xfId="8" applyNumberFormat="1" applyFont="1" applyFill="1" applyBorder="1"/>
    <xf numFmtId="167" fontId="2" fillId="0" borderId="0" xfId="1" applyNumberFormat="1" applyFont="1" applyFill="1" applyBorder="1" applyAlignment="1">
      <alignment horizontal="center"/>
    </xf>
    <xf numFmtId="167" fontId="2" fillId="0" borderId="0" xfId="8" applyNumberFormat="1" applyFont="1" applyFill="1" applyBorder="1"/>
    <xf numFmtId="166" fontId="2" fillId="0" borderId="0" xfId="1" applyNumberFormat="1" applyFont="1" applyFill="1" applyBorder="1" applyAlignment="1">
      <alignment horizontal="center"/>
    </xf>
    <xf numFmtId="164" fontId="2" fillId="0" borderId="0" xfId="2" applyNumberFormat="1" applyFont="1"/>
    <xf numFmtId="0" fontId="11" fillId="0" borderId="0" xfId="5" applyFont="1"/>
    <xf numFmtId="170" fontId="2" fillId="0" borderId="0" xfId="10" applyNumberFormat="1" applyFont="1" applyAlignment="1">
      <alignment vertical="center"/>
    </xf>
    <xf numFmtId="167" fontId="3" fillId="0" borderId="0" xfId="1" applyNumberFormat="1" applyFont="1" applyFill="1" applyBorder="1" applyAlignment="1">
      <alignment horizontal="center"/>
    </xf>
    <xf numFmtId="0" fontId="3" fillId="0" borderId="0" xfId="4" applyNumberFormat="1" applyFont="1" applyAlignment="1">
      <alignment horizontal="center"/>
    </xf>
    <xf numFmtId="167" fontId="2" fillId="0" borderId="1" xfId="1" applyNumberFormat="1" applyFont="1" applyFill="1" applyBorder="1"/>
    <xf numFmtId="164" fontId="2" fillId="0" borderId="0" xfId="8" applyNumberFormat="1" applyFont="1" applyFill="1"/>
    <xf numFmtId="167" fontId="2" fillId="0" borderId="4" xfId="1" applyNumberFormat="1" applyFont="1" applyFill="1" applyBorder="1"/>
    <xf numFmtId="167" fontId="2" fillId="0" borderId="3" xfId="1" applyNumberFormat="1" applyFont="1" applyFill="1" applyBorder="1"/>
    <xf numFmtId="165" fontId="2" fillId="0" borderId="0" xfId="8" applyFont="1" applyFill="1"/>
    <xf numFmtId="168" fontId="2" fillId="0" borderId="0" xfId="9" applyNumberFormat="1" applyFont="1" applyFill="1"/>
    <xf numFmtId="164" fontId="2" fillId="0" borderId="0" xfId="3" quotePrefix="1" applyNumberFormat="1" applyFont="1"/>
    <xf numFmtId="40" fontId="2" fillId="0" borderId="0" xfId="11" applyNumberFormat="1" applyFont="1" applyAlignment="1">
      <alignment horizontal="left"/>
    </xf>
    <xf numFmtId="164" fontId="2" fillId="0" borderId="0" xfId="5" applyNumberFormat="1" applyFont="1"/>
    <xf numFmtId="168" fontId="2" fillId="0" borderId="0" xfId="9" applyNumberFormat="1" applyFont="1" applyFill="1" applyBorder="1"/>
    <xf numFmtId="165" fontId="2" fillId="0" borderId="0" xfId="1" applyFont="1" applyFill="1"/>
    <xf numFmtId="164" fontId="2" fillId="0" borderId="0" xfId="5" quotePrefix="1" applyNumberFormat="1" applyFont="1" applyAlignment="1">
      <alignment horizontal="center"/>
    </xf>
    <xf numFmtId="0" fontId="2" fillId="0" borderId="0" xfId="5" applyFont="1"/>
    <xf numFmtId="164" fontId="2" fillId="0" borderId="0" xfId="3" applyNumberFormat="1" applyFont="1" applyAlignment="1">
      <alignment horizontal="left"/>
    </xf>
    <xf numFmtId="165" fontId="2" fillId="0" borderId="0" xfId="1" applyFont="1" applyFill="1" applyBorder="1"/>
    <xf numFmtId="167" fontId="3" fillId="0" borderId="0" xfId="1" applyNumberFormat="1" applyFont="1" applyFill="1" applyAlignment="1">
      <alignment horizontal="right"/>
    </xf>
    <xf numFmtId="37" fontId="2" fillId="0" borderId="0" xfId="2" quotePrefix="1" applyNumberFormat="1" applyFont="1" applyAlignment="1">
      <alignment horizontal="center"/>
    </xf>
    <xf numFmtId="37" fontId="3" fillId="0" borderId="1" xfId="2" applyNumberFormat="1" applyFont="1" applyBorder="1" applyAlignment="1">
      <alignment horizontal="center"/>
    </xf>
    <xf numFmtId="166" fontId="3" fillId="0" borderId="0" xfId="9" applyNumberFormat="1" applyFont="1" applyFill="1"/>
    <xf numFmtId="166" fontId="2" fillId="0" borderId="0" xfId="1" applyNumberFormat="1" applyFont="1" applyFill="1" applyAlignment="1">
      <alignment horizontal="right"/>
    </xf>
    <xf numFmtId="165" fontId="2" fillId="0" borderId="0" xfId="1" applyFont="1"/>
    <xf numFmtId="37" fontId="3" fillId="0" borderId="0" xfId="54" applyNumberFormat="1" applyFont="1" applyAlignment="1">
      <alignment horizontal="center"/>
    </xf>
    <xf numFmtId="37" fontId="5" fillId="0" borderId="0" xfId="54" quotePrefix="1" applyNumberFormat="1" applyFont="1" applyAlignment="1">
      <alignment horizontal="center"/>
    </xf>
    <xf numFmtId="166" fontId="2" fillId="0" borderId="0" xfId="1" quotePrefix="1" applyNumberFormat="1" applyFont="1" applyFill="1" applyAlignment="1">
      <alignment horizontal="right"/>
    </xf>
    <xf numFmtId="166" fontId="2" fillId="0" borderId="1" xfId="1" applyNumberFormat="1" applyFont="1" applyFill="1" applyBorder="1" applyAlignment="1"/>
    <xf numFmtId="166" fontId="5" fillId="0" borderId="4" xfId="1" applyNumberFormat="1" applyFont="1" applyFill="1" applyBorder="1" applyAlignment="1"/>
    <xf numFmtId="166" fontId="11" fillId="0" borderId="0" xfId="1" applyNumberFormat="1" applyFont="1" applyFill="1"/>
    <xf numFmtId="166" fontId="2" fillId="0" borderId="0" xfId="1" applyNumberFormat="1" applyFont="1" applyFill="1" applyAlignment="1"/>
    <xf numFmtId="166" fontId="11" fillId="0" borderId="1" xfId="1" applyNumberFormat="1" applyFont="1" applyFill="1" applyBorder="1" applyAlignment="1"/>
    <xf numFmtId="166" fontId="2" fillId="0" borderId="0" xfId="1" applyNumberFormat="1" applyFont="1" applyFill="1" applyBorder="1" applyAlignment="1"/>
    <xf numFmtId="37" fontId="5" fillId="0" borderId="2" xfId="54" quotePrefix="1" applyNumberFormat="1" applyFont="1" applyBorder="1" applyAlignment="1">
      <alignment horizontal="center"/>
    </xf>
    <xf numFmtId="0" fontId="12" fillId="0" borderId="0" xfId="221" applyFont="1" applyAlignment="1">
      <alignment horizontal="center"/>
    </xf>
    <xf numFmtId="0" fontId="12" fillId="0" borderId="0" xfId="193" applyFont="1" applyAlignment="1">
      <alignment horizontal="center"/>
    </xf>
    <xf numFmtId="0" fontId="12" fillId="0" borderId="0" xfId="134" applyFont="1" applyAlignment="1">
      <alignment horizontal="center"/>
    </xf>
    <xf numFmtId="0" fontId="12" fillId="0" borderId="0" xfId="228" applyFont="1" applyAlignment="1">
      <alignment horizontal="center"/>
    </xf>
    <xf numFmtId="0" fontId="2" fillId="0" borderId="0" xfId="133" applyFont="1"/>
    <xf numFmtId="167" fontId="2" fillId="0" borderId="0" xfId="9" applyNumberFormat="1" applyFont="1" applyFill="1"/>
    <xf numFmtId="0" fontId="2" fillId="0" borderId="0" xfId="196" applyFont="1"/>
    <xf numFmtId="0" fontId="2" fillId="0" borderId="0" xfId="142" applyFont="1"/>
    <xf numFmtId="0" fontId="1" fillId="0" borderId="0" xfId="146"/>
    <xf numFmtId="0" fontId="12" fillId="0" borderId="0" xfId="146" applyFont="1" applyAlignment="1">
      <alignment horizontal="center"/>
    </xf>
    <xf numFmtId="168" fontId="2" fillId="0" borderId="5" xfId="9" applyNumberFormat="1" applyFont="1" applyFill="1" applyBorder="1"/>
    <xf numFmtId="0" fontId="1" fillId="0" borderId="0" xfId="182"/>
    <xf numFmtId="0" fontId="12" fillId="0" borderId="0" xfId="182" applyFont="1" applyAlignment="1">
      <alignment horizontal="center"/>
    </xf>
    <xf numFmtId="0" fontId="1" fillId="0" borderId="0" xfId="147"/>
    <xf numFmtId="0" fontId="12" fillId="0" borderId="0" xfId="147" applyFont="1" applyAlignment="1">
      <alignment horizontal="center"/>
    </xf>
    <xf numFmtId="0" fontId="1" fillId="0" borderId="0" xfId="188"/>
    <xf numFmtId="0" fontId="12" fillId="0" borderId="0" xfId="188" applyFont="1" applyAlignment="1">
      <alignment horizontal="center"/>
    </xf>
    <xf numFmtId="168" fontId="2" fillId="0" borderId="0" xfId="1" applyNumberFormat="1" applyFont="1" applyFill="1" applyBorder="1"/>
    <xf numFmtId="168" fontId="2" fillId="0" borderId="0" xfId="1" applyNumberFormat="1" applyFont="1" applyFill="1" applyBorder="1" applyAlignment="1">
      <alignment horizontal="right"/>
    </xf>
    <xf numFmtId="168" fontId="2" fillId="0" borderId="3" xfId="1" applyNumberFormat="1" applyFont="1" applyFill="1" applyBorder="1"/>
    <xf numFmtId="168" fontId="2" fillId="0" borderId="4" xfId="1" applyNumberFormat="1" applyFont="1" applyFill="1" applyBorder="1"/>
    <xf numFmtId="168" fontId="2" fillId="0" borderId="1" xfId="9" applyNumberFormat="1" applyFont="1" applyFill="1" applyBorder="1"/>
    <xf numFmtId="168" fontId="2" fillId="0" borderId="1" xfId="1" applyNumberFormat="1" applyFont="1" applyFill="1" applyBorder="1"/>
    <xf numFmtId="167" fontId="2" fillId="0" borderId="0" xfId="1" applyNumberFormat="1" applyFont="1" applyFill="1" applyBorder="1" applyAlignment="1">
      <alignment horizontal="right"/>
    </xf>
    <xf numFmtId="181" fontId="2" fillId="0" borderId="0" xfId="1" applyNumberFormat="1" applyFont="1" applyFill="1" applyBorder="1" applyAlignment="1">
      <alignment horizontal="right"/>
    </xf>
    <xf numFmtId="0" fontId="2" fillId="0" borderId="0" xfId="54" applyFont="1"/>
    <xf numFmtId="165" fontId="2" fillId="0" borderId="0" xfId="1" applyFont="1" applyFill="1" applyBorder="1" applyAlignment="1"/>
    <xf numFmtId="37" fontId="2" fillId="0" borderId="0" xfId="126" applyNumberFormat="1" applyFont="1"/>
    <xf numFmtId="37" fontId="2" fillId="0" borderId="1" xfId="2" applyNumberFormat="1" applyFont="1" applyBorder="1"/>
    <xf numFmtId="37" fontId="2" fillId="0" borderId="0" xfId="17" applyNumberFormat="1" applyFont="1" applyFill="1" applyBorder="1" applyAlignment="1"/>
    <xf numFmtId="37" fontId="2" fillId="0" borderId="0" xfId="4" applyNumberFormat="1" applyFont="1" applyAlignment="1">
      <alignment horizontal="left"/>
    </xf>
    <xf numFmtId="37" fontId="2" fillId="0" borderId="0" xfId="3" applyNumberFormat="1" applyFont="1"/>
    <xf numFmtId="37" fontId="2" fillId="0" borderId="0" xfId="3" applyNumberFormat="1" applyFont="1" applyAlignment="1">
      <alignment horizontal="center"/>
    </xf>
    <xf numFmtId="37" fontId="2" fillId="0" borderId="3" xfId="17" applyNumberFormat="1" applyFont="1" applyFill="1" applyBorder="1" applyAlignment="1"/>
    <xf numFmtId="37" fontId="2" fillId="0" borderId="0" xfId="8" applyNumberFormat="1" applyFont="1" applyFill="1" applyAlignment="1"/>
    <xf numFmtId="37" fontId="2" fillId="0" borderId="1" xfId="17" applyNumberFormat="1" applyFont="1" applyFill="1" applyBorder="1" applyAlignment="1"/>
    <xf numFmtId="37" fontId="2" fillId="0" borderId="5" xfId="17" applyNumberFormat="1" applyFont="1" applyFill="1" applyBorder="1" applyAlignment="1"/>
    <xf numFmtId="37" fontId="10" fillId="0" borderId="0" xfId="17" applyNumberFormat="1" applyFont="1" applyFill="1" applyBorder="1" applyAlignment="1"/>
    <xf numFmtId="37" fontId="10" fillId="0" borderId="0" xfId="2" applyNumberFormat="1" applyFont="1"/>
    <xf numFmtId="37" fontId="11" fillId="0" borderId="0" xfId="8" applyNumberFormat="1" applyFont="1" applyFill="1" applyBorder="1" applyAlignment="1"/>
    <xf numFmtId="37" fontId="2" fillId="0" borderId="0" xfId="7" applyNumberFormat="1" applyFont="1"/>
    <xf numFmtId="37" fontId="2" fillId="0" borderId="0" xfId="54" applyNumberFormat="1" applyFont="1"/>
    <xf numFmtId="39" fontId="2" fillId="0" borderId="0" xfId="7" applyNumberFormat="1" applyFont="1" applyAlignment="1">
      <alignment vertical="center"/>
    </xf>
    <xf numFmtId="37" fontId="11" fillId="0" borderId="0" xfId="7" applyNumberFormat="1" applyFont="1"/>
    <xf numFmtId="166" fontId="2" fillId="0" borderId="3" xfId="1" applyNumberFormat="1" applyFont="1" applyFill="1" applyBorder="1" applyAlignment="1"/>
    <xf numFmtId="166" fontId="2" fillId="0" borderId="2" xfId="1" applyNumberFormat="1" applyFont="1" applyFill="1" applyBorder="1" applyAlignment="1">
      <alignment horizontal="right"/>
    </xf>
    <xf numFmtId="37" fontId="2" fillId="0" borderId="0" xfId="6" applyNumberFormat="1" applyFont="1"/>
    <xf numFmtId="37" fontId="2" fillId="0" borderId="0" xfId="6" applyNumberFormat="1" applyFont="1" applyAlignment="1">
      <alignment horizontal="left"/>
    </xf>
    <xf numFmtId="37" fontId="11" fillId="0" borderId="0" xfId="6" applyNumberFormat="1" applyFont="1"/>
    <xf numFmtId="37" fontId="3" fillId="0" borderId="0" xfId="7" applyNumberFormat="1" applyFont="1"/>
    <xf numFmtId="39" fontId="11" fillId="0" borderId="0" xfId="7" applyNumberFormat="1" applyFont="1" applyAlignment="1">
      <alignment vertical="center"/>
    </xf>
    <xf numFmtId="39" fontId="3" fillId="0" borderId="0" xfId="7" applyNumberFormat="1" applyFont="1" applyAlignment="1">
      <alignment vertical="center"/>
    </xf>
    <xf numFmtId="39" fontId="3" fillId="0" borderId="0" xfId="7" applyNumberFormat="1" applyFont="1" applyAlignment="1">
      <alignment horizontal="left" vertical="center"/>
    </xf>
    <xf numFmtId="166" fontId="2" fillId="0" borderId="0" xfId="1" applyNumberFormat="1" applyFont="1" applyFill="1" applyBorder="1" applyAlignment="1">
      <alignment vertical="center"/>
    </xf>
    <xf numFmtId="166" fontId="2" fillId="0" borderId="1" xfId="1" applyNumberFormat="1" applyFont="1" applyFill="1" applyBorder="1" applyAlignment="1">
      <alignment vertical="center"/>
    </xf>
    <xf numFmtId="166" fontId="3" fillId="0" borderId="0" xfId="1" applyNumberFormat="1" applyFont="1" applyFill="1" applyBorder="1" applyAlignment="1">
      <alignment vertical="center"/>
    </xf>
    <xf numFmtId="166" fontId="3" fillId="0" borderId="4" xfId="1" applyNumberFormat="1" applyFont="1" applyFill="1" applyBorder="1" applyAlignment="1">
      <alignment vertical="center"/>
    </xf>
    <xf numFmtId="166" fontId="11" fillId="0" borderId="0" xfId="1" applyNumberFormat="1" applyFont="1" applyFill="1" applyBorder="1" applyAlignment="1"/>
    <xf numFmtId="166" fontId="11" fillId="0" borderId="0" xfId="1" applyNumberFormat="1" applyFont="1" applyFill="1" applyAlignment="1"/>
    <xf numFmtId="166" fontId="11" fillId="0" borderId="0" xfId="1" quotePrefix="1" applyNumberFormat="1" applyFont="1" applyFill="1" applyAlignment="1">
      <alignment horizontal="right"/>
    </xf>
    <xf numFmtId="37" fontId="31" fillId="0" borderId="0" xfId="1" quotePrefix="1" applyNumberFormat="1" applyFont="1" applyFill="1" applyBorder="1" applyAlignment="1">
      <alignment horizontal="center"/>
    </xf>
    <xf numFmtId="37" fontId="5" fillId="0" borderId="2" xfId="168" quotePrefix="1" applyNumberFormat="1" applyFont="1" applyBorder="1" applyAlignment="1">
      <alignment horizontal="center"/>
    </xf>
    <xf numFmtId="37" fontId="5" fillId="0" borderId="2" xfId="304" quotePrefix="1" applyNumberFormat="1" applyFont="1" applyBorder="1" applyAlignment="1">
      <alignment horizontal="center"/>
    </xf>
    <xf numFmtId="37" fontId="5" fillId="0" borderId="2" xfId="219" quotePrefix="1" applyNumberFormat="1" applyFont="1" applyBorder="1" applyAlignment="1">
      <alignment horizontal="center"/>
    </xf>
    <xf numFmtId="37" fontId="5" fillId="0" borderId="2" xfId="306" quotePrefix="1" applyNumberFormat="1" applyFont="1" applyBorder="1" applyAlignment="1">
      <alignment horizontal="center"/>
    </xf>
    <xf numFmtId="37" fontId="5" fillId="0" borderId="2" xfId="220" quotePrefix="1" applyNumberFormat="1" applyFont="1" applyBorder="1" applyAlignment="1">
      <alignment horizontal="center"/>
    </xf>
    <xf numFmtId="37" fontId="5" fillId="0" borderId="2" xfId="302" quotePrefix="1" applyNumberFormat="1" applyFont="1" applyBorder="1" applyAlignment="1">
      <alignment horizontal="center"/>
    </xf>
    <xf numFmtId="37" fontId="5" fillId="0" borderId="2" xfId="299" quotePrefix="1" applyNumberFormat="1" applyFont="1" applyBorder="1" applyAlignment="1">
      <alignment horizontal="center"/>
    </xf>
    <xf numFmtId="37" fontId="5" fillId="0" borderId="2" xfId="254" quotePrefix="1" applyNumberFormat="1" applyFont="1" applyBorder="1" applyAlignment="1">
      <alignment horizontal="center"/>
    </xf>
    <xf numFmtId="37" fontId="5" fillId="0" borderId="2" xfId="289" quotePrefix="1" applyNumberFormat="1" applyFont="1" applyBorder="1" applyAlignment="1">
      <alignment horizontal="center"/>
    </xf>
    <xf numFmtId="37" fontId="5" fillId="0" borderId="2" xfId="343" quotePrefix="1" applyNumberFormat="1" applyFont="1" applyBorder="1" applyAlignment="1">
      <alignment horizontal="center"/>
    </xf>
    <xf numFmtId="37" fontId="5" fillId="0" borderId="2" xfId="224" quotePrefix="1" applyNumberFormat="1" applyFont="1" applyBorder="1" applyAlignment="1">
      <alignment horizontal="center"/>
    </xf>
    <xf numFmtId="37" fontId="5" fillId="0" borderId="2" xfId="342" quotePrefix="1" applyNumberFormat="1" applyFont="1" applyBorder="1" applyAlignment="1">
      <alignment horizontal="center"/>
    </xf>
    <xf numFmtId="0" fontId="2" fillId="0" borderId="0" xfId="0" applyFont="1"/>
    <xf numFmtId="3" fontId="2" fillId="0" borderId="0" xfId="0" applyNumberFormat="1" applyFont="1"/>
    <xf numFmtId="3" fontId="2" fillId="0" borderId="3" xfId="0" applyNumberFormat="1" applyFont="1" applyBorder="1"/>
    <xf numFmtId="37" fontId="11" fillId="0" borderId="8" xfId="2" applyNumberFormat="1" applyFont="1" applyBorder="1"/>
    <xf numFmtId="37" fontId="2" fillId="0" borderId="8" xfId="2" applyNumberFormat="1" applyFont="1" applyBorder="1"/>
    <xf numFmtId="3" fontId="2" fillId="0" borderId="8" xfId="0" applyNumberFormat="1" applyFont="1" applyBorder="1"/>
    <xf numFmtId="166" fontId="2" fillId="0" borderId="8" xfId="1" applyNumberFormat="1" applyFont="1" applyFill="1" applyBorder="1" applyAlignment="1"/>
    <xf numFmtId="166" fontId="2" fillId="0" borderId="8" xfId="1" applyNumberFormat="1" applyFont="1" applyFill="1" applyBorder="1" applyAlignment="1">
      <alignment horizontal="right"/>
    </xf>
    <xf numFmtId="166" fontId="2" fillId="0" borderId="0" xfId="1" applyNumberFormat="1" applyFont="1" applyAlignment="1">
      <alignment horizontal="right"/>
    </xf>
    <xf numFmtId="166" fontId="2" fillId="0" borderId="0" xfId="1" applyNumberFormat="1" applyFont="1"/>
    <xf numFmtId="3" fontId="2" fillId="0" borderId="1" xfId="0" applyNumberFormat="1" applyFont="1" applyBorder="1"/>
    <xf numFmtId="3" fontId="2" fillId="0" borderId="5" xfId="0" applyNumberFormat="1" applyFont="1" applyBorder="1"/>
    <xf numFmtId="166" fontId="11" fillId="0" borderId="0" xfId="1" applyNumberFormat="1" applyFont="1" applyFill="1" applyAlignment="1">
      <alignment horizontal="right"/>
    </xf>
    <xf numFmtId="166" fontId="2" fillId="0" borderId="1" xfId="1" applyNumberFormat="1" applyFont="1" applyBorder="1" applyAlignment="1">
      <alignment horizontal="right"/>
    </xf>
    <xf numFmtId="166" fontId="2" fillId="0" borderId="8" xfId="1" applyNumberFormat="1" applyFont="1" applyBorder="1" applyAlignment="1">
      <alignment horizontal="right"/>
    </xf>
    <xf numFmtId="3" fontId="3" fillId="0" borderId="0" xfId="0" applyNumberFormat="1" applyFont="1"/>
    <xf numFmtId="3" fontId="3" fillId="0" borderId="4" xfId="0" applyNumberFormat="1" applyFont="1" applyBorder="1"/>
    <xf numFmtId="166" fontId="3" fillId="0" borderId="4" xfId="1" applyNumberFormat="1" applyFont="1" applyBorder="1" applyAlignment="1">
      <alignment vertical="center"/>
    </xf>
    <xf numFmtId="166" fontId="2" fillId="0" borderId="1" xfId="1" applyNumberFormat="1" applyFont="1" applyBorder="1"/>
    <xf numFmtId="166" fontId="3" fillId="0" borderId="0" xfId="1" applyNumberFormat="1" applyFont="1" applyAlignment="1">
      <alignment vertical="center"/>
    </xf>
    <xf numFmtId="166" fontId="2" fillId="0" borderId="1" xfId="1" applyNumberFormat="1" applyFont="1" applyBorder="1" applyAlignment="1">
      <alignment vertical="center"/>
    </xf>
    <xf numFmtId="166" fontId="2" fillId="0" borderId="0" xfId="1" applyNumberFormat="1" applyFont="1" applyAlignment="1">
      <alignment vertical="center"/>
    </xf>
    <xf numFmtId="166" fontId="2" fillId="0" borderId="16" xfId="1" applyNumberFormat="1" applyFont="1" applyBorder="1" applyAlignment="1">
      <alignment horizontal="right"/>
    </xf>
    <xf numFmtId="39" fontId="2" fillId="11" borderId="0" xfId="7" applyNumberFormat="1" applyFont="1" applyFill="1" applyAlignment="1">
      <alignment vertical="center"/>
    </xf>
    <xf numFmtId="0" fontId="2" fillId="11" borderId="0" xfId="54" applyFont="1" applyFill="1"/>
    <xf numFmtId="37" fontId="2" fillId="11" borderId="0" xfId="7" applyNumberFormat="1" applyFont="1" applyFill="1"/>
    <xf numFmtId="43" fontId="1" fillId="0" borderId="0" xfId="2" applyNumberFormat="1"/>
    <xf numFmtId="166" fontId="2" fillId="9" borderId="0" xfId="1" applyNumberFormat="1" applyFont="1" applyFill="1"/>
    <xf numFmtId="166" fontId="2" fillId="5" borderId="3" xfId="1" applyNumberFormat="1" applyFont="1" applyFill="1" applyBorder="1" applyAlignment="1">
      <alignment horizontal="right"/>
    </xf>
    <xf numFmtId="37" fontId="2" fillId="12" borderId="0" xfId="2" applyNumberFormat="1" applyFont="1" applyFill="1"/>
    <xf numFmtId="37" fontId="2" fillId="8" borderId="0" xfId="7" applyNumberFormat="1" applyFont="1" applyFill="1"/>
    <xf numFmtId="37" fontId="2" fillId="8" borderId="0" xfId="2" applyNumberFormat="1" applyFont="1" applyFill="1"/>
    <xf numFmtId="166" fontId="2" fillId="8" borderId="0" xfId="1" applyNumberFormat="1" applyFont="1" applyFill="1"/>
    <xf numFmtId="166" fontId="2" fillId="8" borderId="0" xfId="1" applyNumberFormat="1" applyFont="1" applyFill="1" applyBorder="1" applyAlignment="1">
      <alignment horizontal="right"/>
    </xf>
    <xf numFmtId="3" fontId="2" fillId="8" borderId="0" xfId="0" applyNumberFormat="1" applyFont="1" applyFill="1"/>
    <xf numFmtId="166" fontId="11" fillId="8" borderId="0" xfId="1" applyNumberFormat="1" applyFont="1" applyFill="1" applyBorder="1" applyAlignment="1"/>
    <xf numFmtId="166" fontId="2" fillId="8" borderId="0" xfId="1" quotePrefix="1" applyNumberFormat="1" applyFont="1" applyFill="1" applyAlignment="1">
      <alignment horizontal="right"/>
    </xf>
    <xf numFmtId="37" fontId="2" fillId="8" borderId="0" xfId="6" applyNumberFormat="1" applyFont="1" applyFill="1" applyAlignment="1">
      <alignment horizontal="left"/>
    </xf>
    <xf numFmtId="0" fontId="37" fillId="8" borderId="0" xfId="0" applyFont="1" applyFill="1"/>
    <xf numFmtId="167" fontId="3" fillId="6" borderId="0" xfId="1" applyNumberFormat="1" applyFont="1" applyFill="1" applyAlignment="1" applyProtection="1">
      <alignment horizontal="center"/>
    </xf>
    <xf numFmtId="9" fontId="2" fillId="0" borderId="0" xfId="1" applyNumberFormat="1" applyFont="1" applyFill="1" applyBorder="1"/>
    <xf numFmtId="166" fontId="11" fillId="8" borderId="0" xfId="1" applyNumberFormat="1" applyFont="1" applyFill="1" applyAlignment="1"/>
    <xf numFmtId="166" fontId="2" fillId="8" borderId="0" xfId="1" applyNumberFormat="1" applyFont="1" applyFill="1" applyAlignment="1"/>
    <xf numFmtId="166" fontId="2" fillId="6" borderId="0" xfId="1" applyNumberFormat="1" applyFont="1" applyFill="1" applyAlignment="1"/>
    <xf numFmtId="164" fontId="2" fillId="8" borderId="0" xfId="3" applyNumberFormat="1" applyFont="1" applyFill="1"/>
    <xf numFmtId="0" fontId="2" fillId="8" borderId="0" xfId="3" applyFont="1" applyFill="1"/>
    <xf numFmtId="164" fontId="2" fillId="8" borderId="0" xfId="3" quotePrefix="1" applyNumberFormat="1" applyFont="1" applyFill="1" applyAlignment="1">
      <alignment horizontal="center"/>
    </xf>
    <xf numFmtId="165" fontId="2" fillId="8" borderId="0" xfId="1" applyFont="1" applyFill="1"/>
    <xf numFmtId="168" fontId="2" fillId="8" borderId="0" xfId="9" applyNumberFormat="1" applyFont="1" applyFill="1" applyBorder="1"/>
    <xf numFmtId="166" fontId="2" fillId="8" borderId="0" xfId="9" applyNumberFormat="1" applyFont="1" applyFill="1" applyBorder="1"/>
    <xf numFmtId="164" fontId="2" fillId="6" borderId="0" xfId="3" applyNumberFormat="1" applyFont="1" applyFill="1"/>
    <xf numFmtId="0" fontId="2" fillId="6" borderId="0" xfId="3" applyFont="1" applyFill="1"/>
    <xf numFmtId="164" fontId="2" fillId="6" borderId="0" xfId="3" quotePrefix="1" applyNumberFormat="1" applyFont="1" applyFill="1" applyAlignment="1">
      <alignment horizontal="center"/>
    </xf>
    <xf numFmtId="168" fontId="2" fillId="6" borderId="0" xfId="9" applyNumberFormat="1" applyFont="1" applyFill="1"/>
    <xf numFmtId="168" fontId="2" fillId="6" borderId="0" xfId="9" applyNumberFormat="1" applyFont="1" applyFill="1" applyBorder="1"/>
    <xf numFmtId="166" fontId="2" fillId="6" borderId="0" xfId="9" applyNumberFormat="1" applyFont="1" applyFill="1"/>
    <xf numFmtId="166" fontId="2" fillId="6" borderId="0" xfId="9" applyNumberFormat="1" applyFont="1" applyFill="1" applyBorder="1"/>
    <xf numFmtId="164" fontId="2" fillId="6" borderId="0" xfId="2" applyNumberFormat="1" applyFont="1" applyFill="1"/>
    <xf numFmtId="164" fontId="2" fillId="6" borderId="0" xfId="3" quotePrefix="1" applyNumberFormat="1" applyFont="1" applyFill="1"/>
    <xf numFmtId="164" fontId="2" fillId="6" borderId="0" xfId="5" applyNumberFormat="1" applyFont="1" applyFill="1"/>
    <xf numFmtId="166" fontId="2" fillId="6" borderId="0" xfId="1" applyNumberFormat="1" applyFont="1" applyFill="1"/>
    <xf numFmtId="0" fontId="38" fillId="0" borderId="0" xfId="0" applyFont="1"/>
    <xf numFmtId="0" fontId="38" fillId="0" borderId="0" xfId="0" applyFont="1" applyAlignment="1">
      <alignment vertical="center"/>
    </xf>
    <xf numFmtId="37" fontId="2" fillId="5" borderId="3" xfId="1" applyNumberFormat="1" applyFont="1" applyFill="1" applyBorder="1" applyAlignment="1">
      <alignment horizontal="right"/>
    </xf>
    <xf numFmtId="37" fontId="3" fillId="0" borderId="0" xfId="126" applyNumberFormat="1" applyFont="1" applyAlignment="1">
      <alignment horizontal="center"/>
    </xf>
    <xf numFmtId="166" fontId="5" fillId="0" borderId="0" xfId="1" applyNumberFormat="1" applyFont="1" applyFill="1" applyBorder="1" applyAlignment="1"/>
    <xf numFmtId="0" fontId="43" fillId="0" borderId="10" xfId="344" applyFont="1" applyBorder="1"/>
    <xf numFmtId="4" fontId="43" fillId="0" borderId="11" xfId="344" applyNumberFormat="1" applyFont="1" applyBorder="1"/>
    <xf numFmtId="0" fontId="43" fillId="0" borderId="0" xfId="344" applyFont="1"/>
    <xf numFmtId="0" fontId="43" fillId="0" borderId="11" xfId="344" applyFont="1" applyBorder="1"/>
    <xf numFmtId="0" fontId="43" fillId="0" borderId="12" xfId="344" applyFont="1" applyBorder="1"/>
    <xf numFmtId="4" fontId="43" fillId="0" borderId="13" xfId="344" applyNumberFormat="1" applyFont="1" applyBorder="1"/>
    <xf numFmtId="10" fontId="43" fillId="0" borderId="13" xfId="344" applyNumberFormat="1" applyFont="1" applyBorder="1"/>
    <xf numFmtId="0" fontId="43" fillId="0" borderId="14" xfId="344" applyFont="1" applyBorder="1"/>
    <xf numFmtId="10" fontId="43" fillId="6" borderId="15" xfId="344" applyNumberFormat="1" applyFont="1" applyFill="1" applyBorder="1"/>
    <xf numFmtId="0" fontId="43" fillId="0" borderId="13" xfId="344" applyFont="1" applyBorder="1"/>
    <xf numFmtId="0" fontId="44" fillId="0" borderId="0" xfId="344" applyFont="1"/>
    <xf numFmtId="4" fontId="43" fillId="0" borderId="0" xfId="344" applyNumberFormat="1" applyFont="1"/>
    <xf numFmtId="4" fontId="43" fillId="6" borderId="0" xfId="344" applyNumberFormat="1" applyFont="1" applyFill="1"/>
    <xf numFmtId="9" fontId="43" fillId="0" borderId="0" xfId="344" applyNumberFormat="1" applyFont="1"/>
    <xf numFmtId="10" fontId="43" fillId="10" borderId="0" xfId="344" applyNumberFormat="1" applyFont="1" applyFill="1"/>
    <xf numFmtId="0" fontId="38" fillId="0" borderId="0" xfId="0" applyFont="1" applyAlignment="1">
      <alignment horizontal="left" indent="1"/>
    </xf>
    <xf numFmtId="183" fontId="42" fillId="0" borderId="0" xfId="0" applyNumberFormat="1" applyFont="1"/>
    <xf numFmtId="0" fontId="41" fillId="0" borderId="0" xfId="0" applyFont="1"/>
    <xf numFmtId="3" fontId="41" fillId="0" borderId="0" xfId="0" applyNumberFormat="1" applyFont="1"/>
    <xf numFmtId="166" fontId="1" fillId="0" borderId="0" xfId="2" applyNumberFormat="1"/>
    <xf numFmtId="0" fontId="39" fillId="0" borderId="0" xfId="0" applyFont="1"/>
    <xf numFmtId="0" fontId="41" fillId="0" borderId="0" xfId="0" applyFont="1" applyAlignment="1">
      <alignment horizontal="right"/>
    </xf>
    <xf numFmtId="0" fontId="45" fillId="0" borderId="0" xfId="0" applyFont="1" applyAlignment="1">
      <alignment horizontal="right"/>
    </xf>
    <xf numFmtId="0" fontId="46" fillId="0" borderId="0" xfId="0" applyFont="1" applyAlignment="1">
      <alignment horizontal="right"/>
    </xf>
    <xf numFmtId="167" fontId="3" fillId="0" borderId="1" xfId="1" applyNumberFormat="1" applyFont="1" applyFill="1" applyBorder="1" applyAlignment="1">
      <alignment horizontal="center" vertical="center"/>
    </xf>
    <xf numFmtId="164" fontId="3" fillId="0" borderId="0" xfId="3" applyNumberFormat="1" applyFont="1" applyAlignment="1">
      <alignment horizontal="center"/>
    </xf>
    <xf numFmtId="39" fontId="3" fillId="0" borderId="0" xfId="4" applyFont="1" applyAlignment="1">
      <alignment horizontal="center"/>
    </xf>
    <xf numFmtId="39" fontId="3" fillId="0" borderId="1" xfId="4" applyFont="1" applyBorder="1" applyAlignment="1">
      <alignment horizontal="center"/>
    </xf>
    <xf numFmtId="37" fontId="2" fillId="0" borderId="0" xfId="2" quotePrefix="1" applyNumberFormat="1" applyFont="1" applyAlignment="1">
      <alignment horizontal="center"/>
    </xf>
    <xf numFmtId="37" fontId="3" fillId="0" borderId="0" xfId="54" applyNumberFormat="1" applyFont="1" applyAlignment="1">
      <alignment horizontal="center"/>
    </xf>
    <xf numFmtId="37" fontId="3" fillId="0" borderId="1" xfId="126" applyNumberFormat="1" applyFont="1" applyBorder="1" applyAlignment="1">
      <alignment horizontal="center"/>
    </xf>
    <xf numFmtId="37" fontId="3" fillId="0" borderId="1" xfId="2" applyNumberFormat="1" applyFont="1" applyBorder="1" applyAlignment="1">
      <alignment horizontal="center"/>
    </xf>
    <xf numFmtId="37" fontId="3" fillId="0" borderId="0" xfId="3" applyNumberFormat="1" applyFont="1" applyAlignment="1">
      <alignment horizontal="center"/>
    </xf>
    <xf numFmtId="37" fontId="3" fillId="0" borderId="0" xfId="4" applyNumberFormat="1" applyFont="1" applyAlignment="1">
      <alignment horizontal="center"/>
    </xf>
    <xf numFmtId="37" fontId="3" fillId="0" borderId="1" xfId="4" applyNumberFormat="1" applyFont="1" applyBorder="1" applyAlignment="1">
      <alignment horizontal="center"/>
    </xf>
    <xf numFmtId="0" fontId="47" fillId="0" borderId="0" xfId="0" applyFont="1"/>
    <xf numFmtId="3" fontId="47" fillId="0" borderId="0" xfId="0" applyNumberFormat="1" applyFont="1"/>
    <xf numFmtId="0" fontId="47" fillId="0" borderId="1" xfId="0" applyFont="1" applyBorder="1"/>
    <xf numFmtId="3" fontId="47" fillId="0" borderId="1" xfId="0" applyNumberFormat="1" applyFont="1" applyBorder="1"/>
    <xf numFmtId="0" fontId="48" fillId="0" borderId="0" xfId="0" applyFont="1"/>
    <xf numFmtId="3" fontId="48" fillId="0" borderId="0" xfId="0" applyNumberFormat="1" applyFont="1"/>
    <xf numFmtId="9" fontId="47" fillId="0" borderId="0" xfId="0" applyNumberFormat="1" applyFont="1"/>
    <xf numFmtId="0" fontId="50" fillId="0" borderId="0" xfId="0" applyFont="1"/>
    <xf numFmtId="3" fontId="50" fillId="0" borderId="0" xfId="0" applyNumberFormat="1" applyFont="1"/>
    <xf numFmtId="0" fontId="50" fillId="0" borderId="1" xfId="0" applyFont="1" applyBorder="1"/>
    <xf numFmtId="3" fontId="50" fillId="0" borderId="1" xfId="0" applyNumberFormat="1" applyFont="1" applyBorder="1"/>
    <xf numFmtId="0" fontId="51" fillId="0" borderId="0" xfId="0" applyFont="1"/>
    <xf numFmtId="3" fontId="51" fillId="0" borderId="0" xfId="0" applyNumberFormat="1" applyFont="1"/>
    <xf numFmtId="9" fontId="50" fillId="0" borderId="0" xfId="0" applyNumberFormat="1" applyFont="1"/>
    <xf numFmtId="0" fontId="51" fillId="0" borderId="5" xfId="0" applyFont="1" applyBorder="1"/>
    <xf numFmtId="3" fontId="51" fillId="0" borderId="5" xfId="0" applyNumberFormat="1" applyFont="1" applyBorder="1"/>
    <xf numFmtId="4" fontId="51" fillId="0" borderId="0" xfId="0" applyNumberFormat="1" applyFont="1"/>
    <xf numFmtId="0" fontId="52" fillId="0" borderId="0" xfId="0" applyFont="1"/>
    <xf numFmtId="10" fontId="51" fillId="0" borderId="0" xfId="0" applyNumberFormat="1" applyFont="1"/>
    <xf numFmtId="9" fontId="51" fillId="0" borderId="0" xfId="0" applyNumberFormat="1" applyFont="1"/>
    <xf numFmtId="0" fontId="50" fillId="0" borderId="0" xfId="0" applyFont="1" applyAlignment="1">
      <alignment horizontal="right"/>
    </xf>
    <xf numFmtId="4" fontId="47" fillId="17" borderId="9" xfId="0" applyNumberFormat="1" applyFont="1" applyFill="1" applyBorder="1"/>
    <xf numFmtId="10" fontId="47" fillId="0" borderId="0" xfId="0" applyNumberFormat="1" applyFont="1"/>
    <xf numFmtId="182" fontId="53" fillId="0" borderId="0" xfId="0" applyNumberFormat="1" applyFont="1"/>
    <xf numFmtId="183" fontId="53" fillId="0" borderId="0" xfId="0" applyNumberFormat="1" applyFont="1"/>
    <xf numFmtId="0" fontId="54" fillId="0" borderId="0" xfId="0" applyFont="1"/>
    <xf numFmtId="182" fontId="47" fillId="7" borderId="0" xfId="0" applyNumberFormat="1" applyFont="1" applyFill="1"/>
    <xf numFmtId="183" fontId="47" fillId="5" borderId="0" xfId="0" applyNumberFormat="1" applyFont="1" applyFill="1"/>
    <xf numFmtId="0" fontId="47" fillId="13" borderId="9" xfId="0" applyFont="1" applyFill="1" applyBorder="1"/>
    <xf numFmtId="0" fontId="47" fillId="13" borderId="0" xfId="0" applyFont="1" applyFill="1"/>
    <xf numFmtId="10" fontId="47" fillId="8" borderId="0" xfId="0" applyNumberFormat="1" applyFont="1" applyFill="1"/>
    <xf numFmtId="0" fontId="47" fillId="0" borderId="6" xfId="0" applyFont="1" applyBorder="1"/>
    <xf numFmtId="9" fontId="47" fillId="8" borderId="0" xfId="0" applyNumberFormat="1" applyFont="1" applyFill="1"/>
    <xf numFmtId="4" fontId="47" fillId="0" borderId="0" xfId="0" applyNumberFormat="1" applyFont="1"/>
    <xf numFmtId="4" fontId="47" fillId="8" borderId="0" xfId="0" applyNumberFormat="1" applyFont="1" applyFill="1"/>
    <xf numFmtId="3" fontId="47" fillId="12" borderId="1" xfId="0" applyNumberFormat="1" applyFont="1" applyFill="1" applyBorder="1"/>
    <xf numFmtId="0" fontId="47" fillId="14" borderId="0" xfId="0" applyFont="1" applyFill="1"/>
    <xf numFmtId="0" fontId="48" fillId="0" borderId="17" xfId="0" applyFont="1" applyBorder="1"/>
    <xf numFmtId="3" fontId="48" fillId="0" borderId="17" xfId="0" applyNumberFormat="1" applyFont="1" applyBorder="1"/>
    <xf numFmtId="0" fontId="47" fillId="0" borderId="3" xfId="0" applyFont="1" applyBorder="1"/>
    <xf numFmtId="3" fontId="47" fillId="0" borderId="3" xfId="0" applyNumberFormat="1" applyFont="1" applyBorder="1"/>
    <xf numFmtId="0" fontId="47" fillId="0" borderId="2" xfId="0" applyFont="1" applyBorder="1"/>
    <xf numFmtId="3" fontId="47" fillId="0" borderId="2" xfId="0" applyNumberFormat="1" applyFont="1" applyBorder="1"/>
    <xf numFmtId="0" fontId="47" fillId="15" borderId="0" xfId="0" applyFont="1" applyFill="1"/>
    <xf numFmtId="0" fontId="40" fillId="16" borderId="9" xfId="0" applyFont="1" applyFill="1" applyBorder="1" applyAlignment="1">
      <alignment horizontal="center"/>
    </xf>
    <xf numFmtId="10" fontId="47" fillId="13" borderId="0" xfId="0" applyNumberFormat="1" applyFont="1" applyFill="1"/>
    <xf numFmtId="10" fontId="47" fillId="6" borderId="0" xfId="0" applyNumberFormat="1" applyFont="1" applyFill="1"/>
    <xf numFmtId="10" fontId="55" fillId="0" borderId="0" xfId="0" applyNumberFormat="1" applyFont="1"/>
    <xf numFmtId="2" fontId="47" fillId="0" borderId="0" xfId="0" applyNumberFormat="1" applyFont="1"/>
    <xf numFmtId="0" fontId="47" fillId="0" borderId="17" xfId="0" applyFont="1" applyBorder="1"/>
    <xf numFmtId="3" fontId="47" fillId="0" borderId="17" xfId="0" applyNumberFormat="1" applyFont="1" applyBorder="1"/>
    <xf numFmtId="0" fontId="47" fillId="0" borderId="4" xfId="0" applyFont="1" applyBorder="1"/>
    <xf numFmtId="4" fontId="47" fillId="17" borderId="4" xfId="0" applyNumberFormat="1" applyFont="1" applyFill="1" applyBorder="1"/>
    <xf numFmtId="0" fontId="47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47" fillId="0" borderId="0" xfId="0" applyFont="1" applyAlignment="1">
      <alignment horizontal="right"/>
    </xf>
    <xf numFmtId="4" fontId="57" fillId="0" borderId="0" xfId="0" applyNumberFormat="1" applyFont="1"/>
    <xf numFmtId="0" fontId="58" fillId="0" borderId="0" xfId="344" applyFont="1" applyAlignment="1">
      <alignment horizontal="right" vertical="center" textRotation="90" readingOrder="1"/>
    </xf>
    <xf numFmtId="4" fontId="47" fillId="0" borderId="10" xfId="0" applyNumberFormat="1" applyFont="1" applyBorder="1"/>
    <xf numFmtId="4" fontId="47" fillId="0" borderId="2" xfId="0" applyNumberFormat="1" applyFont="1" applyBorder="1"/>
    <xf numFmtId="4" fontId="47" fillId="0" borderId="11" xfId="0" applyNumberFormat="1" applyFont="1" applyBorder="1"/>
    <xf numFmtId="4" fontId="47" fillId="0" borderId="12" xfId="0" applyNumberFormat="1" applyFont="1" applyBorder="1"/>
    <xf numFmtId="4" fontId="47" fillId="0" borderId="13" xfId="0" applyNumberFormat="1" applyFont="1" applyBorder="1"/>
    <xf numFmtId="4" fontId="47" fillId="0" borderId="6" xfId="0" applyNumberFormat="1" applyFont="1" applyBorder="1"/>
    <xf numFmtId="4" fontId="47" fillId="0" borderId="14" xfId="0" applyNumberFormat="1" applyFont="1" applyBorder="1"/>
    <xf numFmtId="4" fontId="47" fillId="0" borderId="1" xfId="0" applyNumberFormat="1" applyFont="1" applyBorder="1"/>
    <xf numFmtId="4" fontId="47" fillId="0" borderId="15" xfId="0" applyNumberFormat="1" applyFont="1" applyBorder="1"/>
    <xf numFmtId="10" fontId="47" fillId="0" borderId="1" xfId="0" applyNumberFormat="1" applyFont="1" applyBorder="1"/>
    <xf numFmtId="0" fontId="59" fillId="0" borderId="0" xfId="0" applyFont="1"/>
    <xf numFmtId="0" fontId="60" fillId="0" borderId="0" xfId="0" applyFont="1" applyAlignment="1">
      <alignment vertical="center"/>
    </xf>
    <xf numFmtId="0" fontId="60" fillId="0" borderId="0" xfId="0" applyFont="1"/>
    <xf numFmtId="43" fontId="61" fillId="0" borderId="0" xfId="0" applyNumberFormat="1" applyFont="1"/>
    <xf numFmtId="0" fontId="62" fillId="0" borderId="0" xfId="0" applyFont="1" applyAlignment="1">
      <alignment vertical="center"/>
    </xf>
    <xf numFmtId="182" fontId="63" fillId="20" borderId="0" xfId="0" applyNumberFormat="1" applyFont="1" applyFill="1"/>
    <xf numFmtId="0" fontId="61" fillId="0" borderId="0" xfId="0" applyFont="1"/>
    <xf numFmtId="2" fontId="61" fillId="0" borderId="0" xfId="0" applyNumberFormat="1" applyFont="1"/>
    <xf numFmtId="165" fontId="64" fillId="0" borderId="0" xfId="1" applyFont="1"/>
    <xf numFmtId="37" fontId="61" fillId="0" borderId="0" xfId="0" applyNumberFormat="1" applyFont="1"/>
    <xf numFmtId="10" fontId="61" fillId="0" borderId="0" xfId="346" applyNumberFormat="1" applyFont="1"/>
    <xf numFmtId="3" fontId="65" fillId="0" borderId="0" xfId="1" applyNumberFormat="1" applyFont="1"/>
    <xf numFmtId="167" fontId="61" fillId="0" borderId="0" xfId="1" applyNumberFormat="1" applyFont="1"/>
    <xf numFmtId="165" fontId="61" fillId="0" borderId="0" xfId="0" applyNumberFormat="1" applyFont="1"/>
    <xf numFmtId="0" fontId="66" fillId="18" borderId="0" xfId="0" applyFont="1" applyFill="1" applyAlignment="1">
      <alignment vertical="center"/>
    </xf>
    <xf numFmtId="0" fontId="66" fillId="19" borderId="0" xfId="0" applyFont="1" applyFill="1" applyAlignment="1">
      <alignment vertical="center"/>
    </xf>
    <xf numFmtId="0" fontId="8" fillId="0" borderId="0" xfId="344"/>
    <xf numFmtId="186" fontId="8" fillId="0" borderId="0" xfId="344" applyNumberFormat="1"/>
    <xf numFmtId="0" fontId="8" fillId="0" borderId="1" xfId="344" applyBorder="1"/>
    <xf numFmtId="4" fontId="8" fillId="0" borderId="0" xfId="344" applyNumberFormat="1"/>
    <xf numFmtId="0" fontId="8" fillId="6" borderId="0" xfId="344" applyFill="1"/>
    <xf numFmtId="0" fontId="8" fillId="21" borderId="0" xfId="344" applyFill="1"/>
    <xf numFmtId="10" fontId="43" fillId="0" borderId="0" xfId="344" applyNumberFormat="1" applyFont="1"/>
    <xf numFmtId="2" fontId="43" fillId="0" borderId="0" xfId="344" applyNumberFormat="1" applyFont="1"/>
    <xf numFmtId="0" fontId="43" fillId="0" borderId="5" xfId="344" applyFont="1" applyBorder="1"/>
    <xf numFmtId="10" fontId="43" fillId="0" borderId="5" xfId="344" applyNumberFormat="1" applyFont="1" applyBorder="1"/>
    <xf numFmtId="0" fontId="43" fillId="0" borderId="1" xfId="344" applyFont="1" applyBorder="1"/>
    <xf numFmtId="10" fontId="43" fillId="0" borderId="1" xfId="344" applyNumberFormat="1" applyFont="1" applyBorder="1"/>
    <xf numFmtId="0" fontId="43" fillId="12" borderId="0" xfId="344" applyFont="1" applyFill="1"/>
    <xf numFmtId="10" fontId="43" fillId="12" borderId="0" xfId="344" applyNumberFormat="1" applyFont="1" applyFill="1"/>
    <xf numFmtId="0" fontId="8" fillId="0" borderId="0" xfId="344" applyAlignment="1">
      <alignment horizontal="right"/>
    </xf>
    <xf numFmtId="0" fontId="43" fillId="0" borderId="25" xfId="344" applyFont="1" applyBorder="1"/>
    <xf numFmtId="0" fontId="43" fillId="0" borderId="24" xfId="344" applyFont="1" applyBorder="1"/>
    <xf numFmtId="0" fontId="43" fillId="0" borderId="23" xfId="344" applyFont="1" applyBorder="1"/>
    <xf numFmtId="0" fontId="43" fillId="0" borderId="22" xfId="344" applyFont="1" applyBorder="1"/>
    <xf numFmtId="0" fontId="43" fillId="10" borderId="0" xfId="344" applyFont="1" applyFill="1"/>
    <xf numFmtId="0" fontId="43" fillId="0" borderId="21" xfId="344" applyFont="1" applyBorder="1"/>
    <xf numFmtId="4" fontId="43" fillId="10" borderId="0" xfId="344" applyNumberFormat="1" applyFont="1" applyFill="1"/>
    <xf numFmtId="0" fontId="43" fillId="0" borderId="20" xfId="344" applyFont="1" applyBorder="1"/>
    <xf numFmtId="0" fontId="43" fillId="0" borderId="19" xfId="344" applyFont="1" applyBorder="1"/>
    <xf numFmtId="0" fontId="43" fillId="0" borderId="18" xfId="344" applyFont="1" applyBorder="1"/>
    <xf numFmtId="0" fontId="43" fillId="22" borderId="0" xfId="344" applyFont="1" applyFill="1"/>
    <xf numFmtId="4" fontId="43" fillId="22" borderId="0" xfId="344" applyNumberFormat="1" applyFont="1" applyFill="1"/>
    <xf numFmtId="0" fontId="51" fillId="0" borderId="0" xfId="0" applyFont="1" applyBorder="1"/>
    <xf numFmtId="3" fontId="51" fillId="0" borderId="0" xfId="0" applyNumberFormat="1" applyFont="1" applyBorder="1"/>
    <xf numFmtId="10" fontId="49" fillId="0" borderId="0" xfId="346" applyNumberFormat="1" applyFont="1"/>
    <xf numFmtId="0" fontId="43" fillId="0" borderId="0" xfId="344" quotePrefix="1" applyFont="1"/>
  </cellXfs>
  <cellStyles count="347">
    <cellStyle name="0,0_x000a__x000a_NA_x000a__x000a_" xfId="12" xr:uid="{8F00FF7B-9EF8-4A45-B3A0-F8A879CAD0C8}"/>
    <cellStyle name="border" xfId="13" xr:uid="{4010690A-D1E9-48D3-9B00-3D34D1C135AD}"/>
    <cellStyle name="Comma" xfId="1" builtinId="3"/>
    <cellStyle name="Comma 10" xfId="345" xr:uid="{BC587FB7-013D-4394-81E4-73124E614BDC}"/>
    <cellStyle name="Comma 12" xfId="15" xr:uid="{1982813B-6D5C-473B-AB57-D4BC9DF352A5}"/>
    <cellStyle name="Comma 2" xfId="8" xr:uid="{CE0539AE-3B55-423B-A78D-9593696343A2}"/>
    <cellStyle name="Comma 2 2" xfId="17" xr:uid="{15E6597C-73DF-4A91-B43E-1B64851BFAED}"/>
    <cellStyle name="Comma 2 2 2" xfId="18" xr:uid="{0BB85499-D80A-4B0D-8D87-69AE3D04F91F}"/>
    <cellStyle name="Comma 2 2 3" xfId="19" xr:uid="{DD350D03-D75A-44B4-A4B9-FF996C85F389}"/>
    <cellStyle name="Comma 2 2 4" xfId="20" xr:uid="{52D55D56-871C-4A42-9046-6122F5A4599C}"/>
    <cellStyle name="Comma 2 2 5" xfId="21" xr:uid="{B65C6E90-6A0B-4E93-A869-579690A4EB7B}"/>
    <cellStyle name="Comma 2 3" xfId="22" xr:uid="{B917839A-1884-40D9-A4E7-85295A440BCE}"/>
    <cellStyle name="Comma 2 4" xfId="23" xr:uid="{6723D063-D2A8-42AB-8CEF-53BA8C82FBB6}"/>
    <cellStyle name="Comma 2 5" xfId="24" xr:uid="{4B82E93B-4E1E-464C-A3F2-9B73846EFF69}"/>
    <cellStyle name="Comma 3" xfId="25" xr:uid="{103C7D54-4616-4646-B38A-891EA9D271C4}"/>
    <cellStyle name="Comma 3 2" xfId="26" xr:uid="{A28CB996-38D3-4E26-ADF1-D7790F141573}"/>
    <cellStyle name="Comma 3 2 2" xfId="27" xr:uid="{B3AA303A-06F3-4599-9055-5F7C675AA7EC}"/>
    <cellStyle name="Comma 3 3" xfId="28" xr:uid="{01F2AC24-B030-4C1A-8532-94F37CC29824}"/>
    <cellStyle name="Comma 3 4" xfId="29" xr:uid="{53250DBB-4A45-4665-B8EE-5A8D2581F113}"/>
    <cellStyle name="Comma 30" xfId="30" xr:uid="{11A6DA15-60FD-4DCB-8565-B686FBD077BB}"/>
    <cellStyle name="Comma 4" xfId="31" xr:uid="{DEDAC2B9-99A5-4BA2-A3EA-72F4DCD3E7A7}"/>
    <cellStyle name="Comma 5" xfId="32" xr:uid="{0E763733-09C4-4E6E-8704-C5D05EE9D934}"/>
    <cellStyle name="Comma 6" xfId="33" xr:uid="{87855929-F060-4F7A-8F34-67A83AB92B0A}"/>
    <cellStyle name="Comma 7" xfId="34" xr:uid="{6F84D698-9E1C-4E87-B3D2-6ECDEB6CB8F1}"/>
    <cellStyle name="Comma 8" xfId="35" xr:uid="{CF1B7473-4E9F-49A1-81C4-F51FCD24D5A2}"/>
    <cellStyle name="Comma 9" xfId="9" xr:uid="{E1500C4D-90CA-4A22-B4BD-E5FCDD16F6DE}"/>
    <cellStyle name="comma zerodec" xfId="37" xr:uid="{A962C8BF-16C6-4BF7-AB6C-169616F553E5}"/>
    <cellStyle name="comma zerodec 2" xfId="38" xr:uid="{1FFB0C1B-7B90-4FFC-BCCE-B996CFC9439C}"/>
    <cellStyle name="Currency1" xfId="39" xr:uid="{B889B41E-09F2-464D-B66C-D5226F76428F}"/>
    <cellStyle name="Currency1 2" xfId="40" xr:uid="{E3D160AD-6F19-4A06-91F3-742BD7C37FD6}"/>
    <cellStyle name="Currency1 28" xfId="41" xr:uid="{E0FC6F67-2162-459E-87BF-88539E1AD7C4}"/>
    <cellStyle name="Currency1 28 2" xfId="42" xr:uid="{123E94F5-D0C0-4EE8-8E65-8F6137965450}"/>
    <cellStyle name="Currency1 28 3" xfId="43" xr:uid="{A110DAC1-4B61-4594-A221-C4AF34AF7687}"/>
    <cellStyle name="Dezimal [0]_Compiling Utility Macros" xfId="44" xr:uid="{451B7516-2636-480A-AB5D-2F01B84D70E5}"/>
    <cellStyle name="Dezimal_Compiling Utility Macros" xfId="45" xr:uid="{34704183-A3EB-499F-98E6-1AA922ABEC09}"/>
    <cellStyle name="Dollar (zero dec)" xfId="46" xr:uid="{E47C72C4-FD12-4AE6-B8AF-24C210930B9E}"/>
    <cellStyle name="Dollar (zero dec) 2" xfId="47" xr:uid="{CF7F3A6C-8F40-4DDD-AB4B-7EAEB738911C}"/>
    <cellStyle name="DRAFT" xfId="48" xr:uid="{EE2D257A-2B6D-4656-84E9-187C8A9F3C18}"/>
    <cellStyle name="Excel Built-in Normal" xfId="49" xr:uid="{E07B1DCE-54D3-4E73-A9F8-2B3EC885CB2E}"/>
    <cellStyle name="Grey" xfId="50" xr:uid="{40BE5527-5116-4F62-84EF-A2AAC0635E60}"/>
    <cellStyle name="Input [yellow]" xfId="51" xr:uid="{866BC031-C8E0-4AE9-A73E-F3CACFE9CCA1}"/>
    <cellStyle name="no dec" xfId="52" xr:uid="{4F0FC11E-E136-45C8-A5BB-B114B2CFD0B7}"/>
    <cellStyle name="Normal" xfId="0" builtinId="0"/>
    <cellStyle name="Normal - Style1" xfId="53" xr:uid="{5F0AF836-D068-4B35-9E78-186CC35A7EEA}"/>
    <cellStyle name="Normal 10" xfId="54" xr:uid="{33043D8E-48C0-4D60-A0DA-0FF5AEA2F070}"/>
    <cellStyle name="Normal 100" xfId="266" xr:uid="{9786264D-E92D-44E5-8262-B96E6D00E0E9}"/>
    <cellStyle name="Normal 101" xfId="294" xr:uid="{F7FFD68C-93D4-4C45-A864-050B09AEE7A9}"/>
    <cellStyle name="Normal 102" xfId="269" xr:uid="{5986922F-B205-40CD-A29B-09A9DD76D8BD}"/>
    <cellStyle name="Normal 103" xfId="303" xr:uid="{C2A75D89-64AA-4571-B5C0-46FCCA9AFBC1}"/>
    <cellStyle name="Normal 104" xfId="271" xr:uid="{DCDA264E-9B4C-462D-BBC3-6F58E181EDF3}"/>
    <cellStyle name="Normal 105" xfId="293" xr:uid="{19849792-06D5-4318-ABAB-F48DA63AB2D1}"/>
    <cellStyle name="Normal 106" xfId="272" xr:uid="{E0E8EDB8-8186-43D8-B0D8-339BC5F2CD96}"/>
    <cellStyle name="Normal 107" xfId="292" xr:uid="{C5920C94-9237-4766-95B3-A00FA61DA7A7}"/>
    <cellStyle name="Normal 108" xfId="274" xr:uid="{A53509E5-5203-4304-BC0F-EA104AADA76F}"/>
    <cellStyle name="Normal 109" xfId="291" xr:uid="{C57FB8D7-0FBF-4F25-9872-88F6D2D6CFD9}"/>
    <cellStyle name="Normal 11" xfId="55" xr:uid="{59E1D4BD-1D7A-44CE-A156-CBE05F5A82C0}"/>
    <cellStyle name="Normal 11 2" xfId="56" xr:uid="{363B79C2-8AA9-4372-B1B4-77566543F998}"/>
    <cellStyle name="Normal 110" xfId="275" xr:uid="{5501A409-89BA-4716-AF15-9AED52A58CF8}"/>
    <cellStyle name="Normal 111" xfId="140" xr:uid="{4FE6A7EE-3FF5-4998-B350-9C4D8392B465}"/>
    <cellStyle name="Normal 112" xfId="277" xr:uid="{80867872-9177-4EF6-91E8-0CB8806E591C}"/>
    <cellStyle name="Normal 113" xfId="152" xr:uid="{BB089721-20A9-4194-AFDD-CC97E8FD7B8C}"/>
    <cellStyle name="Normal 114" xfId="278" xr:uid="{E1983F13-9518-4828-8C06-DC096C8093B8}"/>
    <cellStyle name="Normal 115" xfId="131" xr:uid="{D30D927E-9080-4BFB-BC4A-8B575A8ABF2A}"/>
    <cellStyle name="Normal 116" xfId="280" xr:uid="{A5E4CA52-5F3D-49F6-AF8D-FB657519B035}"/>
    <cellStyle name="Normal 117" xfId="154" xr:uid="{E37D66A7-DB3B-4682-8A9E-4C9B199A0238}"/>
    <cellStyle name="Normal 118" xfId="281" xr:uid="{FEE97C16-369C-4818-80F9-6570F6E29C3B}"/>
    <cellStyle name="Normal 119" xfId="149" xr:uid="{B115D587-1CD3-48B1-911C-2AA9F15E3B1D}"/>
    <cellStyle name="Normal 12" xfId="57" xr:uid="{9584E4BB-EA38-4272-9932-38C104088B68}"/>
    <cellStyle name="Normal 120" xfId="283" xr:uid="{E647E86A-8629-4226-AE07-29E46F79275E}"/>
    <cellStyle name="Normal 121" xfId="156" xr:uid="{7A12C2FD-CB8D-4777-B9D7-51966D333BF2}"/>
    <cellStyle name="Normal 122" xfId="284" xr:uid="{728357EE-F45E-452F-BE61-AC0E5A20CB42}"/>
    <cellStyle name="Normal 123" xfId="150" xr:uid="{784DC57A-218E-4BBB-97E4-975EA950A98A}"/>
    <cellStyle name="Normal 124" xfId="289" xr:uid="{011188BF-895C-432E-801D-E27085BEC82B}"/>
    <cellStyle name="Normal 125" xfId="343" xr:uid="{920A838E-D257-42E7-B691-FC0F75A5D029}"/>
    <cellStyle name="Normal 126" xfId="224" xr:uid="{9328DE51-2F1A-410F-A3A6-578693EFE651}"/>
    <cellStyle name="Normal 127" xfId="342" xr:uid="{6B47C939-36EC-4DF8-926E-768780403003}"/>
    <cellStyle name="Normal 128" xfId="233" xr:uid="{59DE3945-96CE-48A8-B979-317D57062869}"/>
    <cellStyle name="Normal 129" xfId="341" xr:uid="{A7452834-EA1B-456F-AF31-6FDA3567E5F4}"/>
    <cellStyle name="Normal 13" xfId="58" xr:uid="{027C1121-1047-42E7-86B5-4A61BF3697DC}"/>
    <cellStyle name="Normal 130" xfId="240" xr:uid="{C8FF5788-85BC-4C46-9791-BAA6CE0A8E5E}"/>
    <cellStyle name="Normal 131" xfId="340" xr:uid="{B01F7887-6AC1-4037-A704-86EA741746D5}"/>
    <cellStyle name="Normal 132" xfId="250" xr:uid="{A8619E6F-8BDA-4B07-8C35-9D21372AEFE5}"/>
    <cellStyle name="Normal 133" xfId="339" xr:uid="{AC550CAB-9B14-435F-A412-102AA434649C}"/>
    <cellStyle name="Normal 134" xfId="290" xr:uid="{47D08D8A-3BD1-420B-A6EE-A70F51D4CC95}"/>
    <cellStyle name="Normal 135" xfId="298" xr:uid="{49F600B1-D891-4F7E-8C30-93CC3AC1AB0E}"/>
    <cellStyle name="Normal 136" xfId="344" xr:uid="{16135B4F-EED4-43FF-8A8C-F1FAD235DA7E}"/>
    <cellStyle name="Normal 14" xfId="59" xr:uid="{8C9A2CAA-B5DD-4118-8739-5E0D70FEA8FB}"/>
    <cellStyle name="Normal 15" xfId="60" xr:uid="{315F4559-A46E-4A40-A99B-4B1B03B43425}"/>
    <cellStyle name="Normal 16" xfId="61" xr:uid="{4EC6C451-212C-4253-BBE4-EED35E3A3978}"/>
    <cellStyle name="Normal 17" xfId="62" xr:uid="{7E66A271-9071-4355-ACBC-3B80832C7BC2}"/>
    <cellStyle name="Normal 18" xfId="63" xr:uid="{43653EB2-E2D3-4066-B3B6-7FA5702ED193}"/>
    <cellStyle name="Normal 19" xfId="64" xr:uid="{FE0955EE-88F0-4362-A08D-6279D220EB20}"/>
    <cellStyle name="Normal 2" xfId="2" xr:uid="{48D95E1E-DC7B-4BA8-91C6-3C8A6ED4246E}"/>
    <cellStyle name="Normal 2 2" xfId="66" xr:uid="{D2BCB39E-B8B5-42B2-BEDC-B09919346ACB}"/>
    <cellStyle name="Normal 2 2 2" xfId="67" xr:uid="{FE83D536-5FBD-4DF8-9137-0C7C1AE57B0A}"/>
    <cellStyle name="Normal 2 2 6" xfId="68" xr:uid="{9F7E3BBE-D344-49B4-A0B2-2582D11C5E3D}"/>
    <cellStyle name="Normal 2 3" xfId="69" xr:uid="{F9010C6E-884C-481B-9ABF-9BB8E35B0391}"/>
    <cellStyle name="Normal 2 4" xfId="70" xr:uid="{1674DA17-B4F1-425B-B08B-D85F24FDC408}"/>
    <cellStyle name="Normal 2 5" xfId="71" xr:uid="{76D7770A-90D1-4C0F-9E2A-1B3D88CEAC17}"/>
    <cellStyle name="Normal 2 6" xfId="7" xr:uid="{7D71864F-20E9-4C87-9932-46A13C04E2EB}"/>
    <cellStyle name="Normal 20" xfId="130" xr:uid="{1367B45A-B0D6-4961-8BE3-47B33D7D0385}"/>
    <cellStyle name="Normal 21" xfId="129" xr:uid="{104CB0FB-721D-4D8E-B5FE-0D7B941C875E}"/>
    <cellStyle name="Normal 22" xfId="125" xr:uid="{5FC98FBC-6362-482B-89DA-8F00ABD2BD2E}"/>
    <cellStyle name="Normal 23" xfId="202" xr:uid="{BDDF8CC2-DB8A-4990-9078-11B5C43D4137}"/>
    <cellStyle name="Normal 24" xfId="123" xr:uid="{A5FED653-62A7-40A7-9A6C-787219A6C6CF}"/>
    <cellStyle name="Normal 25" xfId="201" xr:uid="{22300997-1525-4A7E-9C41-E47A5CCCAF75}"/>
    <cellStyle name="Normal 26" xfId="73" xr:uid="{7E70FD80-D66D-4B38-A52E-FF641A6AB956}"/>
    <cellStyle name="Normal 27" xfId="209" xr:uid="{713970A9-E6D6-4529-BC92-585C4BC7DEC2}"/>
    <cellStyle name="Normal 272" xfId="3" xr:uid="{538D8EED-5437-468F-A7B1-928CC0D9A6F9}"/>
    <cellStyle name="Normal 272 2" xfId="5" xr:uid="{601603A2-D167-43B3-9B25-98D34FE87B2C}"/>
    <cellStyle name="Normal 28" xfId="72" xr:uid="{EC92DA5D-92D6-4599-8523-17692880800F}"/>
    <cellStyle name="Normal 29" xfId="198" xr:uid="{42C36A3E-40E2-4FFF-ABFB-E204A407B47B}"/>
    <cellStyle name="Normal 3" xfId="74" xr:uid="{EDC3EA22-DE11-4399-B5AB-15A3B9F35630}"/>
    <cellStyle name="Normal 3 2" xfId="75" xr:uid="{1BCAD7F0-2A0A-43AD-A7FE-6C02E66FBA0A}"/>
    <cellStyle name="Normal 3 3" xfId="76" xr:uid="{0709D51D-ED8B-47CD-B5BD-27D7E8A34A35}"/>
    <cellStyle name="Normal 3 3 14" xfId="77" xr:uid="{47ADF399-DFEB-48DB-A219-77B982078273}"/>
    <cellStyle name="Normal 30" xfId="16" xr:uid="{51A8AFD5-3444-4777-877E-7818E4848748}"/>
    <cellStyle name="Normal 31" xfId="216" xr:uid="{DAA6E2EC-3DFF-49D5-8FBB-6A81B8B397D1}"/>
    <cellStyle name="Normal 32" xfId="14" xr:uid="{D533AFCC-40A1-48C1-8A6B-61804F2D6E3C}"/>
    <cellStyle name="Normal 33" xfId="195" xr:uid="{22010BCA-C9B1-4FB3-B4EC-93B585344632}"/>
    <cellStyle name="Normal 34" xfId="221" xr:uid="{C78BF857-E659-4FBA-AFAA-A542C7C5B0C2}"/>
    <cellStyle name="Normal 35" xfId="193" xr:uid="{69E632C4-60F7-41A4-9EC4-D4BE7AE73F5A}"/>
    <cellStyle name="Normal 36" xfId="78" xr:uid="{7B3EE440-F623-4183-AB10-94F8EAF0FF94}"/>
    <cellStyle name="Normal 37" xfId="134" xr:uid="{5209A198-4164-45B0-90B4-5F2D2299A4E0}"/>
    <cellStyle name="Normal 38" xfId="228" xr:uid="{710C1E0F-80FD-4651-B398-C38AE85727AA}"/>
    <cellStyle name="Normal 39" xfId="122" xr:uid="{62351D7A-05C5-4392-B799-13078ADFA457}"/>
    <cellStyle name="Normal 4" xfId="79" xr:uid="{753C1DE5-BCC7-4C2E-8B3D-80EE681A94B5}"/>
    <cellStyle name="Normal 40" xfId="231" xr:uid="{AA2D11FA-133E-4AE2-BF74-83496400F8B5}"/>
    <cellStyle name="Normal 41" xfId="136" xr:uid="{2E239E26-6E4B-470F-8289-8E183ECFB0AD}"/>
    <cellStyle name="Normal 42" xfId="191" xr:uid="{42B54C0C-4C78-48BA-8D8B-075EB76D2264}"/>
    <cellStyle name="Normal 43" xfId="137" xr:uid="{BF65E33C-482E-4D78-B86C-D49B84E9C226}"/>
    <cellStyle name="Normal 44" xfId="190" xr:uid="{F8497B91-0324-4CE0-900C-FBBE233C0A9A}"/>
    <cellStyle name="Normal 45" xfId="80" xr:uid="{D1A4DDB3-CF0F-4B12-9CCF-AF3B5422A489}"/>
    <cellStyle name="Normal 45 2" xfId="81" xr:uid="{27EFCB88-1E23-4546-8E30-0551747D879E}"/>
    <cellStyle name="Normal 46" xfId="65" xr:uid="{07BB44C0-DAD3-4BE8-921D-A8F29ED42706}"/>
    <cellStyle name="Normal 47" xfId="199" xr:uid="{6DCD0272-6AB4-4A27-B8D8-7CF2B858303C}"/>
    <cellStyle name="Normal 48" xfId="36" xr:uid="{2E49A073-74DC-439B-85A6-0ECA3CA79790}"/>
    <cellStyle name="Normal 49" xfId="197" xr:uid="{8998FDE1-7812-4037-B9E9-3A11FA0C9973}"/>
    <cellStyle name="Normal 5" xfId="82" xr:uid="{E9080357-3D79-47D9-B6C3-9CD3F6D4573C}"/>
    <cellStyle name="Normal 50" xfId="132" xr:uid="{47A7477B-C873-44F7-9F02-C30BB30B1F63}"/>
    <cellStyle name="Normal 51" xfId="249" xr:uid="{6A2EC6A5-9E91-45D0-84D2-F9BA2BD82850}"/>
    <cellStyle name="Normal 52" xfId="133" xr:uid="{9062C478-9461-4425-B48A-8A9BA111E3A2}"/>
    <cellStyle name="Normal 53" xfId="196" xr:uid="{2FA7F7E2-E9C9-49CF-A330-D369AAD96A1D}"/>
    <cellStyle name="Normal 54" xfId="142" xr:uid="{F6E45B6E-5091-426F-B4FB-07C761261A40}"/>
    <cellStyle name="Normal 55" xfId="186" xr:uid="{74D31195-B564-42A9-91AC-96AE437FDB19}"/>
    <cellStyle name="Normal 56" xfId="259" xr:uid="{AF1B4693-E087-4D1D-999A-66F2193D5F6F}"/>
    <cellStyle name="Normal 57" xfId="192" xr:uid="{C04E7AFD-19FB-4D77-821F-E30B8645DB2C}"/>
    <cellStyle name="Normal 58" xfId="143" xr:uid="{F8B12120-EC5C-4DA2-B601-1CF7E81D2106}"/>
    <cellStyle name="Normal 59" xfId="185" xr:uid="{2A88EF39-92A4-431E-881B-FE45F3ACD0E0}"/>
    <cellStyle name="Normal 6" xfId="83" xr:uid="{C796DA56-54C8-46BE-B6A7-BD8681C8D93C}"/>
    <cellStyle name="Normal 60" xfId="144" xr:uid="{045CE732-AB7A-4C59-BF7E-CB34CD7E6F84}"/>
    <cellStyle name="Normal 61" xfId="184" xr:uid="{D89AB1AD-37A5-48F7-9F60-9EB7AEB6D155}"/>
    <cellStyle name="Normal 62" xfId="145" xr:uid="{8CDA5359-A04E-4AC8-AE88-09E221E26887}"/>
    <cellStyle name="Normal 63" xfId="84" xr:uid="{43ADC9ED-5DE0-4F02-9DDD-90EC58673FF2}"/>
    <cellStyle name="Normal 64" xfId="183" xr:uid="{31A3CBF8-7E48-450A-A422-7C7E3FD4D9B8}"/>
    <cellStyle name="Normal 65" xfId="146" xr:uid="{3F22D001-6833-476E-8B49-D3AAE3154DFE}"/>
    <cellStyle name="Normal 66" xfId="182" xr:uid="{3E67D0A8-2C1D-4BBF-9B75-2201427946B4}"/>
    <cellStyle name="Normal 67" xfId="147" xr:uid="{79144AA9-B23C-4E97-9A58-DD0099807768}"/>
    <cellStyle name="Normal 68" xfId="188" xr:uid="{5E52A960-D23D-4DD8-BF05-A3105BFD9955}"/>
    <cellStyle name="Normal 69" xfId="148" xr:uid="{4F2DACF7-8210-4248-A246-7369BB75B570}"/>
    <cellStyle name="Normal 7" xfId="85" xr:uid="{E99872CC-1BDE-4390-9328-907AC5B4B727}"/>
    <cellStyle name="Normal 70" xfId="187" xr:uid="{34563089-37FB-4AED-93E4-6ABA538AA980}"/>
    <cellStyle name="Normal 71" xfId="141" xr:uid="{83F625EF-B210-4779-87CC-91A19D76FAE7}"/>
    <cellStyle name="Normal 72" xfId="194" xr:uid="{CF13431E-FC7F-4103-BE56-CF6066DE5BC8}"/>
    <cellStyle name="Normal 73" xfId="135" xr:uid="{033DD6FC-7032-43C5-83A9-F055C0892B62}"/>
    <cellStyle name="Normal 74" xfId="181" xr:uid="{61F7510A-AAFC-4EF0-8782-E42EBFF84362}"/>
    <cellStyle name="Normal 75" xfId="151" xr:uid="{19DBD49A-0415-4FDC-8D42-694EBEBD7ACF}"/>
    <cellStyle name="Normal 76" xfId="180" xr:uid="{EEDBB372-DCBE-4CA8-843F-EEFEDAA40089}"/>
    <cellStyle name="Normal 77" xfId="286" xr:uid="{D2FD6F2D-3760-42D6-977C-C136B9046848}"/>
    <cellStyle name="Normal 78" xfId="200" xr:uid="{E28DFA3A-B835-40D0-BC5C-9F43C3225042}"/>
    <cellStyle name="Normal 79" xfId="138" xr:uid="{CC6F5FAC-A2B2-48B6-A915-475B051D8223}"/>
    <cellStyle name="Normal 8" xfId="86" xr:uid="{C5C24B55-CFC2-4225-99A8-D57C65BAB1D3}"/>
    <cellStyle name="Normal 8 2" xfId="87" xr:uid="{6C686131-EA8E-4C10-B984-F7DD74D2C101}"/>
    <cellStyle name="Normal 8 2 2" xfId="88" xr:uid="{7594D02E-4E33-4E46-81FC-20671BC943E9}"/>
    <cellStyle name="Normal 80" xfId="189" xr:uid="{1D55348F-4A83-45B8-B400-EFA34F813B47}"/>
    <cellStyle name="Normal 81" xfId="139" xr:uid="{625C9345-106B-4215-AC8C-E38ACA071300}"/>
    <cellStyle name="Normal 82" xfId="168" xr:uid="{33407C02-C623-419D-9A00-9D405A7ADAA2}"/>
    <cellStyle name="Normal 83" xfId="304" xr:uid="{1F5F6FAB-A193-48E0-A40B-7DE55F585153}"/>
    <cellStyle name="Normal 84" xfId="219" xr:uid="{FB86BE5C-CA76-4240-9DF1-40D1628DC0A8}"/>
    <cellStyle name="Normal 85" xfId="306" xr:uid="{63354D7E-1AE5-4C2D-9815-FAF71A73400E}"/>
    <cellStyle name="Normal 86" xfId="220" xr:uid="{3680BF67-F4BF-415F-A338-4DA5B5C4E68A}"/>
    <cellStyle name="Normal 87" xfId="302" xr:uid="{E2DBA75B-2C97-47F3-A28C-2FC42B5CE169}"/>
    <cellStyle name="Normal 88" xfId="229" xr:uid="{07A52F5A-C8C4-4DA1-9532-7E8042689D3E}"/>
    <cellStyle name="Normal 89" xfId="301" xr:uid="{91F1FC9A-BC44-460A-A391-98B9211B7AC5}"/>
    <cellStyle name="Normal 9" xfId="89" xr:uid="{B0B6A6B0-4901-496C-89BF-9030AB3A9643}"/>
    <cellStyle name="Normal 90" xfId="236" xr:uid="{9DDFBD23-3E3A-41F1-B5C5-5301BFDEE74B}"/>
    <cellStyle name="Normal 91" xfId="300" xr:uid="{681AF33B-F84C-44A5-9575-1AFBE06829A7}"/>
    <cellStyle name="Normal 92" xfId="243" xr:uid="{7A8D6A25-AEE1-4CB5-82DF-C724C9CEDCC6}"/>
    <cellStyle name="Normal 93" xfId="299" xr:uid="{3A3DCF91-B0FF-40EC-BBAE-D4BBCA03C56D}"/>
    <cellStyle name="Normal 94" xfId="254" xr:uid="{E45893E7-6C68-4AAC-A405-66BD495CF176}"/>
    <cellStyle name="Normal 95" xfId="297" xr:uid="{40596A6E-7F2F-4C02-A748-7C8EB35D3CFC}"/>
    <cellStyle name="Normal 96" xfId="247" xr:uid="{3CC5182C-D875-4A62-BAD4-1EDAD7E3C86B}"/>
    <cellStyle name="Normal 97" xfId="296" xr:uid="{39321DC8-C6A1-4B1D-944A-9F4AAE1C64FC}"/>
    <cellStyle name="Normal 98" xfId="264" xr:uid="{EF87F225-A8ED-4398-8F0B-4AA9899759AC}"/>
    <cellStyle name="Normal 99" xfId="295" xr:uid="{351BE5C1-06D9-4CA9-AAE5-841625C0B13A}"/>
    <cellStyle name="Per cent" xfId="346" builtinId="5"/>
    <cellStyle name="Percent [2]" xfId="91" xr:uid="{3114A5FF-D7BE-4D4B-B315-779145F0015A}"/>
    <cellStyle name="Percent 10" xfId="177" xr:uid="{B77A217E-B057-4E0F-88C6-D516A517B5D8}"/>
    <cellStyle name="Percent 100" xfId="326" xr:uid="{2E893228-C348-45CD-BDBB-8D9E50FD7019}"/>
    <cellStyle name="Percent 101" xfId="327" xr:uid="{AFDDA7DB-E073-47E8-A833-9B0D284BEBB0}"/>
    <cellStyle name="Percent 102" xfId="328" xr:uid="{A47F4918-5639-44F8-A62E-F011130487C3}"/>
    <cellStyle name="Percent 103" xfId="329" xr:uid="{B817820B-1665-490F-823C-6006B925CF48}"/>
    <cellStyle name="Percent 104" xfId="331" xr:uid="{48AA3CF0-A38C-4E44-B5C9-2ADA3CBCDCE3}"/>
    <cellStyle name="Percent 105" xfId="310" xr:uid="{1E41AFA2-9B3D-4466-8BB7-3DBD29E8261B}"/>
    <cellStyle name="Percent 106" xfId="333" xr:uid="{10C24933-9039-4DF8-B347-F1E1CE38F5D6}"/>
    <cellStyle name="Percent 107" xfId="315" xr:uid="{657AED23-9686-4CB1-86A1-F453BED254CA}"/>
    <cellStyle name="Percent 108" xfId="334" xr:uid="{5D75D318-23D5-4511-B628-6E368C48CB78}"/>
    <cellStyle name="Percent 109" xfId="320" xr:uid="{39B47339-16A8-405D-A03E-DF5930258B3B}"/>
    <cellStyle name="Percent 11" xfId="157" xr:uid="{16217B90-8573-4245-B879-EC5D150884A6}"/>
    <cellStyle name="Percent 110" xfId="335" xr:uid="{A24EDC5F-C972-4B99-AEE6-04F6596FE36D}"/>
    <cellStyle name="Percent 111" xfId="325" xr:uid="{EF91CF73-27AE-400A-BC04-7F3C766C5F9D}"/>
    <cellStyle name="Percent 112" xfId="336" xr:uid="{E1BE117F-B701-4CC9-81A7-055E945D3CB6}"/>
    <cellStyle name="Percent 113" xfId="330" xr:uid="{AB118EFE-BBDB-4EAD-873A-B0A17A979542}"/>
    <cellStyle name="Percent 114" xfId="337" xr:uid="{1CDE8CB9-94CB-4CD9-827C-339839D11C31}"/>
    <cellStyle name="Percent 115" xfId="332" xr:uid="{C54EC0EF-39B6-4E57-8C61-9269FE425CC3}"/>
    <cellStyle name="Percent 116" xfId="338" xr:uid="{EE2A996C-CEAF-4908-910C-1F30C61DF36D}"/>
    <cellStyle name="Percent 12" xfId="176" xr:uid="{4BFA1542-38B1-4BE7-BFE1-DBA248341A15}"/>
    <cellStyle name="Percent 13" xfId="158" xr:uid="{4A6AE886-FFC7-4651-B170-3A15AE5E276B}"/>
    <cellStyle name="Percent 14" xfId="175" xr:uid="{B71C57A2-6FBB-44F6-B1E6-BB412F4C93C4}"/>
    <cellStyle name="Percent 15" xfId="159" xr:uid="{B96F6F2D-4D22-4FA5-BF5D-521B2DBA56B8}"/>
    <cellStyle name="Percent 16" xfId="174" xr:uid="{5284DD99-2FBE-4F2F-9B75-52B0F27EF0E8}"/>
    <cellStyle name="Percent 17" xfId="160" xr:uid="{2A3997C2-704D-416F-815C-B0AE39E9C54C}"/>
    <cellStyle name="Percent 18" xfId="173" xr:uid="{999242D7-DBC7-483C-BA6C-57AE0F0B7DAD}"/>
    <cellStyle name="Percent 19" xfId="161" xr:uid="{000A98F6-6B26-4B6F-95DA-25BF49A91B65}"/>
    <cellStyle name="Percent 2" xfId="92" xr:uid="{5C1CB5ED-313C-4965-B448-8258F0DA8B7A}"/>
    <cellStyle name="Percent 2 2" xfId="93" xr:uid="{B7104AFC-1CB4-468B-920E-9795A59311CD}"/>
    <cellStyle name="Percent 2 2 2" xfId="94" xr:uid="{1C8CFE6B-95AB-4023-9CF4-C4E71C3EA65E}"/>
    <cellStyle name="Percent 2 3" xfId="95" xr:uid="{C6ECE099-1389-4029-84FF-9BDF3045E674}"/>
    <cellStyle name="Percent 20" xfId="172" xr:uid="{C4161265-563D-4B97-A877-78772538D890}"/>
    <cellStyle name="Percent 21" xfId="162" xr:uid="{FBB9BC9E-76B5-4ACB-92A9-59BAFF754BCF}"/>
    <cellStyle name="Percent 22" xfId="171" xr:uid="{F0592AD7-B143-49EC-B0B5-804DDE88E70A}"/>
    <cellStyle name="Percent 23" xfId="165" xr:uid="{532228E8-838C-45AD-921E-6AAB7FDE0A5F}"/>
    <cellStyle name="Percent 24" xfId="170" xr:uid="{57F61582-90F7-4C7C-A777-475B8BA6FB91}"/>
    <cellStyle name="Percent 25" xfId="204" xr:uid="{EFF74197-8C36-4D83-AA16-0DFA145FC0A7}"/>
    <cellStyle name="Percent 26" xfId="169" xr:uid="{D89FF5CB-8A4B-46CE-9927-F3CB3627EE32}"/>
    <cellStyle name="Percent 27" xfId="208" xr:uid="{1059129A-D13F-419C-A06E-B6C220A5CFD8}"/>
    <cellStyle name="Percent 28" xfId="203" xr:uid="{ABE0818E-3BB1-49E4-8106-697591446564}"/>
    <cellStyle name="Percent 29" xfId="166" xr:uid="{0349C226-3DF9-4A68-9B06-0DE2B416648A}"/>
    <cellStyle name="Percent 3" xfId="96" xr:uid="{36F57A7E-F180-4013-AB63-E32FDAA31387}"/>
    <cellStyle name="Percent 3 2" xfId="97" xr:uid="{0F247CF5-9DE2-4970-9E9E-4DAA074429BB}"/>
    <cellStyle name="Percent 30" xfId="206" xr:uid="{9F88C60B-2998-4469-A388-B0ECA160BD05}"/>
    <cellStyle name="Percent 31" xfId="212" xr:uid="{D217FF03-CA87-4A39-B9D9-8C84B98D24C3}"/>
    <cellStyle name="Percent 32" xfId="210" xr:uid="{78840187-C1CA-4E27-BCDF-69B4F26CF3C4}"/>
    <cellStyle name="Percent 33" xfId="167" xr:uid="{FB490580-8FE7-4C08-80D0-BB6BB47DC36B}"/>
    <cellStyle name="Percent 34" xfId="213" xr:uid="{1C3AF70D-9BD0-47B3-96EB-C29814D260B6}"/>
    <cellStyle name="Percent 35" xfId="222" xr:uid="{9481AFFF-91EE-4647-BA10-0DA24911A10A}"/>
    <cellStyle name="Percent 36" xfId="217" xr:uid="{0972A3FD-7F56-4A8C-9C73-6E4CB2174CA0}"/>
    <cellStyle name="Percent 37" xfId="226" xr:uid="{60AA8B7A-7DF9-4CDE-A2C0-23D370F06296}"/>
    <cellStyle name="Percent 38" xfId="214" xr:uid="{9778F342-5093-4839-9DF7-BFCD7EC7907D}"/>
    <cellStyle name="Percent 39" xfId="223" xr:uid="{3328E3A5-7394-46AC-9C3E-46EF8C6E6044}"/>
    <cellStyle name="Percent 4" xfId="98" xr:uid="{341BD38D-AA05-4023-85B4-EFDAC6BE5CA1}"/>
    <cellStyle name="Percent 40" xfId="225" xr:uid="{5B2208F8-6F4D-4F11-834A-63D4BF250F5D}"/>
    <cellStyle name="Percent 41" xfId="230" xr:uid="{9F1EE4A1-519C-417A-B389-2D60E5F5CF85}"/>
    <cellStyle name="Percent 42" xfId="232" xr:uid="{17B03769-8F14-49B8-989D-139E64F02180}"/>
    <cellStyle name="Percent 43" xfId="234" xr:uid="{74CA791D-26C1-4236-B869-34D7BC39E012}"/>
    <cellStyle name="Percent 44" xfId="235" xr:uid="{FF6321AD-42FC-4355-8A69-7F408F714145}"/>
    <cellStyle name="Percent 45" xfId="237" xr:uid="{F28E5AC6-D7E6-466F-9A3A-4C00708EA907}"/>
    <cellStyle name="Percent 46" xfId="239" xr:uid="{AD95A378-A808-45C2-8353-0720D025D355}"/>
    <cellStyle name="Percent 47" xfId="241" xr:uid="{02B9C866-3905-4A46-821F-CDD84793A401}"/>
    <cellStyle name="Percent 48" xfId="242" xr:uid="{11F7CBAA-E255-4D61-9448-5AD90DDEE73B}"/>
    <cellStyle name="Percent 49" xfId="244" xr:uid="{938A802C-B8B3-4DEB-83C8-88FD4A604381}"/>
    <cellStyle name="Percent 5" xfId="90" xr:uid="{810B3C00-B48E-46C0-8FC2-B7AB17AF4F92}"/>
    <cellStyle name="Percent 50" xfId="246" xr:uid="{72C0186C-772C-411B-9DA0-745A4092F881}"/>
    <cellStyle name="Percent 51" xfId="248" xr:uid="{956BA103-36B7-4B5B-BDF7-5B750D073A41}"/>
    <cellStyle name="Percent 52" xfId="251" xr:uid="{F0A229D3-8A6D-46FF-A876-6D46A7F2673B}"/>
    <cellStyle name="Percent 53" xfId="207" xr:uid="{C3FD9FE4-DAE9-4068-8795-69E8A6798DC9}"/>
    <cellStyle name="Percent 54" xfId="255" xr:uid="{405A062A-DC3E-4476-AA52-CE32D5678C98}"/>
    <cellStyle name="Percent 55" xfId="253" xr:uid="{965B1CBD-7C78-48BF-BBE0-626AEAE4C526}"/>
    <cellStyle name="Percent 56" xfId="258" xr:uid="{1D93D51B-EE50-49B7-B90D-92E0385C9412}"/>
    <cellStyle name="Percent 57" xfId="256" xr:uid="{D8991DF2-B2C7-441F-ADDF-022E60C6D3E7}"/>
    <cellStyle name="Percent 58" xfId="261" xr:uid="{5726B905-7FC9-47E1-AEBA-F6523FD736EF}"/>
    <cellStyle name="Percent 59" xfId="260" xr:uid="{5424F19F-1B17-4415-8A40-65DDDDC657CE}"/>
    <cellStyle name="Percent 6" xfId="179" xr:uid="{55FCA1FA-A7EE-4968-88E8-B95F54BAC8CE}"/>
    <cellStyle name="Percent 60" xfId="265" xr:uid="{FED14704-6CC5-44BA-8369-8D1291F97E55}"/>
    <cellStyle name="Percent 61" xfId="263" xr:uid="{B9294B78-7A4B-4375-8E23-2D4910F3E9E1}"/>
    <cellStyle name="Percent 62" xfId="267" xr:uid="{3D57D799-3497-432C-9228-B8EA766FFBEA}"/>
    <cellStyle name="Percent 63" xfId="164" xr:uid="{B3C5568F-3755-4B4A-A43C-7C352EF8238C}"/>
    <cellStyle name="Percent 64" xfId="257" xr:uid="{9C259311-E1E5-419A-AF18-A418B6C3420A}"/>
    <cellStyle name="Percent 65" xfId="163" xr:uid="{69165060-350C-4304-84B2-2E170015EBD1}"/>
    <cellStyle name="Percent 66" xfId="288" xr:uid="{0481792F-98ED-4EA5-81F4-FDE12F30302B}"/>
    <cellStyle name="Percent 67" xfId="205" xr:uid="{A2D3D89D-92C7-485C-9FCB-0C9326449064}"/>
    <cellStyle name="Percent 68" xfId="287" xr:uid="{8F7983C4-690B-4A0E-A9A2-0D66244C4156}"/>
    <cellStyle name="Percent 69" xfId="211" xr:uid="{FAE25BD6-6F1B-4726-84B5-438A09680074}"/>
    <cellStyle name="Percent 7" xfId="153" xr:uid="{1D7D8370-C15F-4B3A-8ECB-3018E2045743}"/>
    <cellStyle name="Percent 70" xfId="285" xr:uid="{7C319224-AD75-4459-B5F4-08370FCBC9F3}"/>
    <cellStyle name="Percent 71" xfId="215" xr:uid="{F8B1AFCB-42A9-4FD8-AFA0-739D60E9045B}"/>
    <cellStyle name="Percent 72" xfId="282" xr:uid="{4891CADA-0E3D-48BD-B8DB-46FCDCB3F0B3}"/>
    <cellStyle name="Percent 73" xfId="227" xr:uid="{B83E0A81-3C35-461C-9830-7A92149FDB7E}"/>
    <cellStyle name="Percent 74" xfId="279" xr:uid="{7C814A17-13B8-4421-A79C-57AE8BA71A9E}"/>
    <cellStyle name="Percent 75" xfId="218" xr:uid="{4917F6C4-2578-4DCF-918F-7A4DAF1F8FD9}"/>
    <cellStyle name="Percent 76" xfId="276" xr:uid="{77BEE3DD-97C3-4CA6-AA30-F9687533DB51}"/>
    <cellStyle name="Percent 77" xfId="238" xr:uid="{B5F47280-FAEB-4B5C-B51C-683DB4FA9684}"/>
    <cellStyle name="Percent 78" xfId="273" xr:uid="{F9DF3507-3D3C-46BF-9B6C-E4B30F18A4B3}"/>
    <cellStyle name="Percent 79" xfId="245" xr:uid="{7C32F114-0159-49DC-96FD-07EEF602FE09}"/>
    <cellStyle name="Percent 8" xfId="178" xr:uid="{987990FE-8433-4359-AB6C-6E1497A25D4F}"/>
    <cellStyle name="Percent 80" xfId="270" xr:uid="{1BCD0F93-4E66-4159-9D54-F2D898FBBF37}"/>
    <cellStyle name="Percent 81" xfId="252" xr:uid="{7218F47A-44CA-41D8-9DA2-21E795E0BF23}"/>
    <cellStyle name="Percent 82" xfId="305" xr:uid="{EE6C64AC-73B3-409A-9338-56293EFFE1BB}"/>
    <cellStyle name="Percent 83" xfId="262" xr:uid="{2D96949A-64DD-4E4B-9E20-34792C06D40A}"/>
    <cellStyle name="Percent 84" xfId="268" xr:uid="{BDFD256E-F6D3-41BE-AAB7-4DCB4D3E05AE}"/>
    <cellStyle name="Percent 85" xfId="307" xr:uid="{06D762C5-FE55-44A3-BFBD-C9CA9B8C5758}"/>
    <cellStyle name="Percent 86" xfId="308" xr:uid="{BCE2EF55-B10D-4D8E-B808-55AAAFBF3E0E}"/>
    <cellStyle name="Percent 87" xfId="309" xr:uid="{A41EA65A-86E0-4BCC-9CE9-99F3D000411B}"/>
    <cellStyle name="Percent 88" xfId="311" xr:uid="{544AC250-C887-4258-9CBA-F5825296BF26}"/>
    <cellStyle name="Percent 89" xfId="312" xr:uid="{9216DCD9-1791-47F8-80FC-F6766EF68FA6}"/>
    <cellStyle name="Percent 9" xfId="155" xr:uid="{20B4FECA-F2A1-4B63-8EA0-E0D786FEA12C}"/>
    <cellStyle name="Percent 90" xfId="313" xr:uid="{8F00B912-A954-4397-B05E-134B65C5A3FE}"/>
    <cellStyle name="Percent 91" xfId="314" xr:uid="{95FF0FDC-234E-45A6-BFBA-D40CEB2105F3}"/>
    <cellStyle name="Percent 92" xfId="316" xr:uid="{BE4D33CC-01B0-49E0-8481-CDDAF42D9E5D}"/>
    <cellStyle name="Percent 93" xfId="317" xr:uid="{BC0FF2C5-A3B3-4FC6-8E45-0FA88AE64BB0}"/>
    <cellStyle name="Percent 94" xfId="318" xr:uid="{8604EF42-9CE8-4502-8496-7F4463520EBE}"/>
    <cellStyle name="Percent 95" xfId="319" xr:uid="{83A39429-7B22-43EF-B3C9-C10BC26DF70E}"/>
    <cellStyle name="Percent 96" xfId="321" xr:uid="{8F763494-E366-4ED9-8BEC-B052960DEBB2}"/>
    <cellStyle name="Percent 97" xfId="322" xr:uid="{91622262-E451-49BA-AE84-28F8A8AAF5D7}"/>
    <cellStyle name="Percent 98" xfId="323" xr:uid="{DE2CCE97-6B5B-4169-B8EF-C431A58B0E3A}"/>
    <cellStyle name="Percent 99" xfId="324" xr:uid="{1843E831-A0F1-473D-AB7E-52B7F992F2A2}"/>
    <cellStyle name="Quantity" xfId="99" xr:uid="{E794E91C-C9CF-43B9-A2DF-0DDEE633E187}"/>
    <cellStyle name="Standard_Anpassen der Amortisation" xfId="100" xr:uid="{86539C60-A185-490B-9198-EBE3D0925289}"/>
    <cellStyle name="Währung [0]_Compiling Utility Macros" xfId="101" xr:uid="{136974C3-DBE8-4AAA-82B0-BFC7C6618408}"/>
    <cellStyle name="Währung_Compiling Utility Macros" xfId="102" xr:uid="{CB9EC725-A148-470C-83DD-ED071AB3A34F}"/>
    <cellStyle name="Wไhrung [0]_OPTIMIR1 (deutsch)" xfId="103" xr:uid="{57EBF967-BF58-48A2-85DB-815FAAE98EBB}"/>
    <cellStyle name="Wไhrung_OPTIMIR1 (deutsch)" xfId="104" xr:uid="{CFA6F8EE-4A7B-4EF3-99CE-7DDF8959AA6B}"/>
    <cellStyle name="เครื่องหมายจุลภาค 2" xfId="105" xr:uid="{5590C0D1-BE10-4360-8CA5-96EDB86C808A}"/>
    <cellStyle name="เครื่องหมายจุลภาค 2 2" xfId="106" xr:uid="{257C76F0-21FA-4536-B163-5453EFC1F90B}"/>
    <cellStyle name="เครื่องหมายจุลภาค 2 3" xfId="107" xr:uid="{A463EA8C-E768-48D8-A2D4-7044E6215117}"/>
    <cellStyle name="เครื่องหมายจุลภาค 2 4" xfId="108" xr:uid="{8D71D0BC-1C9B-465B-B614-E3D16AC39496}"/>
    <cellStyle name="เครื่องหมายจุลภาค 2 5" xfId="109" xr:uid="{2DEF324C-BD79-4141-9892-1BB6CFAE2E71}"/>
    <cellStyle name="เครื่องหมายจุลภาค 3" xfId="110" xr:uid="{9620C3E2-F558-441C-A1B5-E89BF50CD9D3}"/>
    <cellStyle name="เครื่องหมายจุลภาค 3 2" xfId="111" xr:uid="{67FED405-B4CB-4807-9C90-5A922C3A8DF2}"/>
    <cellStyle name="เครื่องหมายจุลภาค 4" xfId="112" xr:uid="{461009BC-D733-4CFA-9D57-BBA82DA8D96F}"/>
    <cellStyle name="เปอร์เซ็นต์ 2" xfId="127" xr:uid="{7B9DCB88-E882-4227-B745-F8E566453291}"/>
    <cellStyle name="ปกติ 2" xfId="113" xr:uid="{788929CA-DDB1-487F-904A-F39AEEFD720C}"/>
    <cellStyle name="ปกติ 2 2" xfId="114" xr:uid="{BF187880-3A41-403E-B9F2-84D8C075C0CD}"/>
    <cellStyle name="ปกติ 2 2 2" xfId="115" xr:uid="{10D6BACA-E858-454F-A8B5-ECF42F7E9E1B}"/>
    <cellStyle name="ปกติ 2 2 3" xfId="116" xr:uid="{C2EF00D8-0028-4314-9E85-FF29FD28C305}"/>
    <cellStyle name="ปกติ 2 2 4" xfId="117" xr:uid="{61FBEE6D-F5C1-4B17-B640-32240F31C21C}"/>
    <cellStyle name="ปกติ 2 2 4 3" xfId="10" xr:uid="{795B62EE-0178-4B7B-9E40-19CC63437EA9}"/>
    <cellStyle name="ปกติ 2 3" xfId="118" xr:uid="{762EAC5F-2A31-4C53-9A15-C9635C1BE97A}"/>
    <cellStyle name="ปกติ 2 3 4" xfId="119" xr:uid="{3FD443DB-B340-44BA-B5A4-A60B5BF8BB18}"/>
    <cellStyle name="ปกติ 2 4" xfId="120" xr:uid="{8D1776E2-6679-487D-AEFE-48849EFD6E6D}"/>
    <cellStyle name="ปกติ 2 5" xfId="121" xr:uid="{1EC314B2-D5B5-4074-9299-E4875698570F}"/>
    <cellStyle name="ปกติ 2 6" xfId="6" xr:uid="{C5CC142F-1055-4AD1-BFFC-4A599BE1A1D0}"/>
    <cellStyle name="ปกติ 2 6 6" xfId="11" xr:uid="{B3C7B13A-0278-402E-862F-3C68B8FC7948}"/>
    <cellStyle name="ปกติ 3" xfId="124" xr:uid="{CE3702E7-4AB3-4FD6-AC43-B7458C303B57}"/>
    <cellStyle name="ปกติ_Sheet1" xfId="4" xr:uid="{C5A43908-D79C-49F7-946C-79E3839B5E75}"/>
    <cellStyle name="ปกติ_Sheet1_Prinsiri-Dec48-T2 2" xfId="126" xr:uid="{81281BE9-1C6F-4232-BB44-D6914DB8F583}"/>
    <cellStyle name="ลักษณะ 1" xfId="128" xr:uid="{9DF54A29-976E-4A51-A878-316AB71E1D52}"/>
  </cellStyles>
  <dxfs count="0"/>
  <tableStyles count="0" defaultTableStyle="TableStyleMedium2" defaultPivotStyle="PivotStyleLight16"/>
  <colors>
    <mruColors>
      <color rgb="FFFFCCFF"/>
      <color rgb="FFCC99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Valuation!$R$211:$R$213</c:f>
              <c:strCache>
                <c:ptCount val="3"/>
                <c:pt idx="0">
                  <c:v>52 wk</c:v>
                </c:pt>
                <c:pt idx="1">
                  <c:v>PE</c:v>
                </c:pt>
                <c:pt idx="2">
                  <c:v>DCF</c:v>
                </c:pt>
              </c:strCache>
            </c:strRef>
          </c:cat>
          <c:val>
            <c:numRef>
              <c:f>Valuation!$S$211:$S$213</c:f>
              <c:numCache>
                <c:formatCode>0.00</c:formatCode>
                <c:ptCount val="3"/>
                <c:pt idx="0">
                  <c:v>7.65</c:v>
                </c:pt>
                <c:pt idx="1">
                  <c:v>8.8057579876887591</c:v>
                </c:pt>
                <c:pt idx="2">
                  <c:v>5.7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66-4010-9A3E-97C461E501C8}"/>
            </c:ext>
          </c:extLst>
        </c:ser>
        <c:ser>
          <c:idx val="1"/>
          <c:order val="1"/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566-4010-9A3E-97C461E501C8}"/>
              </c:ext>
            </c:extLst>
          </c:dPt>
          <c:cat>
            <c:strRef>
              <c:f>Valuation!$R$211:$R$213</c:f>
              <c:strCache>
                <c:ptCount val="3"/>
                <c:pt idx="0">
                  <c:v>52 wk</c:v>
                </c:pt>
                <c:pt idx="1">
                  <c:v>PE</c:v>
                </c:pt>
                <c:pt idx="2">
                  <c:v>DCF</c:v>
                </c:pt>
              </c:strCache>
            </c:strRef>
          </c:cat>
          <c:val>
            <c:numRef>
              <c:f>Valuation!$T$211:$T$213</c:f>
              <c:numCache>
                <c:formatCode>0.00</c:formatCode>
                <c:ptCount val="3"/>
                <c:pt idx="0">
                  <c:v>1.4499999999999993</c:v>
                </c:pt>
                <c:pt idx="1">
                  <c:v>12.438133157610375</c:v>
                </c:pt>
                <c:pt idx="2">
                  <c:v>8.4199999999999982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566-4010-9A3E-97C461E501C8}"/>
            </c:ext>
          </c:extLst>
        </c:ser>
        <c:ser>
          <c:idx val="2"/>
          <c:order val="2"/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Valuation!$R$211:$R$213</c:f>
              <c:strCache>
                <c:ptCount val="3"/>
                <c:pt idx="0">
                  <c:v>52 wk</c:v>
                </c:pt>
                <c:pt idx="1">
                  <c:v>PE</c:v>
                </c:pt>
                <c:pt idx="2">
                  <c:v>DCF</c:v>
                </c:pt>
              </c:strCache>
            </c:strRef>
          </c:cat>
          <c:val>
            <c:numRef>
              <c:f>Valuation!$U$211:$U$213</c:f>
              <c:numCache>
                <c:formatCode>0.00</c:formatCode>
                <c:ptCount val="3"/>
                <c:pt idx="0">
                  <c:v>9.1</c:v>
                </c:pt>
                <c:pt idx="1">
                  <c:v>21.243891145299134</c:v>
                </c:pt>
                <c:pt idx="2">
                  <c:v>14.12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566-4010-9A3E-97C461E501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87924687"/>
        <c:axId val="2087927599"/>
      </c:barChart>
      <c:catAx>
        <c:axId val="20879246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927599"/>
        <c:crosses val="autoZero"/>
        <c:auto val="1"/>
        <c:lblAlgn val="ctr"/>
        <c:lblOffset val="100"/>
        <c:noMultiLvlLbl val="0"/>
      </c:catAx>
      <c:valAx>
        <c:axId val="2087927599"/>
        <c:scaling>
          <c:orientation val="minMax"/>
          <c:max val="24"/>
          <c:min val="0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924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12</xdr:row>
      <xdr:rowOff>263366</xdr:rowOff>
    </xdr:from>
    <xdr:ext cx="184731" cy="26257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206138C-BCF5-4085-AB02-CD3F91B56E8A}"/>
            </a:ext>
          </a:extLst>
        </xdr:cNvPr>
        <xdr:cNvSpPr txBox="1"/>
      </xdr:nvSpPr>
      <xdr:spPr>
        <a:xfrm>
          <a:off x="9410700" y="3539966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14</xdr:col>
      <xdr:colOff>0</xdr:colOff>
      <xdr:row>8</xdr:row>
      <xdr:rowOff>243046</xdr:rowOff>
    </xdr:from>
    <xdr:ext cx="184731" cy="26257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C8DD81B-F6C4-42D1-AFD1-6C8F20E0F15F}"/>
            </a:ext>
          </a:extLst>
        </xdr:cNvPr>
        <xdr:cNvSpPr txBox="1"/>
      </xdr:nvSpPr>
      <xdr:spPr>
        <a:xfrm>
          <a:off x="9410700" y="2427446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th-TH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381001</xdr:colOff>
      <xdr:row>3</xdr:row>
      <xdr:rowOff>46182</xdr:rowOff>
    </xdr:from>
    <xdr:ext cx="1177637" cy="4502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7B04B193-7BC7-1979-68B6-B00AE8DD1E4B}"/>
                </a:ext>
              </a:extLst>
            </xdr:cNvPr>
            <xdr:cNvSpPr txBox="1"/>
          </xdr:nvSpPr>
          <xdr:spPr>
            <a:xfrm>
              <a:off x="992910" y="946727"/>
              <a:ext cx="1177637" cy="45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𝑇𝑜𝑡𝑎𝑙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𝑙𝑖𝑎𝑏𝑖𝑙𝑖𝑡𝑦</m:t>
                        </m:r>
                      </m:num>
                      <m:den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𝐴𝑠𝑠𝑒𝑡</m:t>
                        </m:r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7B04B193-7BC7-1979-68B6-B00AE8DD1E4B}"/>
                </a:ext>
              </a:extLst>
            </xdr:cNvPr>
            <xdr:cNvSpPr txBox="1"/>
          </xdr:nvSpPr>
          <xdr:spPr>
            <a:xfrm>
              <a:off x="992910" y="946727"/>
              <a:ext cx="1177637" cy="45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𝑇𝑜𝑡𝑎𝑙 𝑙𝑖𝑎𝑏𝑖𝑙𝑖𝑡𝑦)/𝐴𝑠𝑠𝑒𝑡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1</xdr:col>
      <xdr:colOff>334819</xdr:colOff>
      <xdr:row>4</xdr:row>
      <xdr:rowOff>57727</xdr:rowOff>
    </xdr:from>
    <xdr:ext cx="1177637" cy="4502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71F079F-C483-462D-A2E4-47C3051C4985}"/>
                </a:ext>
              </a:extLst>
            </xdr:cNvPr>
            <xdr:cNvSpPr txBox="1"/>
          </xdr:nvSpPr>
          <xdr:spPr>
            <a:xfrm>
              <a:off x="946728" y="1627909"/>
              <a:ext cx="1177637" cy="45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𝑇𝑜𝑡𝑎𝑙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𝐿𝑖𝑎𝑏𝑖𝑙𝑖𝑡𝑦</m:t>
                        </m:r>
                      </m:num>
                      <m:den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𝑇𝑜𝑡𝑎𝑙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𝐸𝑞𝑢𝑖𝑡𝑦</m:t>
                        </m:r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71F079F-C483-462D-A2E4-47C3051C4985}"/>
                </a:ext>
              </a:extLst>
            </xdr:cNvPr>
            <xdr:cNvSpPr txBox="1"/>
          </xdr:nvSpPr>
          <xdr:spPr>
            <a:xfrm>
              <a:off x="946728" y="1627909"/>
              <a:ext cx="1177637" cy="45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𝑇𝑜𝑡𝑎𝑙 𝐿𝑖𝑎𝑏𝑖𝑙𝑖𝑡𝑦)/(𝑇𝑜𝑡𝑎𝑙 𝐸𝑞𝑢𝑖𝑡𝑦)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1</xdr:col>
      <xdr:colOff>302499</xdr:colOff>
      <xdr:row>5</xdr:row>
      <xdr:rowOff>48486</xdr:rowOff>
    </xdr:from>
    <xdr:ext cx="1177637" cy="4502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E435F8BC-0A25-4BD1-BC2F-9D2AB5D2F10A}"/>
                </a:ext>
              </a:extLst>
            </xdr:cNvPr>
            <xdr:cNvSpPr txBox="1"/>
          </xdr:nvSpPr>
          <xdr:spPr>
            <a:xfrm>
              <a:off x="914408" y="2149759"/>
              <a:ext cx="1177637" cy="45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𝐸𝐵𝐼𝑇</m:t>
                        </m:r>
                      </m:num>
                      <m:den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𝐼𝑛𝑡𝑒𝑟𝑒𝑠𝑡</m:t>
                        </m:r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E435F8BC-0A25-4BD1-BC2F-9D2AB5D2F10A}"/>
                </a:ext>
              </a:extLst>
            </xdr:cNvPr>
            <xdr:cNvSpPr txBox="1"/>
          </xdr:nvSpPr>
          <xdr:spPr>
            <a:xfrm>
              <a:off x="914408" y="2149759"/>
              <a:ext cx="1177637" cy="45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𝐸𝐵𝐼𝑇/𝐼𝑛𝑡𝑒𝑟𝑒𝑠𝑡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1</xdr:col>
      <xdr:colOff>270172</xdr:colOff>
      <xdr:row>7</xdr:row>
      <xdr:rowOff>50795</xdr:rowOff>
    </xdr:from>
    <xdr:ext cx="1177637" cy="4502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221B22E-4C95-4B8B-A523-949FAA12513F}"/>
                </a:ext>
              </a:extLst>
            </xdr:cNvPr>
            <xdr:cNvSpPr txBox="1"/>
          </xdr:nvSpPr>
          <xdr:spPr>
            <a:xfrm>
              <a:off x="882081" y="2683159"/>
              <a:ext cx="1177637" cy="45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𝐸𝐵𝐼𝑇𝐷𝐴</m:t>
                        </m:r>
                      </m:num>
                      <m:den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𝐼𝑛𝑡𝑒𝑟𝑒𝑠𝑡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𝐼𝐵𝐷</m:t>
                        </m:r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221B22E-4C95-4B8B-A523-949FAA12513F}"/>
                </a:ext>
              </a:extLst>
            </xdr:cNvPr>
            <xdr:cNvSpPr txBox="1"/>
          </xdr:nvSpPr>
          <xdr:spPr>
            <a:xfrm>
              <a:off x="882081" y="2683159"/>
              <a:ext cx="1177637" cy="45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𝐸𝐵𝐼𝑇𝐷𝐴/(𝐼𝑛𝑡𝑒𝑟𝑒𝑠𝑡+𝐼𝐵𝐷)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1</xdr:col>
      <xdr:colOff>225186</xdr:colOff>
      <xdr:row>10</xdr:row>
      <xdr:rowOff>77462</xdr:rowOff>
    </xdr:from>
    <xdr:ext cx="1406109" cy="4502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E9230E6C-7238-41A1-83C2-D91E71E1D801}"/>
                </a:ext>
              </a:extLst>
            </xdr:cNvPr>
            <xdr:cNvSpPr txBox="1"/>
          </xdr:nvSpPr>
          <xdr:spPr>
            <a:xfrm>
              <a:off x="838289" y="5037031"/>
              <a:ext cx="1406109" cy="45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𝐶𝑢𝑟𝑟𝑛𝑒𝑡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𝐴𝑠𝑠𝑒𝑡</m:t>
                        </m:r>
                      </m:num>
                      <m:den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𝐶𝑢𝑟𝑟𝑒𝑛𝑡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𝐿𝑖𝑎𝑏𝑖𝑡𝑖𝑡𝑦</m:t>
                        </m:r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E9230E6C-7238-41A1-83C2-D91E71E1D801}"/>
                </a:ext>
              </a:extLst>
            </xdr:cNvPr>
            <xdr:cNvSpPr txBox="1"/>
          </xdr:nvSpPr>
          <xdr:spPr>
            <a:xfrm>
              <a:off x="838289" y="5037031"/>
              <a:ext cx="1406109" cy="45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𝐶𝑢𝑟𝑟𝑛𝑒𝑡 𝐴𝑠𝑠𝑒𝑡)/(𝐶𝑢𝑟𝑟𝑒𝑛𝑡 𝐿𝑖𝑎𝑏𝑖𝑡𝑖𝑡𝑦)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1</xdr:col>
      <xdr:colOff>235258</xdr:colOff>
      <xdr:row>11</xdr:row>
      <xdr:rowOff>65638</xdr:rowOff>
    </xdr:from>
    <xdr:ext cx="1406109" cy="4502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CB707867-ABF8-4E53-913D-EABDF6E3F95D}"/>
                </a:ext>
              </a:extLst>
            </xdr:cNvPr>
            <xdr:cNvSpPr txBox="1"/>
          </xdr:nvSpPr>
          <xdr:spPr>
            <a:xfrm>
              <a:off x="848361" y="5627362"/>
              <a:ext cx="1406109" cy="45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𝑇𝑜𝑡𝑎𝑙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𝐿𝑖𝑎𝑏𝑖𝑙𝑖𝑡𝑦</m:t>
                        </m:r>
                      </m:num>
                      <m:den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𝑇𝑜𝑡𝑎𝑙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𝐴𝑠𝑠𝑒𝑡</m:t>
                        </m:r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CB707867-ABF8-4E53-913D-EABDF6E3F95D}"/>
                </a:ext>
              </a:extLst>
            </xdr:cNvPr>
            <xdr:cNvSpPr txBox="1"/>
          </xdr:nvSpPr>
          <xdr:spPr>
            <a:xfrm>
              <a:off x="848361" y="5627362"/>
              <a:ext cx="1406109" cy="45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𝑇𝑜𝑡𝑎𝑙 𝐿𝑖𝑎𝑏𝑖𝑙𝑖𝑡𝑦)/(𝑇𝑜𝑡𝑎𝑙 𝐴𝑠𝑠𝑒𝑡)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1</xdr:col>
      <xdr:colOff>190590</xdr:colOff>
      <xdr:row>12</xdr:row>
      <xdr:rowOff>108556</xdr:rowOff>
    </xdr:from>
    <xdr:ext cx="1406109" cy="4502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DF55F8C3-C869-49EA-A8CE-04F1480E0250}"/>
                </a:ext>
              </a:extLst>
            </xdr:cNvPr>
            <xdr:cNvSpPr txBox="1"/>
          </xdr:nvSpPr>
          <xdr:spPr>
            <a:xfrm>
              <a:off x="803693" y="6272435"/>
              <a:ext cx="1406109" cy="45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𝑇𝑜𝑡𝑎𝑙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𝐿𝑖𝑎𝑏𝑖𝑙𝑖𝑡𝑦</m:t>
                        </m:r>
                      </m:num>
                      <m:den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𝑇𝑜𝑡𝑎𝑙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𝐴𝑠𝑠𝑒𝑡</m:t>
                        </m:r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DF55F8C3-C869-49EA-A8CE-04F1480E0250}"/>
                </a:ext>
              </a:extLst>
            </xdr:cNvPr>
            <xdr:cNvSpPr txBox="1"/>
          </xdr:nvSpPr>
          <xdr:spPr>
            <a:xfrm>
              <a:off x="803693" y="6272435"/>
              <a:ext cx="1406109" cy="45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𝑇𝑜𝑡𝑎𝑙 𝐿𝑖𝑎𝑏𝑖𝑙𝑖𝑡𝑦)/(𝑇𝑜𝑡𝑎𝑙 𝐴𝑠𝑠𝑒𝑡)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1</xdr:col>
      <xdr:colOff>244455</xdr:colOff>
      <xdr:row>15</xdr:row>
      <xdr:rowOff>107680</xdr:rowOff>
    </xdr:from>
    <xdr:ext cx="1406109" cy="4502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F56AC02-51D1-47D7-92D6-B32D3C777B94}"/>
                </a:ext>
              </a:extLst>
            </xdr:cNvPr>
            <xdr:cNvSpPr txBox="1"/>
          </xdr:nvSpPr>
          <xdr:spPr>
            <a:xfrm>
              <a:off x="857558" y="7924749"/>
              <a:ext cx="1406109" cy="45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𝑁𝑒𝑡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𝐼𝑛𝑐𝑜𝑚𝑒</m:t>
                        </m:r>
                      </m:num>
                      <m:den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𝑇𝑜𝑡𝑎𝑙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𝐴𝑠𝑠𝑒𝑡</m:t>
                        </m:r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F56AC02-51D1-47D7-92D6-B32D3C777B94}"/>
                </a:ext>
              </a:extLst>
            </xdr:cNvPr>
            <xdr:cNvSpPr txBox="1"/>
          </xdr:nvSpPr>
          <xdr:spPr>
            <a:xfrm>
              <a:off x="857558" y="7924749"/>
              <a:ext cx="1406109" cy="45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𝑁𝑒𝑡 𝐼𝑛𝑐𝑜𝑚𝑒)/(𝑇𝑜𝑡𝑎𝑙 𝐴𝑠𝑠𝑒𝑡)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1</xdr:col>
      <xdr:colOff>232635</xdr:colOff>
      <xdr:row>16</xdr:row>
      <xdr:rowOff>63009</xdr:rowOff>
    </xdr:from>
    <xdr:ext cx="1406109" cy="4502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36EB3786-691F-491C-93B1-D50EE87F0973}"/>
                </a:ext>
              </a:extLst>
            </xdr:cNvPr>
            <xdr:cNvSpPr txBox="1"/>
          </xdr:nvSpPr>
          <xdr:spPr>
            <a:xfrm>
              <a:off x="845738" y="8482233"/>
              <a:ext cx="1406109" cy="45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𝑁𝑒𝑡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𝐼𝑛𝑐𝑜𝑚𝑒</m:t>
                        </m:r>
                      </m:num>
                      <m:den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𝐹𝑖𝑥𝑒𝑑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𝐴𝑠𝑠𝑒𝑡</m:t>
                        </m:r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36EB3786-691F-491C-93B1-D50EE87F0973}"/>
                </a:ext>
              </a:extLst>
            </xdr:cNvPr>
            <xdr:cNvSpPr txBox="1"/>
          </xdr:nvSpPr>
          <xdr:spPr>
            <a:xfrm>
              <a:off x="845738" y="8482233"/>
              <a:ext cx="1406109" cy="45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𝑁𝑒𝑡 𝐼𝑛𝑐𝑜𝑚𝑒)/(𝐹𝑖𝑥𝑒𝑑 𝐴𝑠𝑠𝑒𝑡)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1</xdr:col>
      <xdr:colOff>242707</xdr:colOff>
      <xdr:row>17</xdr:row>
      <xdr:rowOff>73082</xdr:rowOff>
    </xdr:from>
    <xdr:ext cx="1406109" cy="4502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F240B62F-2075-4A11-B720-97F9ACD9B2A8}"/>
                </a:ext>
              </a:extLst>
            </xdr:cNvPr>
            <xdr:cNvSpPr txBox="1"/>
          </xdr:nvSpPr>
          <xdr:spPr>
            <a:xfrm>
              <a:off x="855810" y="9094461"/>
              <a:ext cx="1406109" cy="45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𝐷𝑎𝑦𝑠</m:t>
                        </m:r>
                      </m:num>
                      <m:den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𝐼𝑛𝑣𝑒𝑛𝑡𝑜𝑟𝑖𝑒𝑠</m:t>
                        </m:r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F240B62F-2075-4A11-B720-97F9ACD9B2A8}"/>
                </a:ext>
              </a:extLst>
            </xdr:cNvPr>
            <xdr:cNvSpPr txBox="1"/>
          </xdr:nvSpPr>
          <xdr:spPr>
            <a:xfrm>
              <a:off x="855810" y="9094461"/>
              <a:ext cx="1406109" cy="45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𝐷𝑎𝑦𝑠/𝐼𝑛𝑣𝑒𝑛𝑡𝑜𝑟𝑖𝑒𝑠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1</xdr:col>
      <xdr:colOff>184730</xdr:colOff>
      <xdr:row>19</xdr:row>
      <xdr:rowOff>138545</xdr:rowOff>
    </xdr:from>
    <xdr:ext cx="1951181" cy="5772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2F52552F-EB14-487B-8D65-CFC26D5FC7E2}"/>
                </a:ext>
              </a:extLst>
            </xdr:cNvPr>
            <xdr:cNvSpPr txBox="1"/>
          </xdr:nvSpPr>
          <xdr:spPr>
            <a:xfrm>
              <a:off x="542639" y="9744363"/>
              <a:ext cx="1951181" cy="577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14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𝐴𝑐𝑐𝑜𝑢𝑛𝑡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𝑅𝑒𝑐𝑖𝑒𝑣𝑎𝑏𝑙𝑒</m:t>
                      </m:r>
                    </m:num>
                    <m:den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𝑁𝑒𝑡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𝑝𝑟𝑒𝑠𝑎𝑙𝑒</m:t>
                      </m:r>
                    </m:den>
                  </m:f>
                </m:oMath>
              </a14:m>
              <a:r>
                <a:rPr lang="en-US" sz="1400"/>
                <a:t>×365</a:t>
              </a:r>
            </a:p>
          </xdr:txBody>
        </xdr:sp>
      </mc:Choice>
      <mc:Fallback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2F52552F-EB14-487B-8D65-CFC26D5FC7E2}"/>
                </a:ext>
              </a:extLst>
            </xdr:cNvPr>
            <xdr:cNvSpPr txBox="1"/>
          </xdr:nvSpPr>
          <xdr:spPr>
            <a:xfrm>
              <a:off x="542639" y="9744363"/>
              <a:ext cx="1951181" cy="577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 𝐴𝑐𝑐𝑜𝑢𝑛𝑡 𝑅𝑒𝑐𝑖𝑒𝑣𝑎𝑏𝑙𝑒)/(𝑁𝑒𝑡 𝑝𝑟𝑒𝑠𝑎𝑙𝑒)</a:t>
              </a:r>
              <a:r>
                <a:rPr lang="en-US" sz="1400"/>
                <a:t>×365</a:t>
              </a:r>
            </a:p>
          </xdr:txBody>
        </xdr:sp>
      </mc:Fallback>
    </mc:AlternateContent>
    <xdr:clientData/>
  </xdr:oneCellAnchor>
  <xdr:oneCellAnchor>
    <xdr:from>
      <xdr:col>1</xdr:col>
      <xdr:colOff>117766</xdr:colOff>
      <xdr:row>21</xdr:row>
      <xdr:rowOff>140854</xdr:rowOff>
    </xdr:from>
    <xdr:ext cx="1951181" cy="5772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030DD5F0-5945-4360-9A34-45B1C9874602}"/>
                </a:ext>
              </a:extLst>
            </xdr:cNvPr>
            <xdr:cNvSpPr txBox="1"/>
          </xdr:nvSpPr>
          <xdr:spPr>
            <a:xfrm>
              <a:off x="475675" y="10347036"/>
              <a:ext cx="1951181" cy="577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14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𝐴𝑐𝑐𝑜𝑢𝑛𝑡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𝑅𝑒𝑐𝑖𝑒𝑣𝑎𝑏𝑙𝑒</m:t>
                      </m:r>
                    </m:num>
                    <m:den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𝑁𝑒𝑡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𝑝𝑟𝑒𝑠𝑎𝑙𝑒</m:t>
                      </m:r>
                    </m:den>
                  </m:f>
                </m:oMath>
              </a14:m>
              <a:r>
                <a:rPr lang="en-US" sz="1400"/>
                <a:t>×365</a:t>
              </a:r>
            </a:p>
          </xdr:txBody>
        </xdr:sp>
      </mc:Choice>
      <mc:Fallback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030DD5F0-5945-4360-9A34-45B1C9874602}"/>
                </a:ext>
              </a:extLst>
            </xdr:cNvPr>
            <xdr:cNvSpPr txBox="1"/>
          </xdr:nvSpPr>
          <xdr:spPr>
            <a:xfrm>
              <a:off x="475675" y="10347036"/>
              <a:ext cx="1951181" cy="577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 𝐴𝑐𝑐𝑜𝑢𝑛𝑡 𝑅𝑒𝑐𝑖𝑒𝑣𝑎𝑏𝑙𝑒)/(𝑁𝑒𝑡 𝑝𝑟𝑒𝑠𝑎𝑙𝑒)</a:t>
              </a:r>
              <a:r>
                <a:rPr lang="en-US" sz="1400"/>
                <a:t>×365</a:t>
              </a:r>
            </a:p>
          </xdr:txBody>
        </xdr:sp>
      </mc:Fallback>
    </mc:AlternateContent>
    <xdr:clientData/>
  </xdr:oneCellAnchor>
  <xdr:oneCellAnchor>
    <xdr:from>
      <xdr:col>1</xdr:col>
      <xdr:colOff>96985</xdr:colOff>
      <xdr:row>22</xdr:row>
      <xdr:rowOff>189345</xdr:rowOff>
    </xdr:from>
    <xdr:ext cx="1951181" cy="5772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739056AB-BC57-4C5A-8FA2-97FB2785D587}"/>
                </a:ext>
              </a:extLst>
            </xdr:cNvPr>
            <xdr:cNvSpPr txBox="1"/>
          </xdr:nvSpPr>
          <xdr:spPr>
            <a:xfrm>
              <a:off x="454894" y="10995890"/>
              <a:ext cx="1951181" cy="577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14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𝐴𝑐𝑐𝑟𝑢𝑒𝑑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𝑒𝑥𝑝𝑒𝑛𝑠𝑒</m:t>
                      </m:r>
                    </m:num>
                    <m:den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𝐶𝑂𝐺𝑆</m:t>
                      </m:r>
                    </m:den>
                  </m:f>
                </m:oMath>
              </a14:m>
              <a:r>
                <a:rPr lang="en-US" sz="1400"/>
                <a:t>×365</a:t>
              </a:r>
            </a:p>
          </xdr:txBody>
        </xdr:sp>
      </mc:Choice>
      <mc:Fallback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739056AB-BC57-4C5A-8FA2-97FB2785D587}"/>
                </a:ext>
              </a:extLst>
            </xdr:cNvPr>
            <xdr:cNvSpPr txBox="1"/>
          </xdr:nvSpPr>
          <xdr:spPr>
            <a:xfrm>
              <a:off x="454894" y="10995890"/>
              <a:ext cx="1951181" cy="577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 𝐴𝑐𝑐𝑟𝑢𝑒𝑑 𝑒𝑥𝑝𝑒𝑛𝑠𝑒)/𝐶𝑂𝐺𝑆</a:t>
              </a:r>
              <a:r>
                <a:rPr lang="en-US" sz="1400"/>
                <a:t>×365</a:t>
              </a:r>
            </a:p>
          </xdr:txBody>
        </xdr:sp>
      </mc:Fallback>
    </mc:AlternateContent>
    <xdr:clientData/>
  </xdr:oneCellAnchor>
  <xdr:oneCellAnchor>
    <xdr:from>
      <xdr:col>1</xdr:col>
      <xdr:colOff>346364</xdr:colOff>
      <xdr:row>24</xdr:row>
      <xdr:rowOff>138546</xdr:rowOff>
    </xdr:from>
    <xdr:ext cx="1951181" cy="577273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357994D8-8B6E-481C-8411-F464B5D44172}"/>
            </a:ext>
          </a:extLst>
        </xdr:cNvPr>
        <xdr:cNvSpPr txBox="1"/>
      </xdr:nvSpPr>
      <xdr:spPr>
        <a:xfrm>
          <a:off x="704273" y="11545455"/>
          <a:ext cx="1951181" cy="5772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r>
            <a:rPr lang="en-US" sz="1400"/>
            <a:t>AAI+ACP-APP</a:t>
          </a:r>
        </a:p>
      </xdr:txBody>
    </xdr:sp>
    <xdr:clientData/>
  </xdr:oneCellAnchor>
  <xdr:oneCellAnchor>
    <xdr:from>
      <xdr:col>1</xdr:col>
      <xdr:colOff>196272</xdr:colOff>
      <xdr:row>35</xdr:row>
      <xdr:rowOff>80818</xdr:rowOff>
    </xdr:from>
    <xdr:ext cx="1406109" cy="4502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145016C9-031C-426F-A2B1-D12C4538E129}"/>
                </a:ext>
              </a:extLst>
            </xdr:cNvPr>
            <xdr:cNvSpPr txBox="1"/>
          </xdr:nvSpPr>
          <xdr:spPr>
            <a:xfrm>
              <a:off x="554181" y="17791545"/>
              <a:ext cx="1406109" cy="45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𝑁𝑒𝑡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𝐼𝑛𝑐𝑜𝑚𝑒</m:t>
                        </m:r>
                      </m:num>
                      <m:den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𝑀𝑉</m:t>
                        </m:r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145016C9-031C-426F-A2B1-D12C4538E129}"/>
                </a:ext>
              </a:extLst>
            </xdr:cNvPr>
            <xdr:cNvSpPr txBox="1"/>
          </xdr:nvSpPr>
          <xdr:spPr>
            <a:xfrm>
              <a:off x="554181" y="17791545"/>
              <a:ext cx="1406109" cy="45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𝑁𝑒𝑡 𝐼𝑛𝑐𝑜𝑚𝑒)/𝑀𝑉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1</xdr:col>
      <xdr:colOff>187042</xdr:colOff>
      <xdr:row>38</xdr:row>
      <xdr:rowOff>71565</xdr:rowOff>
    </xdr:from>
    <xdr:ext cx="1406109" cy="450273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52F7EC1-D8B3-4B30-AF48-057E7BDEF99A}"/>
            </a:ext>
          </a:extLst>
        </xdr:cNvPr>
        <xdr:cNvSpPr txBox="1"/>
      </xdr:nvSpPr>
      <xdr:spPr>
        <a:xfrm>
          <a:off x="544951" y="19583383"/>
          <a:ext cx="1406109" cy="4502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pPr algn="ctr"/>
          <a:r>
            <a:rPr lang="en-US" sz="1400"/>
            <a:t>Stock</a:t>
          </a:r>
          <a:r>
            <a:rPr lang="en-US" sz="1400" baseline="0"/>
            <a:t> Price × Number of Stock</a:t>
          </a:r>
          <a:endParaRPr lang="en-US" sz="1400"/>
        </a:p>
      </xdr:txBody>
    </xdr:sp>
    <xdr:clientData/>
  </xdr:oneCellAnchor>
  <xdr:oneCellAnchor>
    <xdr:from>
      <xdr:col>1</xdr:col>
      <xdr:colOff>199572</xdr:colOff>
      <xdr:row>39</xdr:row>
      <xdr:rowOff>72572</xdr:rowOff>
    </xdr:from>
    <xdr:ext cx="1406109" cy="4502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49720280-7528-4BF3-AABE-0A53077B3874}"/>
                </a:ext>
              </a:extLst>
            </xdr:cNvPr>
            <xdr:cNvSpPr txBox="1"/>
          </xdr:nvSpPr>
          <xdr:spPr>
            <a:xfrm>
              <a:off x="553358" y="20419786"/>
              <a:ext cx="1406109" cy="45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𝑀𝑉</m:t>
                        </m:r>
                      </m:num>
                      <m:den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𝑁𝑒𝑡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𝐼𝑛𝑐𝑜𝑚𝑒</m:t>
                        </m:r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49720280-7528-4BF3-AABE-0A53077B3874}"/>
                </a:ext>
              </a:extLst>
            </xdr:cNvPr>
            <xdr:cNvSpPr txBox="1"/>
          </xdr:nvSpPr>
          <xdr:spPr>
            <a:xfrm>
              <a:off x="553358" y="20419786"/>
              <a:ext cx="1406109" cy="45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𝑀𝑉/(𝑁𝑒𝑡 𝐼𝑛𝑐𝑜𝑚𝑒)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1</xdr:col>
      <xdr:colOff>199571</xdr:colOff>
      <xdr:row>40</xdr:row>
      <xdr:rowOff>63500</xdr:rowOff>
    </xdr:from>
    <xdr:ext cx="1406109" cy="4502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03D10F43-C7A5-424C-93CC-7EB348B03127}"/>
                </a:ext>
              </a:extLst>
            </xdr:cNvPr>
            <xdr:cNvSpPr txBox="1"/>
          </xdr:nvSpPr>
          <xdr:spPr>
            <a:xfrm>
              <a:off x="553357" y="21018500"/>
              <a:ext cx="1406109" cy="45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𝑇𝑜𝑡𝑎𝑙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𝐸𝑞𝑢𝑖𝑡𝑦</m:t>
                        </m:r>
                      </m:num>
                      <m:den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𝑁𝑢𝑚𝑏𝑒𝑟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𝑜𝑓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𝑆𝑡𝑜𝑐𝑘</m:t>
                        </m:r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03D10F43-C7A5-424C-93CC-7EB348B03127}"/>
                </a:ext>
              </a:extLst>
            </xdr:cNvPr>
            <xdr:cNvSpPr txBox="1"/>
          </xdr:nvSpPr>
          <xdr:spPr>
            <a:xfrm>
              <a:off x="553357" y="21018500"/>
              <a:ext cx="1406109" cy="45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𝑇𝑜𝑡𝑎𝑙 𝐸𝑞𝑢𝑖𝑡𝑦)/(𝑁𝑢𝑚𝑏𝑒𝑟 𝑜𝑓 𝑆𝑡𝑜𝑐𝑘)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1</xdr:col>
      <xdr:colOff>163286</xdr:colOff>
      <xdr:row>41</xdr:row>
      <xdr:rowOff>72571</xdr:rowOff>
    </xdr:from>
    <xdr:ext cx="1406109" cy="4502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84FFEB74-F2B1-43B7-B945-E58D783C1875}"/>
                </a:ext>
              </a:extLst>
            </xdr:cNvPr>
            <xdr:cNvSpPr txBox="1"/>
          </xdr:nvSpPr>
          <xdr:spPr>
            <a:xfrm>
              <a:off x="517072" y="21635357"/>
              <a:ext cx="1406109" cy="45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𝑇𝑜𝑡𝑎𝑙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𝐸𝑞𝑢𝑖𝑡𝑦</m:t>
                        </m:r>
                      </m:num>
                      <m:den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𝑁𝑢𝑚𝑏𝑒𝑟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𝑜𝑓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𝑆𝑡𝑜𝑐𝑘</m:t>
                        </m:r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84FFEB74-F2B1-43B7-B945-E58D783C1875}"/>
                </a:ext>
              </a:extLst>
            </xdr:cNvPr>
            <xdr:cNvSpPr txBox="1"/>
          </xdr:nvSpPr>
          <xdr:spPr>
            <a:xfrm>
              <a:off x="517072" y="21635357"/>
              <a:ext cx="1406109" cy="45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𝑇𝑜𝑡𝑎𝑙 𝐸𝑞𝑢𝑖𝑡𝑦)/(𝑁𝑢𝑚𝑏𝑒𝑟 𝑜𝑓 𝑆𝑡𝑜𝑐𝑘)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1</xdr:col>
      <xdr:colOff>115454</xdr:colOff>
      <xdr:row>42</xdr:row>
      <xdr:rowOff>92363</xdr:rowOff>
    </xdr:from>
    <xdr:ext cx="1406109" cy="4502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ED32E24F-2CC2-4029-8E05-124D24662028}"/>
                </a:ext>
              </a:extLst>
            </xdr:cNvPr>
            <xdr:cNvSpPr txBox="1"/>
          </xdr:nvSpPr>
          <xdr:spPr>
            <a:xfrm>
              <a:off x="473363" y="22005636"/>
              <a:ext cx="1406109" cy="45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𝐷𝑖𝑣𝑖𝑑𝑒𝑛𝑑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𝑦𝑖𝑒𝑙𝑑</m:t>
                        </m:r>
                      </m:num>
                      <m:den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𝑆𝑡𝑜𝑐𝑘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𝑃𝑟𝑖𝑐𝑒</m:t>
                        </m:r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ED32E24F-2CC2-4029-8E05-124D24662028}"/>
                </a:ext>
              </a:extLst>
            </xdr:cNvPr>
            <xdr:cNvSpPr txBox="1"/>
          </xdr:nvSpPr>
          <xdr:spPr>
            <a:xfrm>
              <a:off x="473363" y="22005636"/>
              <a:ext cx="1406109" cy="45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𝐷𝑖𝑣𝑖𝑑𝑒𝑛𝑑 𝑦𝑖𝑒𝑙𝑑)/(𝑆𝑡𝑜𝑐𝑘 𝑃𝑟𝑖𝑐𝑒)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1</xdr:col>
      <xdr:colOff>196273</xdr:colOff>
      <xdr:row>36</xdr:row>
      <xdr:rowOff>161633</xdr:rowOff>
    </xdr:from>
    <xdr:ext cx="1406109" cy="450273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3D9173C8-153A-4FBF-9BA4-0A993D581C68}"/>
            </a:ext>
          </a:extLst>
        </xdr:cNvPr>
        <xdr:cNvSpPr txBox="1"/>
      </xdr:nvSpPr>
      <xdr:spPr>
        <a:xfrm>
          <a:off x="554182" y="18472724"/>
          <a:ext cx="1406109" cy="4502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pPr algn="ctr"/>
          <a:r>
            <a:rPr lang="en-US" sz="1400"/>
            <a:t>(from historical)</a:t>
          </a:r>
        </a:p>
      </xdr:txBody>
    </xdr:sp>
    <xdr:clientData/>
  </xdr:oneCellAnchor>
  <xdr:oneCellAnchor>
    <xdr:from>
      <xdr:col>1</xdr:col>
      <xdr:colOff>242455</xdr:colOff>
      <xdr:row>27</xdr:row>
      <xdr:rowOff>103909</xdr:rowOff>
    </xdr:from>
    <xdr:ext cx="1406109" cy="4502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160BDF14-BA1F-4CA9-9117-FC4508748693}"/>
                </a:ext>
              </a:extLst>
            </xdr:cNvPr>
            <xdr:cNvSpPr txBox="1"/>
          </xdr:nvSpPr>
          <xdr:spPr>
            <a:xfrm>
              <a:off x="600364" y="13161818"/>
              <a:ext cx="1406109" cy="45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𝐺𝑟𝑜𝑠𝑠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𝑃𝑟𝑜𝑓𝑖𝑡</m:t>
                        </m:r>
                      </m:num>
                      <m:den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𝑇𝑜𝑡𝑎𝑙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𝑅𝑒𝑣𝑒𝑛𝑢𝑒</m:t>
                        </m:r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160BDF14-BA1F-4CA9-9117-FC4508748693}"/>
                </a:ext>
              </a:extLst>
            </xdr:cNvPr>
            <xdr:cNvSpPr txBox="1"/>
          </xdr:nvSpPr>
          <xdr:spPr>
            <a:xfrm>
              <a:off x="600364" y="13161818"/>
              <a:ext cx="1406109" cy="45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𝐺𝑟𝑜𝑠𝑠 𝑃𝑟𝑜𝑓𝑖𝑡)/(𝑇𝑜𝑡𝑎𝑙 𝑅𝑒𝑣𝑒𝑛𝑢𝑒)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1</xdr:col>
      <xdr:colOff>219364</xdr:colOff>
      <xdr:row>28</xdr:row>
      <xdr:rowOff>80818</xdr:rowOff>
    </xdr:from>
    <xdr:ext cx="1406109" cy="4502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851EEC60-E355-4C50-A053-9366A0A1537C}"/>
                </a:ext>
              </a:extLst>
            </xdr:cNvPr>
            <xdr:cNvSpPr txBox="1"/>
          </xdr:nvSpPr>
          <xdr:spPr>
            <a:xfrm>
              <a:off x="577273" y="13739091"/>
              <a:ext cx="1406109" cy="45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𝐸𝐵𝐼𝑇</m:t>
                        </m:r>
                      </m:num>
                      <m:den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𝑇𝑜𝑡𝑎𝑙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𝑅𝑒𝑣𝑒𝑛𝑢𝑒</m:t>
                        </m:r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851EEC60-E355-4C50-A053-9366A0A1537C}"/>
                </a:ext>
              </a:extLst>
            </xdr:cNvPr>
            <xdr:cNvSpPr txBox="1"/>
          </xdr:nvSpPr>
          <xdr:spPr>
            <a:xfrm>
              <a:off x="577273" y="13739091"/>
              <a:ext cx="1406109" cy="45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𝐸𝐵𝐼𝑇/(𝑇𝑜𝑡𝑎𝑙 𝑅𝑒𝑣𝑒𝑛𝑢𝑒)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1</xdr:col>
      <xdr:colOff>267855</xdr:colOff>
      <xdr:row>29</xdr:row>
      <xdr:rowOff>36945</xdr:rowOff>
    </xdr:from>
    <xdr:ext cx="1406109" cy="4502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6466E945-A905-4B4F-AB35-5466E2CE8BF1}"/>
                </a:ext>
              </a:extLst>
            </xdr:cNvPr>
            <xdr:cNvSpPr txBox="1"/>
          </xdr:nvSpPr>
          <xdr:spPr>
            <a:xfrm>
              <a:off x="625764" y="14295581"/>
              <a:ext cx="1406109" cy="45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𝑁𝑒𝑡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𝑃𝑟𝑜𝑓𝑖𝑡</m:t>
                        </m:r>
                      </m:num>
                      <m:den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𝑇𝑜𝑡𝑎𝑙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𝑅𝑒𝑣𝑒𝑛𝑢𝑒</m:t>
                        </m:r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6466E945-A905-4B4F-AB35-5466E2CE8BF1}"/>
                </a:ext>
              </a:extLst>
            </xdr:cNvPr>
            <xdr:cNvSpPr txBox="1"/>
          </xdr:nvSpPr>
          <xdr:spPr>
            <a:xfrm>
              <a:off x="625764" y="14295581"/>
              <a:ext cx="1406109" cy="45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𝑁𝑒𝑡 𝑃𝑟𝑜𝑓𝑖𝑡)/(𝑇𝑜𝑡𝑎𝑙 𝑅𝑒𝑣𝑒𝑛𝑢𝑒)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1</xdr:col>
      <xdr:colOff>184727</xdr:colOff>
      <xdr:row>30</xdr:row>
      <xdr:rowOff>57727</xdr:rowOff>
    </xdr:from>
    <xdr:ext cx="1406109" cy="4502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01BCBC93-6165-4F9F-A6D5-974AD27FBD89}"/>
                </a:ext>
              </a:extLst>
            </xdr:cNvPr>
            <xdr:cNvSpPr txBox="1"/>
          </xdr:nvSpPr>
          <xdr:spPr>
            <a:xfrm>
              <a:off x="542636" y="14916727"/>
              <a:ext cx="1406109" cy="45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𝑁𝑒𝑡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𝑃𝑟𝑜𝑓𝑖𝑡</m:t>
                        </m:r>
                      </m:num>
                      <m:den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𝑇𝑜𝑡𝑎𝑙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𝐴𝑠𝑠𝑒𝑡</m:t>
                        </m:r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01BCBC93-6165-4F9F-A6D5-974AD27FBD89}"/>
                </a:ext>
              </a:extLst>
            </xdr:cNvPr>
            <xdr:cNvSpPr txBox="1"/>
          </xdr:nvSpPr>
          <xdr:spPr>
            <a:xfrm>
              <a:off x="542636" y="14916727"/>
              <a:ext cx="1406109" cy="45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𝑁𝑒𝑡 𝑃𝑟𝑜𝑓𝑖𝑡)/(𝑇𝑜𝑡𝑎𝑙 𝐴𝑠𝑠𝑒𝑡)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1</xdr:col>
      <xdr:colOff>196272</xdr:colOff>
      <xdr:row>31</xdr:row>
      <xdr:rowOff>80818</xdr:rowOff>
    </xdr:from>
    <xdr:ext cx="1406109" cy="4502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351C26D3-6D12-4534-AB08-81F866A49146}"/>
                </a:ext>
              </a:extLst>
            </xdr:cNvPr>
            <xdr:cNvSpPr txBox="1"/>
          </xdr:nvSpPr>
          <xdr:spPr>
            <a:xfrm>
              <a:off x="554181" y="15540182"/>
              <a:ext cx="1406109" cy="45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𝑁𝑒𝑡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𝑃𝑟𝑜𝑓𝑖𝑡</m:t>
                        </m:r>
                      </m:num>
                      <m:den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𝑇𝑜𝑡𝑎𝑙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𝐸𝑞𝑢𝑖𝑡𝑦</m:t>
                        </m:r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351C26D3-6D12-4534-AB08-81F866A49146}"/>
                </a:ext>
              </a:extLst>
            </xdr:cNvPr>
            <xdr:cNvSpPr txBox="1"/>
          </xdr:nvSpPr>
          <xdr:spPr>
            <a:xfrm>
              <a:off x="554181" y="15540182"/>
              <a:ext cx="1406109" cy="45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𝑁𝑒𝑡 𝑃𝑟𝑜𝑓𝑖𝑡)/(𝑇𝑜𝑡𝑎𝑙 𝐸𝑞𝑢𝑖𝑡𝑦)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1</xdr:col>
      <xdr:colOff>161637</xdr:colOff>
      <xdr:row>32</xdr:row>
      <xdr:rowOff>92364</xdr:rowOff>
    </xdr:from>
    <xdr:ext cx="1406109" cy="4502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F1CEEA13-B9B0-45E6-8B51-F2499B0D7176}"/>
                </a:ext>
              </a:extLst>
            </xdr:cNvPr>
            <xdr:cNvSpPr txBox="1"/>
          </xdr:nvSpPr>
          <xdr:spPr>
            <a:xfrm>
              <a:off x="519546" y="16152091"/>
              <a:ext cx="1406109" cy="45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𝐸𝑞𝑢𝑖𝑡𝑦</m:t>
                        </m:r>
                      </m:num>
                      <m:den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𝐴𝑠𝑠𝑒𝑡</m:t>
                        </m:r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F1CEEA13-B9B0-45E6-8B51-F2499B0D7176}"/>
                </a:ext>
              </a:extLst>
            </xdr:cNvPr>
            <xdr:cNvSpPr txBox="1"/>
          </xdr:nvSpPr>
          <xdr:spPr>
            <a:xfrm>
              <a:off x="519546" y="16152091"/>
              <a:ext cx="1406109" cy="45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𝐸𝑞𝑢𝑖𝑡𝑦/𝐴𝑠𝑠𝑒𝑡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1</xdr:col>
      <xdr:colOff>198582</xdr:colOff>
      <xdr:row>37</xdr:row>
      <xdr:rowOff>152396</xdr:rowOff>
    </xdr:from>
    <xdr:ext cx="1406109" cy="450273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9AC304E2-D317-424C-A9CD-B3A5AD17C817}"/>
            </a:ext>
          </a:extLst>
        </xdr:cNvPr>
        <xdr:cNvSpPr txBox="1"/>
      </xdr:nvSpPr>
      <xdr:spPr>
        <a:xfrm>
          <a:off x="556491" y="19063851"/>
          <a:ext cx="1406109" cy="4502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pPr algn="ctr"/>
          <a:r>
            <a:rPr lang="en-US" sz="1400"/>
            <a:t>(from historical)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654325</xdr:colOff>
      <xdr:row>206</xdr:row>
      <xdr:rowOff>102705</xdr:rowOff>
    </xdr:from>
    <xdr:to>
      <xdr:col>14</xdr:col>
      <xdr:colOff>8282</xdr:colOff>
      <xdr:row>223</xdr:row>
      <xdr:rowOff>29818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680DA0-5438-4118-B414-18AC1B1B1D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yn20\Downloads\ASW%20model_02.xlsx" TargetMode="External"/><Relationship Id="rId1" Type="http://schemas.openxmlformats.org/officeDocument/2006/relationships/externalLinkPath" Target="file:///C:\Users\pyn20\Downloads\ASW%20model_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recast2.0"/>
      <sheetName val="PE val"/>
      <sheetName val="WACCa"/>
      <sheetName val="BL"/>
      <sheetName val="CF"/>
      <sheetName val="PL"/>
      <sheetName val="Valuation"/>
      <sheetName val="WACC"/>
    </sheetNames>
    <sheetDataSet>
      <sheetData sheetId="0" refreshError="1"/>
      <sheetData sheetId="1" refreshError="1"/>
      <sheetData sheetId="2" refreshError="1"/>
      <sheetData sheetId="3">
        <row r="8">
          <cell r="F8">
            <v>316910302</v>
          </cell>
          <cell r="G8">
            <v>785487818</v>
          </cell>
          <cell r="H8">
            <v>750888363</v>
          </cell>
          <cell r="I8">
            <v>1295370039</v>
          </cell>
        </row>
        <row r="9">
          <cell r="F9">
            <v>289394148</v>
          </cell>
          <cell r="G9">
            <v>365895032</v>
          </cell>
          <cell r="H9">
            <v>356185816</v>
          </cell>
          <cell r="I9">
            <v>755012088</v>
          </cell>
        </row>
        <row r="14">
          <cell r="F14">
            <v>6751374678</v>
          </cell>
          <cell r="G14">
            <v>8288588315</v>
          </cell>
          <cell r="H14">
            <v>11767903784</v>
          </cell>
          <cell r="I14">
            <v>16806881228</v>
          </cell>
        </row>
        <row r="17">
          <cell r="F17">
            <v>7434240982</v>
          </cell>
          <cell r="G17">
            <v>10438048798</v>
          </cell>
          <cell r="H17">
            <v>13429384364</v>
          </cell>
          <cell r="I17">
            <v>19688111142</v>
          </cell>
        </row>
        <row r="26">
          <cell r="F26">
            <v>333827884</v>
          </cell>
        </row>
        <row r="27">
          <cell r="F27">
            <v>227486556</v>
          </cell>
        </row>
        <row r="28">
          <cell r="F28">
            <v>33133677</v>
          </cell>
        </row>
        <row r="30">
          <cell r="F30">
            <v>12630129</v>
          </cell>
        </row>
        <row r="46">
          <cell r="F46">
            <v>66000000</v>
          </cell>
          <cell r="G46">
            <v>716000000</v>
          </cell>
          <cell r="H46">
            <v>1078000000</v>
          </cell>
          <cell r="I46">
            <v>917112539</v>
          </cell>
        </row>
        <row r="47">
          <cell r="F47">
            <v>1079746782</v>
          </cell>
          <cell r="G47">
            <v>1215049474</v>
          </cell>
          <cell r="H47">
            <v>1235442682</v>
          </cell>
          <cell r="I47">
            <v>1260169880</v>
          </cell>
        </row>
        <row r="48">
          <cell r="F48">
            <v>562367681</v>
          </cell>
          <cell r="G48">
            <v>318356369</v>
          </cell>
          <cell r="H48">
            <v>356610493</v>
          </cell>
          <cell r="I48">
            <v>2355416668</v>
          </cell>
        </row>
        <row r="50">
          <cell r="F50">
            <v>171850000</v>
          </cell>
          <cell r="G50">
            <v>171850000</v>
          </cell>
          <cell r="H50">
            <v>109931800</v>
          </cell>
          <cell r="I50">
            <v>0</v>
          </cell>
        </row>
        <row r="52">
          <cell r="H52">
            <v>15344931</v>
          </cell>
          <cell r="I52">
            <v>21118033</v>
          </cell>
        </row>
        <row r="53">
          <cell r="I53">
            <v>766212073</v>
          </cell>
        </row>
        <row r="54">
          <cell r="I54">
            <v>999845912</v>
          </cell>
        </row>
        <row r="55">
          <cell r="I55">
            <v>320158540</v>
          </cell>
        </row>
        <row r="56">
          <cell r="F56">
            <v>178201185</v>
          </cell>
          <cell r="G56">
            <v>131788068</v>
          </cell>
          <cell r="H56">
            <v>164050342</v>
          </cell>
          <cell r="I56">
            <v>152100719</v>
          </cell>
        </row>
        <row r="68">
          <cell r="I68">
            <v>10087757716</v>
          </cell>
        </row>
      </sheetData>
      <sheetData sheetId="4">
        <row r="15">
          <cell r="F15">
            <v>45041818</v>
          </cell>
          <cell r="G15">
            <v>65210734</v>
          </cell>
          <cell r="H15">
            <v>105336997</v>
          </cell>
          <cell r="I15">
            <v>144603902</v>
          </cell>
        </row>
        <row r="16">
          <cell r="F16">
            <v>950629</v>
          </cell>
          <cell r="G16">
            <v>1526014</v>
          </cell>
          <cell r="H16">
            <v>1731331</v>
          </cell>
          <cell r="I16">
            <v>3377848</v>
          </cell>
        </row>
        <row r="73">
          <cell r="F73">
            <v>-89759908</v>
          </cell>
          <cell r="G73">
            <v>-38837664</v>
          </cell>
          <cell r="H73">
            <v>-264451701</v>
          </cell>
          <cell r="I73">
            <v>-184988619</v>
          </cell>
        </row>
        <row r="74">
          <cell r="F74">
            <v>1161850</v>
          </cell>
          <cell r="G74">
            <v>1244562</v>
          </cell>
          <cell r="H74">
            <v>1345000</v>
          </cell>
          <cell r="I74">
            <v>1142387</v>
          </cell>
        </row>
        <row r="75">
          <cell r="F75">
            <v>-70919807</v>
          </cell>
          <cell r="G75">
            <v>-97291417</v>
          </cell>
          <cell r="H75">
            <v>-161976583</v>
          </cell>
          <cell r="I75">
            <v>-422589425</v>
          </cell>
        </row>
        <row r="76">
          <cell r="F76">
            <v>-3815500</v>
          </cell>
          <cell r="G76">
            <v>-1139576</v>
          </cell>
          <cell r="H76">
            <v>-18833062</v>
          </cell>
          <cell r="I76">
            <v>-16002046</v>
          </cell>
        </row>
        <row r="77">
          <cell r="F77">
            <v>0</v>
          </cell>
          <cell r="G77">
            <v>0</v>
          </cell>
          <cell r="H77">
            <v>0</v>
          </cell>
          <cell r="I77">
            <v>-375474199</v>
          </cell>
        </row>
        <row r="78">
          <cell r="F78">
            <v>0</v>
          </cell>
          <cell r="G78">
            <v>0</v>
          </cell>
          <cell r="H78">
            <v>0</v>
          </cell>
          <cell r="I78">
            <v>0</v>
          </cell>
        </row>
      </sheetData>
      <sheetData sheetId="5">
        <row r="9">
          <cell r="G9">
            <v>4198988327</v>
          </cell>
          <cell r="H9">
            <v>4850685822</v>
          </cell>
          <cell r="I9">
            <v>5221438702</v>
          </cell>
          <cell r="J9">
            <v>6315916159</v>
          </cell>
        </row>
        <row r="10">
          <cell r="G10">
            <v>6034171</v>
          </cell>
          <cell r="H10">
            <v>77739881</v>
          </cell>
          <cell r="I10">
            <v>261912564</v>
          </cell>
          <cell r="J10">
            <v>454210563</v>
          </cell>
        </row>
        <row r="14">
          <cell r="G14">
            <v>-2341908872</v>
          </cell>
          <cell r="H14">
            <v>-2681329149</v>
          </cell>
          <cell r="I14">
            <v>-2989828997</v>
          </cell>
          <cell r="J14">
            <v>-3774887506</v>
          </cell>
        </row>
        <row r="15">
          <cell r="G15">
            <v>-6570996</v>
          </cell>
          <cell r="H15">
            <v>-45570291</v>
          </cell>
          <cell r="I15">
            <v>-89539176</v>
          </cell>
          <cell r="J15">
            <v>-231607266</v>
          </cell>
        </row>
        <row r="18">
          <cell r="G18">
            <v>23063801</v>
          </cell>
          <cell r="H18">
            <v>103809372</v>
          </cell>
          <cell r="I18">
            <v>485113274</v>
          </cell>
          <cell r="J18">
            <v>376747788</v>
          </cell>
        </row>
        <row r="19">
          <cell r="G19">
            <v>-451760860</v>
          </cell>
          <cell r="H19">
            <v>-452519322</v>
          </cell>
          <cell r="I19">
            <v>-666275371</v>
          </cell>
          <cell r="J19">
            <v>-843698228</v>
          </cell>
        </row>
        <row r="20">
          <cell r="G20">
            <v>-355786948</v>
          </cell>
          <cell r="H20">
            <v>-428981183</v>
          </cell>
          <cell r="I20">
            <v>-578578031</v>
          </cell>
          <cell r="J20">
            <v>-775490726</v>
          </cell>
        </row>
        <row r="22">
          <cell r="G22">
            <v>703392</v>
          </cell>
          <cell r="H22">
            <v>1465622</v>
          </cell>
          <cell r="I22">
            <v>11512591</v>
          </cell>
          <cell r="J22">
            <v>27641369</v>
          </cell>
        </row>
        <row r="23">
          <cell r="G23">
            <v>-8442143</v>
          </cell>
          <cell r="H23">
            <v>-4188034</v>
          </cell>
          <cell r="I23">
            <v>-3561810</v>
          </cell>
          <cell r="J23">
            <v>-11282560</v>
          </cell>
        </row>
        <row r="24">
          <cell r="G24">
            <v>0</v>
          </cell>
          <cell r="H24">
            <v>-32694866</v>
          </cell>
          <cell r="I24">
            <v>-10818566</v>
          </cell>
          <cell r="J24">
            <v>-16490561</v>
          </cell>
        </row>
        <row r="26">
          <cell r="G26">
            <v>-193570425</v>
          </cell>
          <cell r="H26">
            <v>-301793487</v>
          </cell>
          <cell r="I26">
            <v>-288355186</v>
          </cell>
          <cell r="J26">
            <v>-308224414</v>
          </cell>
        </row>
        <row r="45">
          <cell r="J45">
            <v>876384133</v>
          </cell>
        </row>
      </sheetData>
      <sheetData sheetId="6">
        <row r="114">
          <cell r="J114">
            <v>1.834532914101825</v>
          </cell>
          <cell r="K114">
            <v>2.00602397531694</v>
          </cell>
          <cell r="L114">
            <v>2.1573547872430674</v>
          </cell>
          <cell r="M114">
            <v>2.3206090420013021</v>
          </cell>
          <cell r="N114">
            <v>2.4967369545757703</v>
          </cell>
        </row>
        <row r="207">
          <cell r="R207" t="str">
            <v>52 wk</v>
          </cell>
          <cell r="S207">
            <v>7.65</v>
          </cell>
          <cell r="T207">
            <v>1.4499999999999993</v>
          </cell>
          <cell r="U207">
            <v>9.1</v>
          </cell>
        </row>
        <row r="208">
          <cell r="R208" t="str">
            <v>PE</v>
          </cell>
          <cell r="S208">
            <v>8.8057579876887591</v>
          </cell>
          <cell r="T208">
            <v>8.9892112790989405</v>
          </cell>
          <cell r="U208">
            <v>17.7949692667877</v>
          </cell>
        </row>
        <row r="209">
          <cell r="R209" t="str">
            <v>DCF</v>
          </cell>
          <cell r="S209">
            <v>5.7</v>
          </cell>
          <cell r="T209">
            <v>8.4199999999999982</v>
          </cell>
          <cell r="U209">
            <v>14.12</v>
          </cell>
        </row>
      </sheetData>
      <sheetData sheetId="7">
        <row r="18">
          <cell r="F18">
            <v>6.4635227008699239E-2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A64C91B-676E-E349-99A5-41C0D3684E2B}">
  <we:reference id="wa104379279" version="2.1.0.0" store="en-GB" storeType="OMEX"/>
  <we:alternateReferences>
    <we:reference id="WA104379279" version="2.1.0.0" store="WA104379279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B44F5-3C16-4EFF-8A60-1F1C61148D90}">
  <dimension ref="A1"/>
  <sheetViews>
    <sheetView workbookViewId="0">
      <selection activeCell="J15" sqref="J15"/>
    </sheetView>
  </sheetViews>
  <sheetFormatPr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7E3E2-6D6D-4311-8C8B-96DD4749727F}">
  <sheetPr codeName="Sheet1">
    <tabColor rgb="FFFFCCFF"/>
  </sheetPr>
  <dimension ref="A1:P108"/>
  <sheetViews>
    <sheetView showGridLines="0" zoomScale="70" zoomScaleNormal="70" zoomScaleSheetLayoutView="81" workbookViewId="0">
      <selection activeCell="M7" sqref="M7"/>
    </sheetView>
  </sheetViews>
  <sheetFormatPr defaultColWidth="10.453125" defaultRowHeight="20.25" customHeight="1"/>
  <cols>
    <col min="1" max="1" width="6.1796875" style="32" customWidth="1"/>
    <col min="2" max="4" width="8.26953125" style="32" customWidth="1"/>
    <col min="5" max="5" width="1.453125" style="32" customWidth="1"/>
    <col min="6" max="6" width="15.1796875" style="33" customWidth="1"/>
    <col min="7" max="7" width="17.81640625" style="33" customWidth="1"/>
    <col min="8" max="8" width="17.7265625" style="33" customWidth="1"/>
    <col min="9" max="9" width="15.1796875" style="33" customWidth="1"/>
    <col min="10" max="10" width="4.26953125" style="33" customWidth="1"/>
    <col min="11" max="14" width="15.1796875" style="33" customWidth="1"/>
    <col min="15" max="15" width="1.453125" style="32" customWidth="1"/>
    <col min="16" max="16" width="12.7265625" style="32" customWidth="1" collapsed="1"/>
    <col min="17" max="16384" width="10.453125" style="32"/>
  </cols>
  <sheetData>
    <row r="1" spans="1:15" ht="23.65" customHeight="1">
      <c r="A1" s="274" t="s">
        <v>0</v>
      </c>
      <c r="B1" s="274"/>
      <c r="C1" s="274"/>
      <c r="D1" s="274"/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"/>
    </row>
    <row r="2" spans="1:15" ht="23.65" customHeight="1">
      <c r="A2" s="274" t="s">
        <v>1</v>
      </c>
      <c r="B2" s="274"/>
      <c r="C2" s="274"/>
      <c r="D2" s="274"/>
      <c r="E2" s="274"/>
      <c r="F2" s="274"/>
      <c r="G2" s="274"/>
      <c r="H2" s="274"/>
      <c r="I2" s="274"/>
      <c r="J2" s="274"/>
      <c r="K2" s="274"/>
      <c r="L2" s="274"/>
      <c r="M2" s="274"/>
      <c r="N2" s="274"/>
      <c r="O2" s="2"/>
    </row>
    <row r="3" spans="1:15" ht="23.65" customHeight="1">
      <c r="A3" s="275" t="s">
        <v>2</v>
      </c>
      <c r="B3" s="275"/>
      <c r="C3" s="275"/>
      <c r="D3" s="275"/>
      <c r="E3" s="275"/>
      <c r="F3" s="275"/>
      <c r="G3" s="275"/>
      <c r="H3" s="275"/>
      <c r="I3" s="275"/>
      <c r="J3" s="275"/>
      <c r="K3" s="275"/>
      <c r="L3" s="275"/>
      <c r="M3" s="275"/>
      <c r="N3" s="275"/>
      <c r="O3" s="68"/>
    </row>
    <row r="4" spans="1:15" ht="23.65" customHeight="1">
      <c r="A4" s="68"/>
      <c r="B4" s="68"/>
      <c r="C4" s="68"/>
      <c r="D4" s="68"/>
      <c r="E4" s="68"/>
      <c r="F4" s="66"/>
      <c r="G4" s="66"/>
      <c r="H4" s="66"/>
      <c r="I4" s="66"/>
      <c r="J4" s="66"/>
      <c r="K4" s="66"/>
      <c r="L4" s="66"/>
      <c r="M4" s="66"/>
      <c r="N4" s="66"/>
      <c r="O4" s="68"/>
    </row>
    <row r="5" spans="1:15" ht="23.65" customHeight="1">
      <c r="A5" s="68"/>
      <c r="B5" s="68"/>
      <c r="C5" s="68"/>
      <c r="D5" s="68"/>
      <c r="E5" s="68"/>
      <c r="F5" s="276" t="s">
        <v>3</v>
      </c>
      <c r="G5" s="276"/>
      <c r="H5" s="276"/>
      <c r="I5" s="276"/>
      <c r="J5" s="66"/>
      <c r="K5" s="273" t="s">
        <v>4</v>
      </c>
      <c r="L5" s="273"/>
      <c r="M5" s="273"/>
      <c r="N5" s="273"/>
      <c r="O5" s="68"/>
    </row>
    <row r="6" spans="1:15" ht="23.65" customHeight="1">
      <c r="C6" s="2" t="s">
        <v>5</v>
      </c>
      <c r="D6" s="2"/>
      <c r="E6" s="2"/>
      <c r="F6" s="63" t="s">
        <v>6</v>
      </c>
      <c r="G6" s="63" t="s">
        <v>7</v>
      </c>
      <c r="H6" s="63" t="s">
        <v>8</v>
      </c>
      <c r="I6" s="63" t="s">
        <v>9</v>
      </c>
      <c r="J6" s="64"/>
      <c r="K6" s="63" t="s">
        <v>6</v>
      </c>
      <c r="L6" s="63" t="s">
        <v>7</v>
      </c>
      <c r="M6" s="63" t="s">
        <v>8</v>
      </c>
      <c r="N6" s="63" t="s">
        <v>9</v>
      </c>
      <c r="O6" s="64"/>
    </row>
    <row r="7" spans="1:15" ht="23.65" customHeight="1">
      <c r="A7" s="50" t="s">
        <v>10</v>
      </c>
      <c r="B7" s="40"/>
      <c r="C7" s="40"/>
      <c r="D7" s="40"/>
      <c r="E7" s="40"/>
      <c r="F7" s="61"/>
      <c r="G7" s="61"/>
      <c r="H7" s="61"/>
      <c r="I7" s="61"/>
      <c r="J7" s="61"/>
      <c r="K7" s="94"/>
      <c r="L7" s="94"/>
      <c r="M7" s="94"/>
      <c r="N7" s="94"/>
      <c r="O7" s="40"/>
    </row>
    <row r="8" spans="1:15" ht="23.65" customHeight="1">
      <c r="A8" s="233" t="s">
        <v>11</v>
      </c>
      <c r="B8" s="234"/>
      <c r="C8" s="234"/>
      <c r="D8" s="235"/>
      <c r="E8" s="235"/>
      <c r="F8" s="236">
        <v>316910302</v>
      </c>
      <c r="G8" s="237">
        <v>785487818</v>
      </c>
      <c r="H8" s="238">
        <v>750888363</v>
      </c>
      <c r="I8" s="239">
        <v>1295370039</v>
      </c>
      <c r="J8" s="56"/>
      <c r="K8" s="84">
        <v>17806706</v>
      </c>
      <c r="L8" s="84">
        <v>339447526</v>
      </c>
      <c r="M8" s="56">
        <v>66028095</v>
      </c>
      <c r="N8" s="56">
        <v>42002548</v>
      </c>
      <c r="O8" s="80"/>
    </row>
    <row r="9" spans="1:15" ht="23.65" customHeight="1">
      <c r="A9" s="240" t="s">
        <v>12</v>
      </c>
      <c r="B9" s="234"/>
      <c r="C9" s="234"/>
      <c r="D9" s="235"/>
      <c r="E9" s="235"/>
      <c r="F9" s="236">
        <v>289394148</v>
      </c>
      <c r="G9" s="237">
        <v>365895032</v>
      </c>
      <c r="H9" s="238">
        <v>356185816</v>
      </c>
      <c r="I9" s="239">
        <v>755012088</v>
      </c>
      <c r="J9" s="56"/>
      <c r="K9" s="84">
        <v>87164691</v>
      </c>
      <c r="L9" s="84">
        <v>212469434</v>
      </c>
      <c r="M9" s="56">
        <v>393955135</v>
      </c>
      <c r="N9" s="56">
        <v>834745126</v>
      </c>
      <c r="O9" s="80"/>
    </row>
    <row r="10" spans="1:15" ht="23.65" customHeight="1">
      <c r="A10" s="74" t="s">
        <v>13</v>
      </c>
      <c r="B10" s="40"/>
      <c r="C10" s="40"/>
      <c r="D10" s="69"/>
      <c r="E10" s="69"/>
      <c r="F10" s="89">
        <v>0</v>
      </c>
      <c r="G10" s="93">
        <v>0</v>
      </c>
      <c r="H10" s="31">
        <v>0</v>
      </c>
      <c r="I10" s="21">
        <v>0</v>
      </c>
      <c r="J10" s="56"/>
      <c r="K10" s="89">
        <v>0</v>
      </c>
      <c r="L10" s="84">
        <v>199200000</v>
      </c>
      <c r="M10" s="31">
        <v>398400000</v>
      </c>
      <c r="N10" s="56">
        <v>0</v>
      </c>
      <c r="O10" s="80"/>
    </row>
    <row r="11" spans="1:15" ht="23.65" customHeight="1">
      <c r="A11" s="227" t="s">
        <v>14</v>
      </c>
      <c r="B11" s="228"/>
      <c r="C11" s="228"/>
      <c r="D11" s="229"/>
      <c r="E11" s="229"/>
      <c r="F11" s="230">
        <v>0</v>
      </c>
      <c r="G11" s="231">
        <v>50000000</v>
      </c>
      <c r="H11" s="215">
        <v>138229590</v>
      </c>
      <c r="I11" s="232">
        <v>220655000</v>
      </c>
      <c r="J11" s="56"/>
      <c r="K11" s="84">
        <v>1666910598</v>
      </c>
      <c r="L11" s="84">
        <v>3815016156</v>
      </c>
      <c r="M11" s="56">
        <v>5489018973</v>
      </c>
      <c r="N11" s="56">
        <v>6908033337</v>
      </c>
      <c r="O11" s="80"/>
    </row>
    <row r="12" spans="1:15" ht="23.65" customHeight="1">
      <c r="A12" s="52" t="s">
        <v>15</v>
      </c>
      <c r="B12" s="40"/>
      <c r="C12" s="40"/>
      <c r="D12" s="69"/>
      <c r="E12" s="69"/>
      <c r="F12" s="84"/>
      <c r="G12" s="88"/>
      <c r="H12" s="31"/>
      <c r="I12" s="55"/>
      <c r="J12" s="56"/>
      <c r="L12" s="56"/>
      <c r="M12" s="56"/>
      <c r="N12" s="56"/>
      <c r="O12" s="80"/>
    </row>
    <row r="13" spans="1:15" ht="23.65" customHeight="1">
      <c r="A13" s="92" t="s">
        <v>16</v>
      </c>
      <c r="B13" s="40"/>
      <c r="C13" s="40"/>
      <c r="D13" s="69"/>
      <c r="E13" s="69"/>
      <c r="G13" s="54"/>
      <c r="H13" s="31">
        <v>9000000</v>
      </c>
      <c r="I13" s="55">
        <v>135610000</v>
      </c>
      <c r="J13" s="56"/>
      <c r="K13" s="33">
        <v>0</v>
      </c>
      <c r="L13" s="56">
        <v>0</v>
      </c>
      <c r="M13" s="31">
        <v>9000000</v>
      </c>
      <c r="N13" s="56">
        <v>135610000</v>
      </c>
      <c r="O13" s="80"/>
    </row>
    <row r="14" spans="1:15" ht="23.65" customHeight="1">
      <c r="A14" s="233" t="s">
        <v>17</v>
      </c>
      <c r="B14" s="234"/>
      <c r="C14" s="234"/>
      <c r="D14" s="235"/>
      <c r="E14" s="235"/>
      <c r="F14" s="236">
        <v>6751374678</v>
      </c>
      <c r="G14" s="237">
        <v>8288588315</v>
      </c>
      <c r="H14" s="238">
        <v>11767903784</v>
      </c>
      <c r="I14" s="239">
        <v>16806881228</v>
      </c>
      <c r="J14" s="56"/>
      <c r="K14" s="33">
        <v>0</v>
      </c>
      <c r="L14" s="31">
        <v>0</v>
      </c>
      <c r="M14" s="31">
        <v>0</v>
      </c>
      <c r="N14" s="31">
        <v>0</v>
      </c>
      <c r="O14" s="80"/>
    </row>
    <row r="15" spans="1:15" ht="23.65" customHeight="1">
      <c r="A15" s="74" t="s">
        <v>18</v>
      </c>
      <c r="B15" s="40"/>
      <c r="C15" s="40"/>
      <c r="D15" s="69"/>
      <c r="E15" s="69"/>
      <c r="F15" s="84">
        <v>76561854</v>
      </c>
      <c r="G15" s="88">
        <v>444900500</v>
      </c>
      <c r="H15" s="56">
        <v>407176811</v>
      </c>
      <c r="I15" s="55">
        <v>474582787</v>
      </c>
      <c r="J15" s="56"/>
      <c r="K15" s="32">
        <v>0</v>
      </c>
      <c r="L15" s="31">
        <v>0</v>
      </c>
      <c r="M15" s="31">
        <v>0</v>
      </c>
      <c r="N15" s="31">
        <v>0</v>
      </c>
      <c r="O15" s="80"/>
    </row>
    <row r="16" spans="1:15" ht="23.65" customHeight="1">
      <c r="A16" s="87" t="s">
        <v>19</v>
      </c>
      <c r="B16" s="91"/>
      <c r="C16" s="91"/>
      <c r="D16" s="90"/>
      <c r="E16" s="69"/>
      <c r="F16" s="89">
        <v>0</v>
      </c>
      <c r="G16" s="88">
        <v>503177133</v>
      </c>
      <c r="H16" s="56">
        <v>0</v>
      </c>
      <c r="I16" s="55">
        <v>0</v>
      </c>
      <c r="J16" s="56"/>
      <c r="K16" s="32">
        <v>0</v>
      </c>
      <c r="L16" s="84">
        <v>503177133</v>
      </c>
      <c r="M16" s="31">
        <v>0</v>
      </c>
      <c r="N16" s="31">
        <v>0</v>
      </c>
      <c r="O16" s="80"/>
    </row>
    <row r="17" spans="1:15" ht="23.65" customHeight="1">
      <c r="A17" s="40"/>
      <c r="B17" s="50" t="s">
        <v>20</v>
      </c>
      <c r="C17" s="40"/>
      <c r="D17" s="40"/>
      <c r="E17" s="40"/>
      <c r="F17" s="82">
        <v>7434240982</v>
      </c>
      <c r="G17" s="82">
        <v>10438048798</v>
      </c>
      <c r="H17" s="49">
        <f>SUM(H7:H16)</f>
        <v>13429384364</v>
      </c>
      <c r="I17" s="49">
        <f>SUM(I7:I16)</f>
        <v>19688111142</v>
      </c>
      <c r="J17" s="21"/>
      <c r="K17" s="82">
        <v>1771881995</v>
      </c>
      <c r="L17" s="82">
        <v>5069310249</v>
      </c>
      <c r="M17" s="49">
        <f>SUM(M7:M16)</f>
        <v>6356402203</v>
      </c>
      <c r="N17" s="49">
        <f>SUM(N7:N16)</f>
        <v>7920391011</v>
      </c>
      <c r="O17" s="70"/>
    </row>
    <row r="18" spans="1:15" ht="23.65" customHeight="1">
      <c r="A18" s="50" t="s">
        <v>21</v>
      </c>
      <c r="B18" s="40"/>
      <c r="C18" s="40"/>
      <c r="D18" s="40"/>
      <c r="E18" s="40"/>
      <c r="G18" s="71"/>
      <c r="K18" s="32"/>
      <c r="O18" s="80"/>
    </row>
    <row r="19" spans="1:15" ht="23.65" customHeight="1">
      <c r="A19" s="50" t="s">
        <v>22</v>
      </c>
      <c r="B19" s="40"/>
      <c r="C19" s="40"/>
      <c r="D19" s="40"/>
      <c r="E19" s="40"/>
      <c r="G19" s="71"/>
      <c r="K19" s="32"/>
      <c r="L19" s="89"/>
      <c r="O19" s="80"/>
    </row>
    <row r="20" spans="1:15" ht="23.65" customHeight="1">
      <c r="A20" s="87" t="s">
        <v>23</v>
      </c>
      <c r="B20" s="40"/>
      <c r="C20" s="40"/>
      <c r="D20" s="40"/>
      <c r="E20" s="40"/>
      <c r="F20" s="84">
        <v>332082</v>
      </c>
      <c r="G20" s="84">
        <v>3094508</v>
      </c>
      <c r="H20" s="56">
        <v>11228555</v>
      </c>
      <c r="I20" s="56">
        <v>12397206</v>
      </c>
      <c r="J20" s="56"/>
      <c r="K20" s="32">
        <v>0</v>
      </c>
      <c r="L20" s="89">
        <v>0</v>
      </c>
      <c r="M20" s="31">
        <v>0</v>
      </c>
      <c r="N20" s="31">
        <v>0</v>
      </c>
      <c r="O20" s="80"/>
    </row>
    <row r="21" spans="1:15" ht="23.65" customHeight="1">
      <c r="A21" s="52" t="s">
        <v>24</v>
      </c>
      <c r="B21" s="40"/>
      <c r="C21" s="40"/>
      <c r="D21" s="40"/>
      <c r="E21" s="40"/>
      <c r="F21" s="33">
        <v>0</v>
      </c>
      <c r="G21" s="31">
        <v>0</v>
      </c>
      <c r="H21" s="31">
        <v>125200000</v>
      </c>
      <c r="I21" s="56">
        <v>112200000</v>
      </c>
      <c r="J21" s="56"/>
      <c r="K21" s="32">
        <v>0</v>
      </c>
      <c r="L21" s="31">
        <v>0</v>
      </c>
      <c r="M21" s="31">
        <v>125200000</v>
      </c>
      <c r="N21" s="31">
        <v>112200000</v>
      </c>
      <c r="O21" s="80"/>
    </row>
    <row r="22" spans="1:15" ht="23.65" customHeight="1">
      <c r="A22" s="87" t="s">
        <v>25</v>
      </c>
      <c r="B22" s="40"/>
      <c r="C22" s="40"/>
      <c r="D22" s="40"/>
      <c r="E22" s="40"/>
      <c r="F22" s="33">
        <v>0</v>
      </c>
      <c r="G22" s="31">
        <v>0</v>
      </c>
      <c r="H22" s="31">
        <v>0</v>
      </c>
      <c r="I22" s="31">
        <v>0</v>
      </c>
      <c r="J22" s="56"/>
      <c r="K22" s="84">
        <v>471632550</v>
      </c>
      <c r="L22" s="84">
        <v>476088250</v>
      </c>
      <c r="M22" s="56">
        <v>492424250</v>
      </c>
      <c r="N22" s="56">
        <v>1779886775</v>
      </c>
      <c r="O22" s="80"/>
    </row>
    <row r="23" spans="1:15" ht="23.65" customHeight="1">
      <c r="A23" s="87" t="s">
        <v>26</v>
      </c>
      <c r="B23" s="40"/>
      <c r="C23" s="40"/>
      <c r="D23" s="40"/>
      <c r="E23" s="40"/>
      <c r="F23" s="33">
        <v>0</v>
      </c>
      <c r="G23" s="31">
        <v>0</v>
      </c>
      <c r="H23" s="31">
        <v>40594483</v>
      </c>
      <c r="I23" s="31">
        <v>102697956</v>
      </c>
      <c r="J23" s="56"/>
      <c r="K23" s="32">
        <v>0</v>
      </c>
      <c r="L23" s="56">
        <v>0</v>
      </c>
      <c r="M23" s="31">
        <v>20004143</v>
      </c>
      <c r="N23" s="56">
        <v>20004143</v>
      </c>
      <c r="O23" s="80"/>
    </row>
    <row r="24" spans="1:15" ht="23.65" customHeight="1">
      <c r="A24" s="87" t="s">
        <v>27</v>
      </c>
      <c r="B24" s="40"/>
      <c r="C24" s="40"/>
      <c r="D24" s="40"/>
      <c r="E24" s="40"/>
      <c r="F24" s="33">
        <v>0</v>
      </c>
      <c r="G24" s="84">
        <v>20366044</v>
      </c>
      <c r="H24" s="31">
        <v>664406119</v>
      </c>
      <c r="I24" s="56">
        <v>1128289806</v>
      </c>
      <c r="J24" s="56"/>
      <c r="K24" s="32" t="s">
        <v>28</v>
      </c>
      <c r="L24" s="84">
        <v>22715683</v>
      </c>
      <c r="M24" s="31">
        <v>514299283</v>
      </c>
      <c r="N24" s="56">
        <v>999915283</v>
      </c>
      <c r="O24" s="80"/>
    </row>
    <row r="25" spans="1:15" ht="23.65" customHeight="1">
      <c r="A25" s="87" t="s">
        <v>29</v>
      </c>
      <c r="B25" s="40"/>
      <c r="C25" s="40"/>
      <c r="D25" s="40"/>
      <c r="E25" s="40"/>
      <c r="F25" s="33">
        <v>0</v>
      </c>
      <c r="G25" s="31">
        <v>0</v>
      </c>
      <c r="H25" s="31">
        <v>11736707</v>
      </c>
      <c r="I25" s="56">
        <v>11736707</v>
      </c>
      <c r="J25" s="56"/>
      <c r="K25" s="32">
        <v>0</v>
      </c>
      <c r="L25" s="31">
        <v>0</v>
      </c>
      <c r="M25" s="31">
        <v>0</v>
      </c>
      <c r="N25" s="31">
        <v>0</v>
      </c>
      <c r="O25" s="80"/>
    </row>
    <row r="26" spans="1:15" ht="23.65" customHeight="1">
      <c r="A26" s="240" t="s">
        <v>30</v>
      </c>
      <c r="B26" s="234"/>
      <c r="C26" s="234"/>
      <c r="D26" s="234"/>
      <c r="E26" s="234"/>
      <c r="F26" s="236">
        <v>333827884</v>
      </c>
      <c r="G26" s="236">
        <v>365302430</v>
      </c>
      <c r="H26" s="238">
        <v>627854846</v>
      </c>
      <c r="I26" s="238">
        <v>937333592</v>
      </c>
      <c r="J26" s="56"/>
      <c r="K26" s="32">
        <v>0</v>
      </c>
      <c r="L26" s="31">
        <v>0</v>
      </c>
      <c r="M26" s="31">
        <v>0</v>
      </c>
      <c r="N26" s="31">
        <v>0</v>
      </c>
      <c r="O26" s="80"/>
    </row>
    <row r="27" spans="1:15" ht="23.65" customHeight="1">
      <c r="A27" s="240" t="s">
        <v>31</v>
      </c>
      <c r="B27" s="241"/>
      <c r="C27" s="234"/>
      <c r="D27" s="235"/>
      <c r="E27" s="235"/>
      <c r="F27" s="236">
        <v>227486556</v>
      </c>
      <c r="G27" s="236">
        <v>291914119</v>
      </c>
      <c r="H27" s="238">
        <v>340881169</v>
      </c>
      <c r="I27" s="238">
        <v>947552945</v>
      </c>
      <c r="J27" s="56"/>
      <c r="K27" s="84">
        <v>145778069</v>
      </c>
      <c r="L27" s="84">
        <v>170598783</v>
      </c>
      <c r="M27" s="56">
        <v>164007076</v>
      </c>
      <c r="N27" s="56">
        <v>160391109</v>
      </c>
      <c r="O27" s="80"/>
    </row>
    <row r="28" spans="1:15" ht="23.65" customHeight="1">
      <c r="A28" s="240" t="s">
        <v>32</v>
      </c>
      <c r="B28" s="241"/>
      <c r="C28" s="234"/>
      <c r="D28" s="235"/>
      <c r="E28" s="235"/>
      <c r="F28" s="236">
        <v>33133677</v>
      </c>
      <c r="G28" s="236">
        <v>81929854</v>
      </c>
      <c r="H28" s="238">
        <v>86012448</v>
      </c>
      <c r="I28" s="238">
        <v>100090254</v>
      </c>
      <c r="J28" s="56"/>
      <c r="K28" s="84">
        <v>7502188</v>
      </c>
      <c r="L28" s="84">
        <v>9388245</v>
      </c>
      <c r="M28" s="56">
        <v>18278386</v>
      </c>
      <c r="N28" s="56">
        <v>24257802</v>
      </c>
      <c r="O28" s="80"/>
    </row>
    <row r="29" spans="1:15" ht="23.65" customHeight="1">
      <c r="A29" s="74" t="s">
        <v>33</v>
      </c>
      <c r="B29" s="85"/>
      <c r="C29" s="40"/>
      <c r="D29" s="69"/>
      <c r="E29" s="69"/>
      <c r="F29" s="33">
        <v>0</v>
      </c>
      <c r="G29" s="31">
        <v>0</v>
      </c>
      <c r="H29" s="56">
        <v>0</v>
      </c>
      <c r="I29" s="56">
        <v>139312951</v>
      </c>
      <c r="J29" s="56"/>
      <c r="K29" s="33">
        <v>0</v>
      </c>
      <c r="L29" s="56">
        <v>0</v>
      </c>
      <c r="M29" s="56">
        <v>0</v>
      </c>
      <c r="N29" s="56">
        <v>0</v>
      </c>
      <c r="O29" s="80"/>
    </row>
    <row r="30" spans="1:15" ht="23.65" customHeight="1">
      <c r="A30" s="233" t="s">
        <v>34</v>
      </c>
      <c r="B30" s="241"/>
      <c r="C30" s="234"/>
      <c r="D30" s="235"/>
      <c r="E30" s="235"/>
      <c r="F30" s="236">
        <v>12630129</v>
      </c>
      <c r="G30" s="236">
        <v>12243691</v>
      </c>
      <c r="H30" s="238">
        <v>26499724</v>
      </c>
      <c r="I30" s="238">
        <v>39505059</v>
      </c>
      <c r="J30" s="56"/>
      <c r="K30" s="84">
        <v>11955666</v>
      </c>
      <c r="L30" s="84">
        <v>11177528</v>
      </c>
      <c r="M30" s="56">
        <v>22523233</v>
      </c>
      <c r="N30" s="56">
        <v>35211099</v>
      </c>
      <c r="O30" s="80"/>
    </row>
    <row r="31" spans="1:15" ht="23.65" customHeight="1">
      <c r="A31" s="242" t="s">
        <v>35</v>
      </c>
      <c r="B31" s="241"/>
      <c r="C31" s="234"/>
      <c r="D31" s="235"/>
      <c r="E31" s="235"/>
      <c r="F31" s="236"/>
      <c r="G31" s="243">
        <v>0</v>
      </c>
      <c r="H31" s="238">
        <v>0</v>
      </c>
      <c r="I31" s="238">
        <v>935374458</v>
      </c>
      <c r="J31" s="56"/>
      <c r="K31" s="32">
        <v>0</v>
      </c>
      <c r="L31" s="56">
        <v>0</v>
      </c>
      <c r="M31" s="56">
        <v>0</v>
      </c>
      <c r="N31" s="56">
        <v>0</v>
      </c>
      <c r="O31" s="80"/>
    </row>
    <row r="32" spans="1:15" ht="23.65" customHeight="1">
      <c r="A32" s="86" t="s">
        <v>36</v>
      </c>
      <c r="B32" s="85"/>
      <c r="C32" s="40"/>
      <c r="D32" s="69"/>
      <c r="E32" s="69"/>
      <c r="F32" s="84">
        <v>100141888</v>
      </c>
      <c r="G32" s="71">
        <v>96771030</v>
      </c>
      <c r="H32" s="56">
        <v>140478411</v>
      </c>
      <c r="I32" s="73">
        <v>161472024</v>
      </c>
      <c r="J32" s="56"/>
      <c r="K32" s="84">
        <v>4329831</v>
      </c>
      <c r="L32" s="84">
        <v>5891607</v>
      </c>
      <c r="M32" s="56">
        <v>6976319</v>
      </c>
      <c r="N32" s="56">
        <v>9083679</v>
      </c>
      <c r="O32" s="80"/>
    </row>
    <row r="33" spans="1:15" ht="23.65" customHeight="1">
      <c r="A33" s="52" t="s">
        <v>37</v>
      </c>
      <c r="B33" s="52"/>
      <c r="C33" s="52"/>
      <c r="D33" s="52"/>
      <c r="E33" s="52"/>
      <c r="F33" s="84">
        <v>18203226</v>
      </c>
      <c r="G33" s="84">
        <v>25570082</v>
      </c>
      <c r="H33" s="56">
        <v>32333696</v>
      </c>
      <c r="I33" s="56">
        <v>47654353</v>
      </c>
      <c r="J33" s="56"/>
      <c r="K33" s="84">
        <v>10044997</v>
      </c>
      <c r="L33" s="84">
        <v>14147008</v>
      </c>
      <c r="M33" s="56">
        <v>16659992</v>
      </c>
      <c r="N33" s="56">
        <v>3216315</v>
      </c>
      <c r="O33" s="83"/>
    </row>
    <row r="34" spans="1:15" ht="23.65" customHeight="1">
      <c r="A34" s="40"/>
      <c r="B34" s="50" t="s">
        <v>38</v>
      </c>
      <c r="C34" s="40"/>
      <c r="D34" s="40"/>
      <c r="E34" s="40"/>
      <c r="F34" s="82">
        <v>725755442</v>
      </c>
      <c r="G34" s="82">
        <v>897191758</v>
      </c>
      <c r="H34" s="49">
        <f>SUM(H20:H33)</f>
        <v>2107226158</v>
      </c>
      <c r="I34" s="49">
        <f>SUM(I20:I33)</f>
        <v>4675617311</v>
      </c>
      <c r="J34" s="21"/>
      <c r="K34" s="82">
        <v>651243301</v>
      </c>
      <c r="L34" s="82">
        <v>710007104</v>
      </c>
      <c r="M34" s="49">
        <f>SUM(M20:M33)</f>
        <v>1380372682</v>
      </c>
      <c r="N34" s="49">
        <f>SUM(N20:N33)</f>
        <v>3144166205</v>
      </c>
      <c r="O34" s="70"/>
    </row>
    <row r="35" spans="1:15" ht="23.65" customHeight="1" thickBot="1">
      <c r="A35" s="50" t="s">
        <v>39</v>
      </c>
      <c r="B35" s="40"/>
      <c r="C35" s="40"/>
      <c r="D35" s="40"/>
      <c r="E35" s="40"/>
      <c r="F35" s="81">
        <v>8159996424</v>
      </c>
      <c r="G35" s="81">
        <v>11335240556</v>
      </c>
      <c r="H35" s="26">
        <f>+H34+H17</f>
        <v>15536610522</v>
      </c>
      <c r="I35" s="26">
        <f>+I34+I17</f>
        <v>24363728453</v>
      </c>
      <c r="J35" s="21"/>
      <c r="K35" s="81">
        <v>2423125296</v>
      </c>
      <c r="L35" s="81">
        <v>5779317353</v>
      </c>
      <c r="M35" s="26">
        <f>+M34+M17</f>
        <v>7736774885</v>
      </c>
      <c r="N35" s="26">
        <f>+N34+N17</f>
        <v>11064557216</v>
      </c>
      <c r="O35" s="70"/>
    </row>
    <row r="36" spans="1:15" ht="23.65" customHeight="1" thickTop="1">
      <c r="A36" s="50"/>
      <c r="B36" s="40"/>
      <c r="C36" s="40"/>
      <c r="D36" s="40"/>
      <c r="E36" s="40"/>
      <c r="G36" s="71"/>
      <c r="H36" s="71"/>
      <c r="I36" s="60"/>
      <c r="J36" s="60"/>
      <c r="K36" s="60"/>
      <c r="L36" s="60"/>
      <c r="M36" s="71"/>
      <c r="N36" s="60"/>
      <c r="O36" s="70"/>
    </row>
    <row r="37" spans="1:15" ht="24" customHeight="1">
      <c r="A37" s="69"/>
      <c r="B37" s="69"/>
      <c r="C37" s="69"/>
      <c r="D37" s="69"/>
      <c r="E37" s="69"/>
      <c r="F37" s="34"/>
      <c r="G37" s="69"/>
      <c r="H37" s="69"/>
      <c r="I37" s="69"/>
      <c r="J37" s="69"/>
      <c r="K37" s="69"/>
      <c r="L37" s="69"/>
      <c r="M37" s="69"/>
      <c r="N37" s="69"/>
      <c r="O37" s="69"/>
    </row>
    <row r="38" spans="1:15" ht="24" customHeight="1">
      <c r="A38" s="274" t="s">
        <v>0</v>
      </c>
      <c r="B38" s="274"/>
      <c r="C38" s="274"/>
      <c r="D38" s="274"/>
      <c r="E38" s="274"/>
      <c r="F38" s="274"/>
      <c r="G38" s="274"/>
      <c r="H38" s="274"/>
      <c r="I38" s="274"/>
      <c r="J38" s="274"/>
      <c r="K38" s="274"/>
      <c r="L38" s="274"/>
      <c r="M38" s="274"/>
      <c r="N38" s="274"/>
      <c r="O38" s="2"/>
    </row>
    <row r="39" spans="1:15" ht="24" customHeight="1">
      <c r="A39" s="274" t="s">
        <v>40</v>
      </c>
      <c r="B39" s="274"/>
      <c r="C39" s="274"/>
      <c r="D39" s="274"/>
      <c r="E39" s="274"/>
      <c r="F39" s="274"/>
      <c r="G39" s="274"/>
      <c r="H39" s="274"/>
      <c r="I39" s="274"/>
      <c r="J39" s="274"/>
      <c r="K39" s="274"/>
      <c r="L39" s="274"/>
      <c r="M39" s="274"/>
      <c r="N39" s="274"/>
      <c r="O39" s="2"/>
    </row>
    <row r="40" spans="1:15" ht="24" customHeight="1">
      <c r="A40" s="275" t="s">
        <v>2</v>
      </c>
      <c r="B40" s="275"/>
      <c r="C40" s="275"/>
      <c r="D40" s="275"/>
      <c r="E40" s="275"/>
      <c r="F40" s="275"/>
      <c r="G40" s="275"/>
      <c r="H40" s="275"/>
      <c r="I40" s="275"/>
      <c r="J40" s="275"/>
      <c r="K40" s="275"/>
      <c r="L40" s="275"/>
      <c r="M40" s="275"/>
      <c r="N40" s="275"/>
      <c r="O40" s="68"/>
    </row>
    <row r="41" spans="1:15" ht="24" customHeight="1">
      <c r="A41" s="65"/>
      <c r="B41" s="65" t="s">
        <v>41</v>
      </c>
      <c r="C41" s="65"/>
      <c r="D41" s="65"/>
      <c r="E41" s="65"/>
      <c r="F41" s="222">
        <f t="shared" ref="F41:H41" si="0">SUM(F46,F53,F54,F55,F61,F62)</f>
        <v>2725048980</v>
      </c>
      <c r="G41" s="222">
        <f>SUM(G46,G53,G54,G55,G61,G62)</f>
        <v>4298135823</v>
      </c>
      <c r="H41" s="222">
        <f t="shared" si="0"/>
        <v>7135014769</v>
      </c>
      <c r="I41" s="222">
        <f>SUM(I46,I53,I54,I55,I61,I62)</f>
        <v>12714242520</v>
      </c>
      <c r="J41" s="66"/>
      <c r="K41" s="66"/>
      <c r="L41" s="66"/>
      <c r="M41" s="66"/>
      <c r="N41" s="66"/>
      <c r="O41" s="65"/>
    </row>
    <row r="42" spans="1:15" ht="24" customHeight="1">
      <c r="A42" s="67"/>
      <c r="B42" s="67"/>
      <c r="C42" s="67"/>
      <c r="D42" s="67"/>
      <c r="E42" s="67"/>
      <c r="F42" s="276" t="s">
        <v>3</v>
      </c>
      <c r="G42" s="276"/>
      <c r="H42" s="276"/>
      <c r="I42" s="276"/>
      <c r="J42" s="66"/>
      <c r="K42" s="273" t="s">
        <v>4</v>
      </c>
      <c r="L42" s="273"/>
      <c r="M42" s="273"/>
      <c r="N42" s="273"/>
      <c r="O42" s="68"/>
    </row>
    <row r="43" spans="1:15" ht="24" customHeight="1">
      <c r="A43" s="274" t="s">
        <v>42</v>
      </c>
      <c r="B43" s="274"/>
      <c r="C43" s="274"/>
      <c r="D43" s="274"/>
      <c r="E43" s="274"/>
      <c r="F43" s="110" t="s">
        <v>6</v>
      </c>
      <c r="G43" s="111" t="s">
        <v>7</v>
      </c>
      <c r="H43" s="63" t="s">
        <v>8</v>
      </c>
      <c r="I43" s="63" t="s">
        <v>9</v>
      </c>
      <c r="J43" s="64"/>
      <c r="K43" s="112" t="s">
        <v>6</v>
      </c>
      <c r="L43" s="113" t="s">
        <v>7</v>
      </c>
      <c r="M43" s="63" t="s">
        <v>8</v>
      </c>
      <c r="N43" s="63" t="s">
        <v>9</v>
      </c>
      <c r="O43" s="64"/>
    </row>
    <row r="44" spans="1:15" ht="24" customHeight="1">
      <c r="A44" s="50" t="s">
        <v>43</v>
      </c>
      <c r="B44" s="52"/>
      <c r="C44" s="52"/>
      <c r="D44" s="52"/>
      <c r="E44" s="52"/>
      <c r="F44" s="61"/>
      <c r="G44" s="61"/>
      <c r="H44" s="61"/>
      <c r="I44" s="61"/>
      <c r="J44" s="61"/>
      <c r="K44" s="61"/>
      <c r="L44" s="61"/>
      <c r="M44" s="61"/>
      <c r="N44" s="61"/>
      <c r="O44" s="78"/>
    </row>
    <row r="45" spans="1:15" ht="24" customHeight="1">
      <c r="A45" s="52" t="s">
        <v>44</v>
      </c>
      <c r="B45" s="52"/>
      <c r="C45" s="52"/>
      <c r="D45" s="52"/>
      <c r="E45" s="52"/>
      <c r="F45" s="77"/>
      <c r="G45" s="77"/>
      <c r="H45" s="77"/>
      <c r="I45" s="77"/>
      <c r="J45" s="77"/>
      <c r="K45" s="77"/>
      <c r="L45" s="77"/>
      <c r="M45" s="77"/>
      <c r="N45" s="77"/>
      <c r="O45" s="78"/>
    </row>
    <row r="46" spans="1:15" ht="24" customHeight="1">
      <c r="A46" s="52"/>
      <c r="B46" s="74" t="s">
        <v>45</v>
      </c>
      <c r="C46" s="52"/>
      <c r="D46" s="52"/>
      <c r="E46" s="52"/>
      <c r="F46" s="84">
        <v>66000000</v>
      </c>
      <c r="G46" s="84">
        <v>716000000</v>
      </c>
      <c r="H46" s="56">
        <v>1078000000</v>
      </c>
      <c r="I46" s="56">
        <v>917112539</v>
      </c>
      <c r="J46" s="56"/>
      <c r="K46" s="84">
        <v>66000000</v>
      </c>
      <c r="L46" s="84">
        <v>716000000</v>
      </c>
      <c r="M46" s="56">
        <v>216000000</v>
      </c>
      <c r="N46" s="56">
        <v>268850013</v>
      </c>
      <c r="O46" s="70"/>
    </row>
    <row r="47" spans="1:15" ht="24" customHeight="1">
      <c r="A47" s="233" t="s">
        <v>46</v>
      </c>
      <c r="B47" s="233"/>
      <c r="C47" s="233"/>
      <c r="D47" s="233"/>
      <c r="E47" s="233"/>
      <c r="F47" s="236">
        <v>1079746782</v>
      </c>
      <c r="G47" s="236">
        <v>1215049474</v>
      </c>
      <c r="H47" s="238">
        <v>1235442682</v>
      </c>
      <c r="I47" s="238">
        <v>1260169880</v>
      </c>
      <c r="J47" s="56"/>
      <c r="K47" s="84">
        <v>120310142</v>
      </c>
      <c r="L47" s="84">
        <v>307775435</v>
      </c>
      <c r="M47" s="56">
        <v>198040314</v>
      </c>
      <c r="N47" s="56">
        <v>295655377</v>
      </c>
      <c r="O47" s="70"/>
    </row>
    <row r="48" spans="1:15" ht="24" customHeight="1">
      <c r="A48" s="233" t="s">
        <v>47</v>
      </c>
      <c r="B48" s="233"/>
      <c r="C48" s="233"/>
      <c r="D48" s="233"/>
      <c r="E48" s="233"/>
      <c r="F48" s="236">
        <v>562367681</v>
      </c>
      <c r="G48" s="236">
        <v>318356369</v>
      </c>
      <c r="H48" s="238">
        <v>356610493</v>
      </c>
      <c r="I48" s="238">
        <v>2355416668</v>
      </c>
      <c r="J48" s="56"/>
      <c r="K48" s="89">
        <v>0</v>
      </c>
      <c r="L48" s="89">
        <v>0</v>
      </c>
      <c r="M48" s="31">
        <v>0</v>
      </c>
      <c r="N48" s="31">
        <v>0</v>
      </c>
      <c r="O48" s="70"/>
    </row>
    <row r="49" spans="1:15" ht="24" customHeight="1">
      <c r="A49" s="76" t="s">
        <v>48</v>
      </c>
      <c r="B49" s="52"/>
      <c r="C49" s="50"/>
      <c r="D49" s="52"/>
      <c r="E49" s="52"/>
      <c r="G49" s="22"/>
      <c r="H49" s="56">
        <v>122850000</v>
      </c>
      <c r="I49" s="56">
        <v>0</v>
      </c>
      <c r="J49" s="56"/>
      <c r="L49" s="56"/>
      <c r="M49" s="56">
        <v>1312998764</v>
      </c>
      <c r="N49" s="56">
        <v>1630810295</v>
      </c>
      <c r="O49" s="70"/>
    </row>
    <row r="50" spans="1:15" ht="24" customHeight="1">
      <c r="A50" s="75" t="s">
        <v>49</v>
      </c>
      <c r="B50" s="52"/>
      <c r="C50" s="50"/>
      <c r="D50" s="52"/>
      <c r="E50" s="52"/>
      <c r="F50" s="84">
        <v>171850000</v>
      </c>
      <c r="G50" s="84">
        <v>171850000</v>
      </c>
      <c r="H50" s="31">
        <v>109931800</v>
      </c>
      <c r="I50" s="56">
        <v>0</v>
      </c>
      <c r="J50" s="56"/>
      <c r="K50" s="84">
        <v>90670000</v>
      </c>
      <c r="L50" s="84">
        <v>219345913</v>
      </c>
      <c r="M50" s="31">
        <v>0</v>
      </c>
      <c r="N50" s="31">
        <v>0</v>
      </c>
      <c r="O50" s="70"/>
    </row>
    <row r="51" spans="1:15" ht="24" customHeight="1">
      <c r="A51" s="74" t="s">
        <v>50</v>
      </c>
      <c r="B51" s="52"/>
      <c r="C51" s="52"/>
      <c r="D51" s="52"/>
      <c r="E51" s="52"/>
      <c r="F51" s="84">
        <v>1101545391</v>
      </c>
      <c r="G51" s="84">
        <v>1101545391</v>
      </c>
      <c r="H51" s="56"/>
      <c r="I51" s="56"/>
      <c r="J51" s="56"/>
      <c r="K51" s="84">
        <v>899765850</v>
      </c>
      <c r="L51" s="84">
        <v>5671419</v>
      </c>
      <c r="M51" s="56"/>
      <c r="N51" s="56"/>
      <c r="O51" s="70"/>
    </row>
    <row r="52" spans="1:15" ht="24" customHeight="1">
      <c r="A52" s="74"/>
      <c r="B52" s="52" t="s">
        <v>51</v>
      </c>
      <c r="C52" s="52"/>
      <c r="D52" s="52"/>
      <c r="E52" s="52"/>
      <c r="G52" s="22"/>
      <c r="H52" s="56">
        <v>15344931</v>
      </c>
      <c r="I52" s="56">
        <v>21118033</v>
      </c>
      <c r="J52" s="56"/>
      <c r="L52" s="97"/>
      <c r="M52" s="31">
        <v>6091560</v>
      </c>
      <c r="N52" s="56">
        <v>7222697</v>
      </c>
      <c r="O52" s="70"/>
    </row>
    <row r="53" spans="1:15" ht="24" customHeight="1">
      <c r="A53" s="74"/>
      <c r="B53" s="52" t="s">
        <v>52</v>
      </c>
      <c r="C53" s="52"/>
      <c r="D53" s="52"/>
      <c r="E53" s="52"/>
      <c r="G53" s="22"/>
      <c r="H53" s="56">
        <v>553558074</v>
      </c>
      <c r="I53" s="56">
        <v>766212073</v>
      </c>
      <c r="J53" s="56"/>
      <c r="L53" s="56"/>
      <c r="M53" s="31">
        <v>142800</v>
      </c>
      <c r="N53" s="56">
        <v>55142800</v>
      </c>
      <c r="O53" s="70"/>
    </row>
    <row r="54" spans="1:15" ht="24" customHeight="1">
      <c r="A54" s="74"/>
      <c r="B54" s="52" t="s">
        <v>53</v>
      </c>
      <c r="C54" s="52"/>
      <c r="D54" s="52"/>
      <c r="E54" s="52"/>
      <c r="G54" s="22"/>
      <c r="H54" s="31">
        <v>498698880</v>
      </c>
      <c r="I54" s="56">
        <v>999845912</v>
      </c>
      <c r="J54" s="56"/>
      <c r="L54" s="56"/>
      <c r="M54" s="31">
        <v>498698880</v>
      </c>
      <c r="N54" s="56">
        <v>999845912</v>
      </c>
      <c r="O54" s="70"/>
    </row>
    <row r="55" spans="1:15" ht="24" customHeight="1">
      <c r="A55" s="74"/>
      <c r="B55" s="52" t="s">
        <v>54</v>
      </c>
      <c r="C55" s="52"/>
      <c r="D55" s="52"/>
      <c r="E55" s="52"/>
      <c r="G55" s="22"/>
      <c r="H55" s="31">
        <v>3901370</v>
      </c>
      <c r="I55" s="56">
        <v>320158540</v>
      </c>
      <c r="J55" s="56"/>
      <c r="L55" s="56"/>
      <c r="M55" s="31">
        <v>3901370</v>
      </c>
      <c r="N55" s="56">
        <v>320158540</v>
      </c>
      <c r="O55" s="70"/>
    </row>
    <row r="56" spans="1:15" ht="24" customHeight="1">
      <c r="A56" s="52" t="s">
        <v>55</v>
      </c>
      <c r="B56" s="52"/>
      <c r="C56" s="52"/>
      <c r="D56" s="52"/>
      <c r="E56" s="52"/>
      <c r="F56" s="84">
        <v>178201185</v>
      </c>
      <c r="G56" s="84">
        <v>131788068</v>
      </c>
      <c r="H56" s="56">
        <v>164050342</v>
      </c>
      <c r="I56" s="56">
        <v>152100719</v>
      </c>
      <c r="J56" s="56"/>
      <c r="K56" s="89">
        <v>0</v>
      </c>
      <c r="L56" s="89">
        <v>0</v>
      </c>
      <c r="M56" s="31">
        <v>0</v>
      </c>
      <c r="N56" s="31">
        <v>12821156</v>
      </c>
      <c r="O56" s="70"/>
    </row>
    <row r="57" spans="1:15" ht="24" customHeight="1">
      <c r="A57" s="52"/>
      <c r="B57" s="50" t="s">
        <v>56</v>
      </c>
      <c r="D57" s="52"/>
      <c r="E57" s="52"/>
      <c r="F57" s="82">
        <v>3159711039</v>
      </c>
      <c r="G57" s="82">
        <v>2693865240</v>
      </c>
      <c r="H57" s="49">
        <f>SUM(H46:H56)</f>
        <v>4138388572</v>
      </c>
      <c r="I57" s="49">
        <f>SUM(I46:I56)</f>
        <v>6792134364</v>
      </c>
      <c r="J57" s="21"/>
      <c r="K57" s="82">
        <v>1176745992</v>
      </c>
      <c r="L57" s="82">
        <v>1248792767</v>
      </c>
      <c r="M57" s="49">
        <f>SUM(M46:M56)</f>
        <v>2235873688</v>
      </c>
      <c r="N57" s="49">
        <f>SUM(N46:N56)</f>
        <v>3590506790</v>
      </c>
      <c r="O57" s="70"/>
    </row>
    <row r="58" spans="1:15" ht="24" customHeight="1">
      <c r="A58" s="50" t="s">
        <v>57</v>
      </c>
      <c r="B58" s="52"/>
      <c r="C58" s="50"/>
      <c r="D58" s="52"/>
      <c r="E58" s="52"/>
      <c r="G58" s="73"/>
      <c r="H58" s="21"/>
      <c r="I58" s="21"/>
      <c r="J58" s="21"/>
      <c r="L58" s="21"/>
      <c r="M58" s="21"/>
      <c r="N58" s="21"/>
      <c r="O58" s="70"/>
    </row>
    <row r="59" spans="1:15" ht="24" customHeight="1">
      <c r="A59" s="74" t="s">
        <v>58</v>
      </c>
      <c r="B59" s="52"/>
      <c r="C59" s="50"/>
      <c r="D59" s="52"/>
      <c r="E59" s="52"/>
      <c r="G59" s="84">
        <v>82872358</v>
      </c>
      <c r="H59" s="56">
        <v>81876999</v>
      </c>
      <c r="I59" s="56">
        <v>85631634</v>
      </c>
      <c r="J59" s="56"/>
      <c r="K59" s="33">
        <v>1523447</v>
      </c>
      <c r="L59" s="84">
        <v>18399108</v>
      </c>
      <c r="M59" s="56">
        <v>22516504</v>
      </c>
      <c r="N59" s="56">
        <v>23730211</v>
      </c>
      <c r="O59" s="70"/>
    </row>
    <row r="60" spans="1:15" ht="24" customHeight="1">
      <c r="A60" s="74" t="s">
        <v>59</v>
      </c>
      <c r="B60" s="52"/>
      <c r="C60" s="50"/>
      <c r="D60" s="52"/>
      <c r="E60" s="52"/>
      <c r="F60" s="84">
        <v>19524727</v>
      </c>
      <c r="G60" s="114"/>
      <c r="H60" s="22"/>
      <c r="I60" s="22"/>
      <c r="J60" s="22"/>
      <c r="L60" s="117"/>
      <c r="M60" s="22"/>
      <c r="N60" s="22"/>
      <c r="O60" s="70"/>
    </row>
    <row r="61" spans="1:15" ht="24" customHeight="1">
      <c r="A61" s="74"/>
      <c r="B61" s="52" t="s">
        <v>60</v>
      </c>
      <c r="C61" s="50"/>
      <c r="D61" s="52"/>
      <c r="E61" s="52"/>
      <c r="F61" s="116"/>
      <c r="G61" s="84">
        <v>2592805007</v>
      </c>
      <c r="H61" s="56">
        <v>3511524705</v>
      </c>
      <c r="I61" s="56">
        <v>6960183323</v>
      </c>
      <c r="J61" s="56"/>
      <c r="K61" s="33">
        <v>0</v>
      </c>
      <c r="L61" s="89">
        <v>0</v>
      </c>
      <c r="M61" s="31">
        <v>785800</v>
      </c>
      <c r="N61" s="31">
        <v>164878259</v>
      </c>
      <c r="O61" s="70"/>
    </row>
    <row r="62" spans="1:15" ht="24" customHeight="1">
      <c r="A62" s="74" t="s">
        <v>61</v>
      </c>
      <c r="B62" s="52"/>
      <c r="C62" s="50"/>
      <c r="D62" s="52"/>
      <c r="E62" s="52"/>
      <c r="F62" s="84">
        <v>2659048980</v>
      </c>
      <c r="G62" s="84">
        <v>989330816</v>
      </c>
      <c r="H62" s="31">
        <v>1489331740</v>
      </c>
      <c r="I62" s="56">
        <v>2750730133</v>
      </c>
      <c r="J62" s="56"/>
      <c r="K62" s="33">
        <v>0</v>
      </c>
      <c r="L62" s="84">
        <v>989330816</v>
      </c>
      <c r="M62" s="31">
        <v>1489331740</v>
      </c>
      <c r="N62" s="56">
        <v>2750730133</v>
      </c>
      <c r="O62" s="70"/>
    </row>
    <row r="63" spans="1:15" ht="24" customHeight="1">
      <c r="A63" s="74" t="s">
        <v>62</v>
      </c>
      <c r="B63" s="52"/>
      <c r="C63" s="50"/>
      <c r="D63" s="52"/>
      <c r="E63" s="52"/>
      <c r="F63" s="89">
        <v>0</v>
      </c>
      <c r="G63" s="33">
        <v>0</v>
      </c>
      <c r="H63" s="31">
        <v>314872512</v>
      </c>
      <c r="I63" s="56">
        <v>0</v>
      </c>
      <c r="J63" s="56"/>
      <c r="K63" s="33">
        <v>0</v>
      </c>
      <c r="L63" s="33">
        <v>0</v>
      </c>
      <c r="M63" s="31">
        <v>314872512</v>
      </c>
      <c r="N63" s="56">
        <v>0</v>
      </c>
      <c r="O63" s="70"/>
    </row>
    <row r="64" spans="1:15" ht="24" customHeight="1">
      <c r="A64" s="52" t="s">
        <v>63</v>
      </c>
      <c r="B64" s="52"/>
      <c r="C64" s="50"/>
      <c r="D64" s="52"/>
      <c r="E64" s="52"/>
      <c r="F64" s="33">
        <v>814562</v>
      </c>
      <c r="G64" s="115">
        <v>1107078</v>
      </c>
      <c r="H64" s="31">
        <v>1162747</v>
      </c>
      <c r="I64" s="56">
        <v>210700742</v>
      </c>
      <c r="J64" s="31"/>
      <c r="K64" s="33">
        <v>470068</v>
      </c>
      <c r="L64" s="115">
        <v>1218821</v>
      </c>
      <c r="M64" s="31">
        <v>1377215</v>
      </c>
      <c r="N64" s="56">
        <v>2311047</v>
      </c>
      <c r="O64" s="70"/>
    </row>
    <row r="65" spans="1:15" ht="24" customHeight="1">
      <c r="A65" s="74" t="s">
        <v>64</v>
      </c>
      <c r="B65" s="74"/>
      <c r="C65" s="50"/>
      <c r="D65" s="52"/>
      <c r="E65" s="52"/>
      <c r="G65" s="22"/>
      <c r="H65" s="22"/>
      <c r="I65" s="22"/>
      <c r="J65" s="22"/>
      <c r="L65" s="22"/>
      <c r="M65" s="22"/>
      <c r="N65" s="22"/>
      <c r="O65" s="70"/>
    </row>
    <row r="66" spans="1:15" ht="24" customHeight="1">
      <c r="A66" s="74"/>
      <c r="B66" s="74" t="s">
        <v>65</v>
      </c>
      <c r="C66" s="50"/>
      <c r="D66" s="52"/>
      <c r="E66" s="52"/>
      <c r="F66" s="84">
        <v>21984201</v>
      </c>
      <c r="G66" s="84">
        <v>32007403</v>
      </c>
      <c r="H66" s="56">
        <v>36762608</v>
      </c>
      <c r="I66" s="56">
        <v>59736679</v>
      </c>
      <c r="J66" s="56"/>
      <c r="K66" s="84">
        <v>21173203</v>
      </c>
      <c r="L66" s="84">
        <v>29458036</v>
      </c>
      <c r="M66" s="56">
        <v>34881596</v>
      </c>
      <c r="N66" s="56">
        <v>45418395</v>
      </c>
      <c r="O66" s="70"/>
    </row>
    <row r="67" spans="1:15" ht="24" customHeight="1">
      <c r="A67" s="32" t="s">
        <v>66</v>
      </c>
      <c r="B67" s="74"/>
      <c r="C67" s="50"/>
      <c r="D67" s="52"/>
      <c r="E67" s="52"/>
      <c r="F67" s="84">
        <v>2228307</v>
      </c>
      <c r="G67" s="84">
        <v>6701366</v>
      </c>
      <c r="H67" s="56">
        <v>9829921</v>
      </c>
      <c r="I67" s="56">
        <v>20775205</v>
      </c>
      <c r="J67" s="56"/>
      <c r="K67" s="89">
        <v>0</v>
      </c>
      <c r="L67" s="89">
        <v>0</v>
      </c>
      <c r="M67" s="31">
        <v>0</v>
      </c>
      <c r="N67" s="31">
        <v>0</v>
      </c>
      <c r="O67" s="70"/>
    </row>
    <row r="68" spans="1:15" ht="24" customHeight="1">
      <c r="A68" s="52"/>
      <c r="B68" s="50" t="s">
        <v>67</v>
      </c>
      <c r="D68" s="52"/>
      <c r="E68" s="52"/>
      <c r="F68" s="82">
        <v>2703600777</v>
      </c>
      <c r="G68" s="82">
        <v>3704824028</v>
      </c>
      <c r="H68" s="49">
        <f>SUM(H59:H67)</f>
        <v>5445361232</v>
      </c>
      <c r="I68" s="49">
        <f>SUM(I59:I67)</f>
        <v>10087757716</v>
      </c>
      <c r="J68" s="21"/>
      <c r="K68" s="82">
        <v>23166718</v>
      </c>
      <c r="L68" s="82">
        <v>1038406781</v>
      </c>
      <c r="M68" s="49">
        <f>SUM(M59:M67)</f>
        <v>1863765367</v>
      </c>
      <c r="N68" s="49">
        <f>SUM(N59:N67)</f>
        <v>2987068045</v>
      </c>
      <c r="O68" s="72"/>
    </row>
    <row r="69" spans="1:15" ht="24" customHeight="1">
      <c r="A69" s="52"/>
      <c r="B69" s="50" t="s">
        <v>68</v>
      </c>
      <c r="D69" s="52"/>
      <c r="E69" s="52"/>
      <c r="F69" s="82">
        <v>5863311816</v>
      </c>
      <c r="G69" s="82">
        <v>6398689268</v>
      </c>
      <c r="H69" s="49">
        <f>+H57+H68</f>
        <v>9583749804</v>
      </c>
      <c r="I69" s="49">
        <f>+I57+I68</f>
        <v>16879892080</v>
      </c>
      <c r="J69" s="21"/>
      <c r="K69" s="82">
        <v>1199912710</v>
      </c>
      <c r="L69" s="82">
        <v>2287199548</v>
      </c>
      <c r="M69" s="49">
        <f>+M57+M68</f>
        <v>4099639055</v>
      </c>
      <c r="N69" s="49">
        <f>+N57+N68</f>
        <v>6577574835</v>
      </c>
      <c r="O69" s="72"/>
    </row>
    <row r="70" spans="1:15" ht="24" customHeight="1">
      <c r="A70" s="52"/>
      <c r="B70" s="50"/>
      <c r="D70" s="52"/>
      <c r="E70" s="52"/>
      <c r="F70" s="60"/>
      <c r="G70" s="71"/>
      <c r="H70" s="71"/>
      <c r="I70" s="223">
        <f>I69/I35</f>
        <v>0.69282877259787856</v>
      </c>
      <c r="J70" s="60"/>
      <c r="K70" s="60"/>
      <c r="L70" s="60"/>
      <c r="M70" s="60"/>
      <c r="O70" s="70"/>
    </row>
    <row r="71" spans="1:15" ht="25.15" customHeight="1">
      <c r="A71" s="274" t="s">
        <v>0</v>
      </c>
      <c r="B71" s="274"/>
      <c r="C71" s="274"/>
      <c r="D71" s="274"/>
      <c r="E71" s="274"/>
      <c r="F71" s="274"/>
      <c r="G71" s="274"/>
      <c r="H71" s="274"/>
      <c r="I71" s="274"/>
      <c r="J71" s="274"/>
      <c r="K71" s="274"/>
      <c r="L71" s="274"/>
      <c r="M71" s="274"/>
      <c r="N71" s="274"/>
      <c r="O71" s="2"/>
    </row>
    <row r="72" spans="1:15" ht="25.15" customHeight="1">
      <c r="A72" s="274" t="s">
        <v>40</v>
      </c>
      <c r="B72" s="274"/>
      <c r="C72" s="274"/>
      <c r="D72" s="274"/>
      <c r="E72" s="274"/>
      <c r="F72" s="274"/>
      <c r="G72" s="274"/>
      <c r="H72" s="274"/>
      <c r="I72" s="274"/>
      <c r="J72" s="274"/>
      <c r="K72" s="274"/>
      <c r="L72" s="274"/>
      <c r="M72" s="274"/>
      <c r="N72" s="274"/>
      <c r="O72" s="2"/>
    </row>
    <row r="73" spans="1:15" ht="25.15" customHeight="1">
      <c r="A73" s="275" t="s">
        <v>2</v>
      </c>
      <c r="B73" s="275"/>
      <c r="C73" s="275"/>
      <c r="D73" s="275"/>
      <c r="E73" s="275"/>
      <c r="F73" s="275"/>
      <c r="G73" s="275"/>
      <c r="H73" s="275"/>
      <c r="I73" s="275"/>
      <c r="J73" s="275"/>
      <c r="K73" s="275"/>
      <c r="L73" s="275"/>
      <c r="M73" s="275"/>
      <c r="N73" s="275"/>
      <c r="O73" s="68"/>
    </row>
    <row r="74" spans="1:15" ht="25.15" customHeight="1">
      <c r="A74" s="65"/>
      <c r="B74" s="65"/>
      <c r="C74" s="65"/>
      <c r="D74" s="65"/>
      <c r="E74" s="65"/>
      <c r="F74" s="66"/>
      <c r="G74" s="66"/>
      <c r="H74" s="66"/>
      <c r="I74" s="66"/>
      <c r="J74" s="66"/>
      <c r="K74" s="66"/>
      <c r="L74" s="66"/>
      <c r="M74" s="66"/>
      <c r="N74" s="66"/>
      <c r="O74" s="65"/>
    </row>
    <row r="75" spans="1:15" ht="25.15" customHeight="1">
      <c r="A75" s="67"/>
      <c r="B75" s="67"/>
      <c r="C75" s="67"/>
      <c r="D75" s="67"/>
      <c r="E75" s="67"/>
      <c r="F75" s="276" t="s">
        <v>3</v>
      </c>
      <c r="G75" s="276"/>
      <c r="H75" s="276"/>
      <c r="I75" s="276"/>
      <c r="J75" s="66"/>
      <c r="K75" s="273" t="s">
        <v>4</v>
      </c>
      <c r="L75" s="273"/>
      <c r="M75" s="273"/>
      <c r="N75" s="273"/>
      <c r="O75" s="65"/>
    </row>
    <row r="76" spans="1:15" ht="25.15" customHeight="1">
      <c r="A76" s="274" t="s">
        <v>69</v>
      </c>
      <c r="B76" s="274"/>
      <c r="C76" s="274"/>
      <c r="D76" s="274"/>
      <c r="E76" s="274"/>
      <c r="F76" s="126" t="s">
        <v>6</v>
      </c>
      <c r="G76" s="124" t="s">
        <v>7</v>
      </c>
      <c r="H76" s="63" t="s">
        <v>8</v>
      </c>
      <c r="I76" s="63" t="s">
        <v>9</v>
      </c>
      <c r="J76" s="64"/>
      <c r="K76" s="122" t="s">
        <v>6</v>
      </c>
      <c r="L76" s="119" t="s">
        <v>7</v>
      </c>
      <c r="M76" s="63" t="s">
        <v>8</v>
      </c>
      <c r="N76" s="63" t="s">
        <v>9</v>
      </c>
      <c r="O76" s="64"/>
    </row>
    <row r="77" spans="1:15" ht="25.15" customHeight="1">
      <c r="A77" s="50" t="s">
        <v>70</v>
      </c>
      <c r="B77" s="52"/>
      <c r="C77" s="52"/>
      <c r="D77" s="52"/>
      <c r="E77" s="52"/>
      <c r="F77" s="61"/>
      <c r="G77" s="61"/>
      <c r="H77" s="61"/>
      <c r="I77" s="61"/>
      <c r="J77" s="61"/>
      <c r="K77" s="61"/>
      <c r="L77" s="61"/>
      <c r="M77" s="61"/>
      <c r="N77" s="61"/>
      <c r="O77" s="62"/>
    </row>
    <row r="78" spans="1:15" ht="25.15" customHeight="1">
      <c r="A78" s="52" t="s">
        <v>71</v>
      </c>
      <c r="B78" s="52"/>
      <c r="C78" s="52"/>
      <c r="D78" s="52"/>
      <c r="E78" s="52"/>
      <c r="F78" s="60"/>
      <c r="G78" s="60"/>
      <c r="H78" s="60"/>
      <c r="I78" s="60"/>
      <c r="J78" s="60"/>
      <c r="K78" s="60"/>
      <c r="L78" s="60"/>
      <c r="M78" s="60"/>
      <c r="N78" s="60"/>
      <c r="O78" s="52"/>
    </row>
    <row r="79" spans="1:15" ht="25.15" customHeight="1">
      <c r="A79" s="52" t="s">
        <v>72</v>
      </c>
      <c r="B79" s="40"/>
      <c r="C79" s="40"/>
      <c r="D79" s="40"/>
      <c r="E79" s="40"/>
      <c r="F79" s="125"/>
      <c r="G79" s="123"/>
      <c r="K79" s="121"/>
      <c r="L79" s="118"/>
      <c r="O79" s="40"/>
    </row>
    <row r="80" spans="1:15" ht="25.15" customHeight="1">
      <c r="A80" s="52"/>
      <c r="B80" s="52" t="s">
        <v>73</v>
      </c>
      <c r="C80" s="40"/>
      <c r="D80" s="40"/>
      <c r="E80" s="40"/>
      <c r="F80" s="125"/>
      <c r="G80" s="123"/>
      <c r="K80" s="121"/>
      <c r="L80" s="118"/>
      <c r="O80" s="40"/>
    </row>
    <row r="81" spans="1:15" ht="25.15" customHeight="1">
      <c r="A81" s="52"/>
      <c r="B81" s="32" t="s">
        <v>74</v>
      </c>
      <c r="C81" s="40"/>
      <c r="D81" s="40"/>
      <c r="E81" s="40"/>
      <c r="F81" s="125"/>
      <c r="G81" s="123"/>
      <c r="K81" s="121"/>
      <c r="L81" s="118"/>
      <c r="O81" s="40"/>
    </row>
    <row r="82" spans="1:15" ht="25.15" customHeight="1" thickBot="1">
      <c r="A82" s="52"/>
      <c r="B82" s="52" t="s">
        <v>75</v>
      </c>
      <c r="C82" s="40"/>
      <c r="D82" s="40"/>
      <c r="E82" s="40"/>
      <c r="F82" s="120">
        <v>761000000</v>
      </c>
      <c r="G82" s="120">
        <v>856125000</v>
      </c>
      <c r="H82" s="58">
        <v>1363106937</v>
      </c>
      <c r="I82" s="58">
        <v>1363106937</v>
      </c>
      <c r="J82" s="31"/>
      <c r="K82" s="120">
        <v>761000000</v>
      </c>
      <c r="L82" s="120">
        <v>856125000</v>
      </c>
      <c r="M82" s="58">
        <v>1363106937</v>
      </c>
      <c r="N82" s="58">
        <v>1363106937</v>
      </c>
      <c r="O82" s="59"/>
    </row>
    <row r="83" spans="1:15" ht="25.15" customHeight="1" thickTop="1">
      <c r="A83" s="52" t="s">
        <v>76</v>
      </c>
      <c r="B83" s="40"/>
      <c r="C83" s="40"/>
      <c r="D83" s="40"/>
      <c r="E83" s="40"/>
      <c r="G83" s="31"/>
      <c r="H83" s="31"/>
      <c r="I83" s="31"/>
      <c r="J83" s="31"/>
      <c r="L83" s="31"/>
      <c r="M83" s="31"/>
      <c r="N83" s="31"/>
      <c r="O83" s="57"/>
    </row>
    <row r="84" spans="1:15" ht="25.15" customHeight="1">
      <c r="A84" s="52"/>
      <c r="B84" s="52" t="s">
        <v>73</v>
      </c>
      <c r="C84" s="40"/>
      <c r="D84" s="40"/>
      <c r="E84" s="40"/>
      <c r="G84" s="31"/>
      <c r="H84" s="31"/>
      <c r="I84" s="22"/>
      <c r="J84" s="31"/>
      <c r="L84" s="31"/>
      <c r="M84" s="31"/>
      <c r="N84" s="31"/>
      <c r="O84" s="57"/>
    </row>
    <row r="85" spans="1:15" ht="25.15" customHeight="1">
      <c r="A85" s="52"/>
      <c r="B85" s="32" t="s">
        <v>74</v>
      </c>
      <c r="C85" s="40"/>
      <c r="D85" s="40"/>
      <c r="E85" s="40"/>
      <c r="G85" s="31"/>
      <c r="H85" s="31"/>
      <c r="I85" s="21"/>
      <c r="J85" s="31"/>
      <c r="L85" s="21"/>
      <c r="M85" s="31"/>
      <c r="N85" s="21"/>
      <c r="O85" s="57"/>
    </row>
    <row r="86" spans="1:15" ht="25.15" customHeight="1">
      <c r="A86" s="40"/>
      <c r="B86" s="52" t="s">
        <v>77</v>
      </c>
      <c r="C86" s="40"/>
      <c r="D86" s="40"/>
      <c r="E86" s="40"/>
      <c r="F86" s="88">
        <v>555000000</v>
      </c>
      <c r="G86" s="88">
        <v>856121119</v>
      </c>
      <c r="H86" s="55">
        <v>856121119</v>
      </c>
      <c r="I86" s="55">
        <v>899121119</v>
      </c>
      <c r="J86" s="56"/>
      <c r="K86" s="88">
        <v>555000000</v>
      </c>
      <c r="L86" s="88">
        <v>856121119</v>
      </c>
      <c r="M86" s="55">
        <v>856121119</v>
      </c>
      <c r="N86" s="55">
        <v>899121119</v>
      </c>
      <c r="O86" s="57"/>
    </row>
    <row r="87" spans="1:15" ht="25.15" customHeight="1">
      <c r="A87" s="32" t="s">
        <v>78</v>
      </c>
      <c r="C87" s="40"/>
      <c r="D87" s="40"/>
      <c r="E87" s="40"/>
      <c r="F87" s="60">
        <v>243722900</v>
      </c>
      <c r="G87" s="60">
        <v>1998593340</v>
      </c>
      <c r="H87" s="21">
        <v>1998593340</v>
      </c>
      <c r="I87" s="21">
        <v>2316793340</v>
      </c>
      <c r="J87" s="21"/>
      <c r="K87" s="60">
        <v>243722900</v>
      </c>
      <c r="L87" s="60">
        <v>1998593340</v>
      </c>
      <c r="M87" s="21">
        <v>1998593340</v>
      </c>
      <c r="N87" s="21">
        <v>2316793340</v>
      </c>
      <c r="O87" s="57"/>
    </row>
    <row r="88" spans="1:15" ht="25.15" customHeight="1">
      <c r="A88" s="32" t="s">
        <v>79</v>
      </c>
      <c r="C88" s="40"/>
      <c r="D88" s="40"/>
      <c r="E88" s="40"/>
      <c r="F88" s="60">
        <v>19079802</v>
      </c>
      <c r="G88" s="60">
        <v>19079802</v>
      </c>
      <c r="H88" s="21">
        <v>19079802</v>
      </c>
      <c r="I88" s="21">
        <v>19079802</v>
      </c>
      <c r="J88" s="21"/>
      <c r="K88" s="60">
        <v>0</v>
      </c>
      <c r="L88" s="60">
        <v>0</v>
      </c>
      <c r="M88" s="21">
        <v>0</v>
      </c>
      <c r="N88" s="21">
        <v>0</v>
      </c>
      <c r="O88" s="57"/>
    </row>
    <row r="89" spans="1:15" ht="25.15" customHeight="1">
      <c r="A89" s="32" t="s">
        <v>80</v>
      </c>
      <c r="C89" s="40"/>
      <c r="D89" s="40"/>
      <c r="E89" s="40"/>
      <c r="G89" s="31"/>
      <c r="H89" s="21">
        <v>790018</v>
      </c>
      <c r="I89" s="21">
        <v>790018</v>
      </c>
      <c r="J89" s="21"/>
      <c r="L89" s="21"/>
      <c r="M89" s="21">
        <v>790018</v>
      </c>
      <c r="N89" s="21">
        <v>790018</v>
      </c>
      <c r="O89" s="57"/>
    </row>
    <row r="90" spans="1:15" ht="25.15" customHeight="1">
      <c r="A90" s="32" t="s">
        <v>81</v>
      </c>
      <c r="C90" s="40"/>
      <c r="D90" s="40"/>
      <c r="E90" s="40"/>
      <c r="G90" s="31"/>
      <c r="H90" s="21">
        <v>1830741</v>
      </c>
      <c r="I90" s="21">
        <v>1830741</v>
      </c>
      <c r="J90" s="21"/>
      <c r="L90" s="21"/>
      <c r="M90" s="21">
        <v>1830741</v>
      </c>
      <c r="N90" s="21">
        <v>1830741</v>
      </c>
      <c r="O90" s="57"/>
    </row>
    <row r="91" spans="1:15" ht="25.15" customHeight="1">
      <c r="A91" s="52" t="s">
        <v>82</v>
      </c>
      <c r="B91" s="52"/>
      <c r="C91" s="52"/>
      <c r="D91" s="52"/>
      <c r="E91" s="52"/>
      <c r="G91" s="21"/>
      <c r="H91" s="21"/>
      <c r="I91" s="21"/>
      <c r="J91" s="21"/>
      <c r="L91" s="21"/>
      <c r="M91" s="31"/>
      <c r="N91" s="21"/>
      <c r="O91" s="52"/>
    </row>
    <row r="92" spans="1:15" ht="25.15" customHeight="1">
      <c r="A92" s="52"/>
      <c r="B92" s="52" t="s">
        <v>83</v>
      </c>
      <c r="C92" s="52"/>
      <c r="D92" s="52"/>
      <c r="E92" s="52"/>
      <c r="F92" s="60">
        <v>35512114</v>
      </c>
      <c r="G92" s="84">
        <v>71153455</v>
      </c>
      <c r="H92" s="21">
        <v>85612112</v>
      </c>
      <c r="I92" s="56">
        <v>89912112</v>
      </c>
      <c r="J92" s="21"/>
      <c r="K92" s="33">
        <v>35512114</v>
      </c>
      <c r="L92" s="60">
        <v>71153455</v>
      </c>
      <c r="M92" s="31">
        <v>85612112</v>
      </c>
      <c r="N92" s="21">
        <v>89912112</v>
      </c>
      <c r="O92" s="52"/>
    </row>
    <row r="93" spans="1:15" ht="25.15" customHeight="1">
      <c r="B93" s="52" t="s">
        <v>84</v>
      </c>
      <c r="C93" s="52"/>
      <c r="D93" s="52"/>
      <c r="E93" s="52"/>
      <c r="F93" s="33">
        <v>1309718782</v>
      </c>
      <c r="G93" s="84">
        <v>1750925093</v>
      </c>
      <c r="H93" s="31">
        <v>2517525635</v>
      </c>
      <c r="I93" s="56">
        <v>3159282786</v>
      </c>
      <c r="J93" s="31"/>
      <c r="K93" s="33">
        <v>388977572</v>
      </c>
      <c r="L93" s="33">
        <v>566249891</v>
      </c>
      <c r="M93" s="31">
        <v>694188500</v>
      </c>
      <c r="N93" s="31">
        <v>1178535051</v>
      </c>
      <c r="O93" s="52"/>
    </row>
    <row r="94" spans="1:15" ht="25.15" customHeight="1">
      <c r="A94" s="52" t="s">
        <v>85</v>
      </c>
      <c r="B94" s="52"/>
      <c r="C94" s="52"/>
      <c r="D94" s="52"/>
      <c r="E94" s="52"/>
      <c r="F94" s="132">
        <v>165229880</v>
      </c>
      <c r="G94" s="131">
        <v>139832594</v>
      </c>
      <c r="H94" s="24">
        <v>139832594</v>
      </c>
      <c r="I94" s="53">
        <v>89258241</v>
      </c>
      <c r="J94" s="21"/>
      <c r="K94" s="79">
        <v>0</v>
      </c>
      <c r="L94" s="79">
        <v>0</v>
      </c>
      <c r="M94" s="24">
        <v>0</v>
      </c>
      <c r="N94" s="24">
        <v>0</v>
      </c>
      <c r="O94" s="52"/>
    </row>
    <row r="95" spans="1:15" ht="25.15" customHeight="1">
      <c r="A95" s="52" t="s">
        <v>86</v>
      </c>
      <c r="B95" s="52"/>
      <c r="C95" s="52"/>
      <c r="D95" s="52"/>
      <c r="E95" s="52"/>
      <c r="F95" s="127">
        <v>2328263478</v>
      </c>
      <c r="G95" s="127">
        <v>4835705403</v>
      </c>
      <c r="H95" s="21">
        <f>SUM(H86:H94)</f>
        <v>5619385361</v>
      </c>
      <c r="I95" s="21">
        <f>SUM(I85:I94)</f>
        <v>6576068159</v>
      </c>
      <c r="J95" s="21"/>
      <c r="K95" s="127">
        <v>1223212586</v>
      </c>
      <c r="L95" s="127">
        <v>3492117805</v>
      </c>
      <c r="M95" s="21">
        <f>SUM(M86:M94)</f>
        <v>3637135830</v>
      </c>
      <c r="N95" s="21">
        <f>SUM(N85:N94)</f>
        <v>4486982381</v>
      </c>
      <c r="O95" s="48"/>
    </row>
    <row r="96" spans="1:15" ht="25.15" customHeight="1">
      <c r="A96" s="52" t="s">
        <v>87</v>
      </c>
      <c r="B96" s="52"/>
      <c r="C96" s="52"/>
      <c r="D96" s="52"/>
      <c r="E96" s="52"/>
      <c r="F96" s="128">
        <v>-31578870</v>
      </c>
      <c r="G96" s="128">
        <v>100845885</v>
      </c>
      <c r="H96" s="14">
        <v>333475357</v>
      </c>
      <c r="I96" s="14">
        <v>907768214</v>
      </c>
      <c r="J96" s="14"/>
      <c r="K96" s="134">
        <v>0</v>
      </c>
      <c r="L96" s="133">
        <v>0</v>
      </c>
      <c r="M96" s="14">
        <v>0</v>
      </c>
      <c r="N96" s="14">
        <v>0</v>
      </c>
      <c r="O96" s="51"/>
    </row>
    <row r="97" spans="1:16" ht="25.15" customHeight="1">
      <c r="A97" s="50"/>
      <c r="B97" s="50" t="s">
        <v>88</v>
      </c>
      <c r="D97" s="40"/>
      <c r="E97" s="40"/>
      <c r="F97" s="129">
        <v>2296684608</v>
      </c>
      <c r="G97" s="129">
        <v>4936551288</v>
      </c>
      <c r="H97" s="49">
        <f>SUM(H95:H96)</f>
        <v>5952860718</v>
      </c>
      <c r="I97" s="49">
        <f>SUM(I95:I96)</f>
        <v>7483836373</v>
      </c>
      <c r="J97" s="21"/>
      <c r="K97" s="129">
        <v>1223212586</v>
      </c>
      <c r="L97" s="129">
        <v>3492117805</v>
      </c>
      <c r="M97" s="49">
        <f>SUM(M95:M96)</f>
        <v>3637135830</v>
      </c>
      <c r="N97" s="49">
        <f>SUM(N95:N96)</f>
        <v>4486982381</v>
      </c>
      <c r="O97" s="48"/>
    </row>
    <row r="98" spans="1:16" ht="25.15" customHeight="1" thickBot="1">
      <c r="A98" s="50" t="s">
        <v>89</v>
      </c>
      <c r="B98" s="50"/>
      <c r="C98" s="50"/>
      <c r="D98" s="40"/>
      <c r="E98" s="40"/>
      <c r="F98" s="130">
        <v>8159996424</v>
      </c>
      <c r="G98" s="130">
        <v>11335240556</v>
      </c>
      <c r="H98" s="26">
        <f>+H97+H69</f>
        <v>15536610522</v>
      </c>
      <c r="I98" s="26">
        <f>+I97+I69</f>
        <v>24363728453</v>
      </c>
      <c r="J98" s="21"/>
      <c r="K98" s="130">
        <v>2423125296</v>
      </c>
      <c r="L98" s="130">
        <v>5779317353</v>
      </c>
      <c r="M98" s="26">
        <f>+M97+M69</f>
        <v>7736774885</v>
      </c>
      <c r="N98" s="26">
        <f>+N97+N69</f>
        <v>11064557216</v>
      </c>
      <c r="O98" s="48"/>
      <c r="P98" s="47"/>
    </row>
    <row r="99" spans="1:16" ht="25.15" customHeight="1" thickTop="1">
      <c r="A99" s="45"/>
      <c r="B99" s="45"/>
      <c r="C99" s="45"/>
      <c r="D99" s="45"/>
      <c r="E99" s="45"/>
      <c r="F99" s="42"/>
      <c r="G99" s="42"/>
      <c r="H99" s="42"/>
      <c r="I99" s="42"/>
      <c r="J99" s="42"/>
      <c r="K99" s="42"/>
      <c r="L99" s="42"/>
      <c r="M99" s="42"/>
      <c r="N99" s="42"/>
      <c r="O99" s="42"/>
    </row>
    <row r="100" spans="1:16" ht="25.15" customHeight="1">
      <c r="A100" s="46"/>
      <c r="B100" s="45"/>
      <c r="C100" s="45"/>
      <c r="D100" s="45"/>
      <c r="E100" s="45"/>
      <c r="F100" s="42"/>
      <c r="G100" s="44"/>
      <c r="H100" s="44"/>
      <c r="I100" s="42"/>
      <c r="J100" s="42"/>
      <c r="K100" s="42"/>
      <c r="L100" s="42"/>
      <c r="M100" s="44"/>
      <c r="N100" s="42"/>
      <c r="O100" s="43"/>
    </row>
    <row r="101" spans="1:16" ht="25.15" customHeight="1">
      <c r="B101" s="40"/>
      <c r="C101" s="40"/>
      <c r="D101" s="40"/>
      <c r="E101" s="40"/>
      <c r="F101" s="41"/>
      <c r="G101" s="41"/>
      <c r="H101" s="41"/>
      <c r="I101" s="41"/>
      <c r="J101" s="41"/>
      <c r="K101" s="41"/>
      <c r="L101" s="41"/>
      <c r="M101" s="41"/>
      <c r="N101" s="41"/>
      <c r="O101" s="37"/>
    </row>
    <row r="102" spans="1:16" ht="25.15" customHeight="1">
      <c r="A102" s="40"/>
      <c r="B102" s="40"/>
      <c r="C102" s="40"/>
      <c r="D102" s="40"/>
      <c r="E102" s="40"/>
      <c r="F102" s="38"/>
      <c r="G102" s="38"/>
      <c r="H102" s="38"/>
      <c r="I102" s="38"/>
      <c r="J102" s="38"/>
      <c r="K102" s="38"/>
      <c r="L102" s="38"/>
      <c r="M102" s="38"/>
      <c r="N102" s="38"/>
      <c r="O102" s="37"/>
    </row>
    <row r="103" spans="1:16" ht="25.15" customHeight="1">
      <c r="A103" s="40"/>
      <c r="B103" s="40"/>
      <c r="D103" s="39"/>
      <c r="E103" s="39"/>
      <c r="F103" s="34"/>
      <c r="G103" s="38"/>
      <c r="H103" s="38"/>
      <c r="I103" s="38"/>
      <c r="J103" s="38"/>
      <c r="K103" s="38"/>
      <c r="L103" s="38"/>
      <c r="M103" s="38"/>
      <c r="N103" s="38"/>
      <c r="O103" s="37"/>
    </row>
    <row r="104" spans="1:16" ht="25.15" customHeight="1">
      <c r="D104" s="35"/>
      <c r="E104" s="36"/>
      <c r="F104" s="34"/>
      <c r="O104" s="33"/>
    </row>
    <row r="105" spans="1:16" ht="24.75" customHeight="1">
      <c r="C105" s="35"/>
    </row>
    <row r="106" spans="1:16" ht="26.65" customHeight="1"/>
    <row r="107" spans="1:16" ht="26.65" customHeight="1"/>
    <row r="108" spans="1:16" ht="26.65" customHeight="1"/>
  </sheetData>
  <mergeCells count="17">
    <mergeCell ref="A40:N40"/>
    <mergeCell ref="A71:N71"/>
    <mergeCell ref="F42:I42"/>
    <mergeCell ref="F75:I75"/>
    <mergeCell ref="F5:I5"/>
    <mergeCell ref="K5:N5"/>
    <mergeCell ref="K42:N42"/>
    <mergeCell ref="A1:N1"/>
    <mergeCell ref="A2:N2"/>
    <mergeCell ref="A3:N3"/>
    <mergeCell ref="A38:N38"/>
    <mergeCell ref="A39:N39"/>
    <mergeCell ref="K75:N75"/>
    <mergeCell ref="A72:N72"/>
    <mergeCell ref="A73:N73"/>
    <mergeCell ref="A43:E43"/>
    <mergeCell ref="A76:E76"/>
  </mergeCells>
  <pageMargins left="0.7" right="0.19685039370078741" top="0.59055118110236227" bottom="0.39370078740157483" header="0.31496062992125984" footer="0.39370078740157483"/>
  <pageSetup paperSize="9" scale="51" orientation="portrait" r:id="rId1"/>
  <rowBreaks count="1" manualBreakCount="1">
    <brk id="70" max="20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148EF-FEC6-4669-BD6E-15DA9C53B1DC}">
  <sheetPr codeName="Sheet2">
    <tabColor rgb="FFFFCCFF"/>
  </sheetPr>
  <dimension ref="A1:AB154"/>
  <sheetViews>
    <sheetView showGridLines="0" topLeftCell="B105" zoomScale="90" zoomScaleNormal="90" zoomScaleSheetLayoutView="81" workbookViewId="0">
      <selection activeCell="M7" sqref="M7"/>
    </sheetView>
  </sheetViews>
  <sheetFormatPr defaultColWidth="10.453125" defaultRowHeight="22.15" customHeight="1"/>
  <cols>
    <col min="1" max="4" width="8.453125" style="13" customWidth="1"/>
    <col min="5" max="5" width="16.81640625" style="13" customWidth="1"/>
    <col min="6" max="8" width="14.26953125" style="13" customWidth="1"/>
    <col min="9" max="9" width="14.26953125" style="13" bestFit="1" customWidth="1"/>
    <col min="10" max="11" width="14.26953125" style="13" customWidth="1"/>
    <col min="12" max="12" width="15.26953125" style="13" customWidth="1"/>
    <col min="13" max="13" width="14.26953125" style="13" bestFit="1" customWidth="1"/>
    <col min="14" max="14" width="14.26953125" style="13" customWidth="1"/>
    <col min="15" max="15" width="1.7265625" style="13" customWidth="1"/>
    <col min="16" max="16" width="10.453125" style="13"/>
    <col min="17" max="17" width="1.26953125" style="13" customWidth="1"/>
    <col min="18" max="16384" width="10.453125" style="13"/>
  </cols>
  <sheetData>
    <row r="1" spans="1:14" ht="21" customHeight="1">
      <c r="A1" s="277"/>
      <c r="B1" s="277"/>
      <c r="C1" s="277"/>
      <c r="D1" s="277"/>
      <c r="E1" s="277"/>
      <c r="F1" s="277"/>
      <c r="G1" s="277"/>
      <c r="H1" s="277"/>
      <c r="I1" s="277"/>
      <c r="J1" s="277"/>
      <c r="K1" s="277"/>
      <c r="L1" s="277"/>
      <c r="M1" s="277"/>
      <c r="N1" s="277"/>
    </row>
    <row r="2" spans="1:14" s="151" customFormat="1" ht="21" customHeight="1">
      <c r="A2" s="278" t="s">
        <v>0</v>
      </c>
      <c r="B2" s="278"/>
      <c r="C2" s="278"/>
      <c r="D2" s="278"/>
      <c r="E2" s="278"/>
      <c r="F2" s="278"/>
      <c r="G2" s="278"/>
      <c r="H2" s="278"/>
      <c r="I2" s="278"/>
      <c r="J2" s="278"/>
      <c r="K2" s="278"/>
      <c r="L2" s="278"/>
      <c r="M2" s="278"/>
      <c r="N2" s="278"/>
    </row>
    <row r="3" spans="1:14" s="151" customFormat="1" ht="21" customHeight="1">
      <c r="A3" s="278" t="s">
        <v>90</v>
      </c>
      <c r="B3" s="278"/>
      <c r="C3" s="278"/>
      <c r="D3" s="278"/>
      <c r="E3" s="278"/>
      <c r="F3" s="278"/>
      <c r="G3" s="278"/>
      <c r="H3" s="278"/>
      <c r="I3" s="278"/>
      <c r="J3" s="278"/>
      <c r="K3" s="278"/>
      <c r="L3" s="278"/>
      <c r="M3" s="278"/>
      <c r="N3" s="278"/>
    </row>
    <row r="4" spans="1:14" s="151" customFormat="1" ht="21" customHeight="1">
      <c r="A4" s="278" t="s">
        <v>91</v>
      </c>
      <c r="B4" s="278"/>
      <c r="C4" s="278"/>
      <c r="D4" s="278"/>
      <c r="E4" s="278"/>
      <c r="F4" s="278"/>
      <c r="G4" s="278"/>
      <c r="H4" s="278"/>
      <c r="I4" s="278"/>
      <c r="J4" s="278"/>
      <c r="K4" s="278"/>
      <c r="L4" s="278"/>
      <c r="M4" s="278"/>
      <c r="N4" s="278"/>
    </row>
    <row r="5" spans="1:14" ht="21" customHeight="1">
      <c r="A5" s="100"/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</row>
    <row r="6" spans="1:14" ht="21" customHeight="1">
      <c r="A6" s="137"/>
      <c r="B6" s="137"/>
      <c r="C6" s="137"/>
      <c r="D6" s="137"/>
      <c r="E6" s="137"/>
      <c r="F6" s="279" t="s">
        <v>3</v>
      </c>
      <c r="G6" s="279"/>
      <c r="H6" s="279"/>
      <c r="I6" s="279"/>
      <c r="J6" s="247"/>
      <c r="K6" s="280" t="s">
        <v>4</v>
      </c>
      <c r="L6" s="280"/>
      <c r="M6" s="280"/>
      <c r="N6" s="280"/>
    </row>
    <row r="7" spans="1:14" ht="21" customHeight="1">
      <c r="A7" s="10"/>
      <c r="B7" s="10"/>
      <c r="C7" s="10"/>
      <c r="D7" s="10"/>
      <c r="E7" s="10"/>
      <c r="F7" s="172" t="s">
        <v>6</v>
      </c>
      <c r="G7" s="171" t="s">
        <v>7</v>
      </c>
      <c r="H7" s="109" t="s">
        <v>8</v>
      </c>
      <c r="I7" s="109" t="s">
        <v>9</v>
      </c>
      <c r="J7" s="101"/>
      <c r="K7" s="178" t="s">
        <v>6</v>
      </c>
      <c r="L7" s="177" t="s">
        <v>7</v>
      </c>
      <c r="M7" s="109" t="s">
        <v>8</v>
      </c>
      <c r="N7" s="109" t="s">
        <v>9</v>
      </c>
    </row>
    <row r="8" spans="1:14" ht="21" customHeight="1">
      <c r="A8" s="10" t="s">
        <v>92</v>
      </c>
      <c r="F8" s="170"/>
      <c r="G8" s="170"/>
      <c r="H8" s="3"/>
      <c r="I8" s="170"/>
      <c r="J8" s="170"/>
      <c r="L8" s="12"/>
      <c r="M8" s="3"/>
      <c r="N8" s="12"/>
    </row>
    <row r="9" spans="1:14" ht="21" customHeight="1">
      <c r="A9" s="151" t="s">
        <v>93</v>
      </c>
      <c r="F9" s="14">
        <v>870749447</v>
      </c>
      <c r="G9" s="14">
        <v>1086624365</v>
      </c>
      <c r="H9" s="14">
        <v>1353019994</v>
      </c>
      <c r="I9" s="14">
        <v>0</v>
      </c>
      <c r="J9" s="14"/>
      <c r="K9" s="14">
        <v>469776027</v>
      </c>
      <c r="L9" s="14">
        <v>712826820</v>
      </c>
      <c r="M9" s="14">
        <v>481317831</v>
      </c>
      <c r="N9" s="14">
        <v>936194953</v>
      </c>
    </row>
    <row r="10" spans="1:14" ht="21" customHeight="1">
      <c r="A10" s="13" t="s">
        <v>94</v>
      </c>
      <c r="F10" s="14"/>
      <c r="G10" s="14"/>
      <c r="H10" s="14"/>
      <c r="I10" s="14"/>
      <c r="J10" s="14"/>
      <c r="L10" s="14"/>
      <c r="M10" s="14"/>
      <c r="N10" s="14"/>
    </row>
    <row r="11" spans="1:14" ht="21" customHeight="1">
      <c r="A11" s="13" t="s">
        <v>95</v>
      </c>
      <c r="F11" s="14"/>
      <c r="G11" s="14"/>
      <c r="H11" s="14"/>
      <c r="I11" s="14"/>
      <c r="J11" s="14"/>
      <c r="L11" s="14"/>
      <c r="M11" s="14"/>
      <c r="N11" s="14"/>
    </row>
    <row r="12" spans="1:14" ht="21" customHeight="1">
      <c r="B12" s="150" t="s">
        <v>96</v>
      </c>
      <c r="F12" s="14">
        <v>193570425</v>
      </c>
      <c r="G12" s="14">
        <v>301793487</v>
      </c>
      <c r="H12" s="14">
        <v>288355186</v>
      </c>
      <c r="I12" s="98">
        <v>308224414</v>
      </c>
      <c r="J12" s="98"/>
      <c r="K12" s="14">
        <v>2673357</v>
      </c>
      <c r="L12" s="14">
        <v>871964</v>
      </c>
      <c r="M12" s="106">
        <v>10269654</v>
      </c>
      <c r="N12" s="106">
        <v>35108641</v>
      </c>
    </row>
    <row r="13" spans="1:14" ht="21" customHeight="1">
      <c r="B13" s="151" t="s">
        <v>97</v>
      </c>
      <c r="F13" s="14">
        <v>-703392</v>
      </c>
      <c r="G13" s="14">
        <v>-1465622</v>
      </c>
      <c r="H13" s="14">
        <v>-11512591</v>
      </c>
      <c r="I13" s="102">
        <v>-27641369</v>
      </c>
      <c r="J13" s="102"/>
      <c r="K13" s="14">
        <v>-48607702</v>
      </c>
      <c r="L13" s="14">
        <v>-88505697</v>
      </c>
      <c r="M13" s="102">
        <v>-206252127</v>
      </c>
      <c r="N13" s="102">
        <v>-343984220</v>
      </c>
    </row>
    <row r="14" spans="1:14" ht="21" customHeight="1">
      <c r="B14" s="150" t="s">
        <v>98</v>
      </c>
      <c r="F14" s="14">
        <v>8442143</v>
      </c>
      <c r="G14" s="14">
        <v>4188034</v>
      </c>
      <c r="H14" s="14">
        <v>3561810</v>
      </c>
      <c r="I14" s="102">
        <v>11282560</v>
      </c>
      <c r="J14" s="102"/>
      <c r="K14" s="14">
        <v>23976793</v>
      </c>
      <c r="L14" s="14">
        <v>28187712</v>
      </c>
      <c r="M14" s="102">
        <v>157124421</v>
      </c>
      <c r="N14" s="102">
        <v>319304615</v>
      </c>
    </row>
    <row r="15" spans="1:14" s="214" customFormat="1" ht="21" customHeight="1">
      <c r="B15" s="213" t="s">
        <v>99</v>
      </c>
      <c r="F15" s="216">
        <v>45041818</v>
      </c>
      <c r="G15" s="216">
        <v>65210734</v>
      </c>
      <c r="H15" s="216">
        <v>105336997</v>
      </c>
      <c r="I15" s="224">
        <v>144603902</v>
      </c>
      <c r="J15" s="168"/>
      <c r="K15" s="216">
        <v>9340271</v>
      </c>
      <c r="L15" s="216">
        <v>10539240</v>
      </c>
      <c r="M15" s="225">
        <v>14033900</v>
      </c>
      <c r="N15" s="225">
        <v>14832573</v>
      </c>
    </row>
    <row r="16" spans="1:14" s="214" customFormat="1" ht="21" customHeight="1">
      <c r="B16" s="213" t="s">
        <v>100</v>
      </c>
      <c r="F16" s="216">
        <v>950629</v>
      </c>
      <c r="G16" s="216">
        <v>1526014</v>
      </c>
      <c r="H16" s="216">
        <v>1731331</v>
      </c>
      <c r="I16" s="225">
        <v>3377848</v>
      </c>
      <c r="J16" s="106"/>
      <c r="K16" s="216">
        <v>909414</v>
      </c>
      <c r="L16" s="216">
        <v>1408938</v>
      </c>
      <c r="M16" s="225">
        <v>1523437</v>
      </c>
      <c r="N16" s="225">
        <v>3128456</v>
      </c>
    </row>
    <row r="17" spans="1:14" ht="21" customHeight="1">
      <c r="B17" s="150" t="s">
        <v>101</v>
      </c>
      <c r="F17" s="14">
        <v>134556</v>
      </c>
      <c r="G17" s="14">
        <v>136207</v>
      </c>
      <c r="H17" s="14">
        <v>-107499</v>
      </c>
      <c r="I17" s="168">
        <v>7495205</v>
      </c>
      <c r="J17" s="168"/>
      <c r="K17" s="14">
        <v>68890</v>
      </c>
      <c r="L17" s="14">
        <v>117389</v>
      </c>
      <c r="M17" s="168">
        <v>330538</v>
      </c>
      <c r="N17" s="31">
        <v>176231</v>
      </c>
    </row>
    <row r="18" spans="1:14" ht="21" customHeight="1">
      <c r="B18" s="150" t="s">
        <v>102</v>
      </c>
      <c r="F18" s="14">
        <v>-446525</v>
      </c>
      <c r="G18" s="14">
        <v>-156643</v>
      </c>
      <c r="H18" s="14">
        <v>1648163</v>
      </c>
      <c r="I18" s="105">
        <v>1631115</v>
      </c>
      <c r="J18" s="105"/>
      <c r="K18" s="14">
        <v>-430037</v>
      </c>
      <c r="L18" s="14">
        <v>-242835</v>
      </c>
      <c r="M18" s="31">
        <v>-4672</v>
      </c>
      <c r="N18" s="168">
        <v>0</v>
      </c>
    </row>
    <row r="19" spans="1:14" ht="21" customHeight="1">
      <c r="B19" s="150" t="s">
        <v>103</v>
      </c>
      <c r="F19" s="14">
        <v>0</v>
      </c>
      <c r="G19" s="14">
        <v>-33279930</v>
      </c>
      <c r="H19" s="14">
        <v>-207229165</v>
      </c>
      <c r="I19" s="31">
        <v>-170721783</v>
      </c>
      <c r="J19" s="31"/>
      <c r="K19" s="13">
        <v>0</v>
      </c>
      <c r="L19" s="14">
        <v>-30540473</v>
      </c>
      <c r="M19" s="31">
        <v>-147000000</v>
      </c>
      <c r="N19" s="168">
        <v>-130000000</v>
      </c>
    </row>
    <row r="20" spans="1:14" ht="21" customHeight="1">
      <c r="B20" s="150" t="s">
        <v>104</v>
      </c>
      <c r="F20" s="14">
        <v>0</v>
      </c>
      <c r="G20" s="14">
        <v>-33196243</v>
      </c>
      <c r="H20" s="14">
        <v>-223288056</v>
      </c>
      <c r="I20" s="31">
        <v>-103333111</v>
      </c>
      <c r="J20" s="31"/>
      <c r="K20" s="14">
        <v>0</v>
      </c>
      <c r="L20" s="14">
        <v>0</v>
      </c>
      <c r="M20" s="31">
        <v>0</v>
      </c>
      <c r="N20" s="31">
        <v>0</v>
      </c>
    </row>
    <row r="21" spans="1:14" ht="21" customHeight="1">
      <c r="B21" s="150" t="s">
        <v>105</v>
      </c>
      <c r="F21" s="14">
        <v>0</v>
      </c>
      <c r="G21" s="14">
        <v>32694866</v>
      </c>
      <c r="H21" s="14">
        <v>8684006</v>
      </c>
      <c r="I21" s="31">
        <v>16490561</v>
      </c>
      <c r="J21" s="31"/>
      <c r="K21" s="14">
        <v>0</v>
      </c>
      <c r="L21" s="14">
        <v>0</v>
      </c>
      <c r="M21" s="31">
        <v>0</v>
      </c>
      <c r="N21" s="31">
        <v>0</v>
      </c>
    </row>
    <row r="22" spans="1:14" ht="21" customHeight="1">
      <c r="B22" s="150" t="s">
        <v>106</v>
      </c>
      <c r="F22" s="14">
        <v>0</v>
      </c>
      <c r="G22" s="31">
        <v>0</v>
      </c>
      <c r="H22" s="14">
        <v>2134560</v>
      </c>
      <c r="I22" s="31">
        <v>0</v>
      </c>
      <c r="J22" s="31"/>
      <c r="K22" s="14">
        <v>0</v>
      </c>
      <c r="L22" s="14">
        <v>0</v>
      </c>
      <c r="M22" s="31">
        <v>0</v>
      </c>
      <c r="N22" s="31">
        <v>0</v>
      </c>
    </row>
    <row r="23" spans="1:14" ht="21" customHeight="1">
      <c r="B23" s="150" t="s">
        <v>107</v>
      </c>
      <c r="F23" s="14">
        <v>0</v>
      </c>
      <c r="G23" s="14">
        <v>-5923</v>
      </c>
      <c r="H23" s="14">
        <v>0</v>
      </c>
      <c r="I23" s="106">
        <v>0</v>
      </c>
      <c r="J23" s="106"/>
      <c r="K23" s="14">
        <v>0</v>
      </c>
      <c r="L23" s="14">
        <v>-5923</v>
      </c>
      <c r="M23" s="31">
        <v>0</v>
      </c>
      <c r="N23" s="89">
        <v>0</v>
      </c>
    </row>
    <row r="24" spans="1:14" ht="21" customHeight="1">
      <c r="B24" s="152" t="s">
        <v>108</v>
      </c>
      <c r="F24" s="191">
        <v>0</v>
      </c>
      <c r="G24" s="191">
        <v>0</v>
      </c>
      <c r="H24" s="14">
        <v>-390694</v>
      </c>
      <c r="I24" s="106">
        <v>0</v>
      </c>
      <c r="J24" s="106"/>
      <c r="K24" s="192">
        <v>0</v>
      </c>
      <c r="L24" s="192">
        <v>0</v>
      </c>
      <c r="M24" s="31">
        <v>-390694</v>
      </c>
      <c r="N24" s="106">
        <v>0</v>
      </c>
    </row>
    <row r="25" spans="1:14" ht="21" customHeight="1">
      <c r="B25" s="135" t="s">
        <v>109</v>
      </c>
      <c r="F25" s="191">
        <v>0</v>
      </c>
      <c r="G25" s="14">
        <v>0</v>
      </c>
      <c r="H25" s="106">
        <v>168222</v>
      </c>
      <c r="I25" s="106">
        <v>0</v>
      </c>
      <c r="J25" s="106"/>
      <c r="K25" s="31">
        <v>0</v>
      </c>
      <c r="L25" s="31">
        <v>0</v>
      </c>
      <c r="M25" s="31">
        <v>0</v>
      </c>
      <c r="N25" s="31">
        <v>0</v>
      </c>
    </row>
    <row r="26" spans="1:14" ht="21" customHeight="1">
      <c r="B26" s="135" t="s">
        <v>110</v>
      </c>
      <c r="F26" s="191">
        <v>0</v>
      </c>
      <c r="G26" s="14">
        <v>652087</v>
      </c>
      <c r="H26" s="106">
        <v>0</v>
      </c>
      <c r="I26" s="106">
        <v>0</v>
      </c>
      <c r="J26" s="106"/>
      <c r="K26" s="31">
        <v>0</v>
      </c>
      <c r="L26" s="31">
        <v>0</v>
      </c>
      <c r="M26" s="31">
        <v>0</v>
      </c>
      <c r="N26" s="31">
        <v>0</v>
      </c>
    </row>
    <row r="27" spans="1:14" ht="21" customHeight="1">
      <c r="B27" s="152" t="s">
        <v>111</v>
      </c>
      <c r="F27" s="191">
        <v>0</v>
      </c>
      <c r="G27" s="14">
        <v>-3196818</v>
      </c>
      <c r="H27" s="14">
        <v>-417496</v>
      </c>
      <c r="I27" s="31">
        <v>0</v>
      </c>
      <c r="J27" s="31"/>
      <c r="K27" s="31">
        <v>0</v>
      </c>
      <c r="L27" s="31">
        <v>0</v>
      </c>
      <c r="M27" s="31">
        <v>0</v>
      </c>
      <c r="N27" s="31">
        <v>0</v>
      </c>
    </row>
    <row r="28" spans="1:14" ht="21" customHeight="1">
      <c r="B28" s="152" t="s">
        <v>112</v>
      </c>
      <c r="F28" s="191">
        <v>0</v>
      </c>
      <c r="G28" s="191">
        <v>0</v>
      </c>
      <c r="H28" s="31">
        <v>0</v>
      </c>
      <c r="I28" s="106">
        <v>2381080</v>
      </c>
      <c r="J28" s="106"/>
      <c r="K28" s="192">
        <v>0</v>
      </c>
      <c r="L28" s="192">
        <v>0</v>
      </c>
      <c r="M28" s="31">
        <v>0</v>
      </c>
      <c r="N28" s="106">
        <v>0</v>
      </c>
    </row>
    <row r="29" spans="1:14" ht="21" customHeight="1">
      <c r="B29" s="152" t="s">
        <v>113</v>
      </c>
      <c r="F29" s="191">
        <v>0</v>
      </c>
      <c r="G29" s="191">
        <v>0</v>
      </c>
      <c r="H29" s="106">
        <v>2489799</v>
      </c>
      <c r="I29" s="31">
        <v>-328617</v>
      </c>
      <c r="J29" s="31"/>
      <c r="K29" s="192">
        <v>0</v>
      </c>
      <c r="L29" s="192">
        <v>0</v>
      </c>
      <c r="M29" s="31">
        <v>0</v>
      </c>
      <c r="N29" s="106">
        <v>0</v>
      </c>
    </row>
    <row r="30" spans="1:14" ht="21" customHeight="1">
      <c r="B30" s="150" t="s">
        <v>114</v>
      </c>
      <c r="F30" s="14">
        <v>0</v>
      </c>
      <c r="G30" s="14">
        <v>0</v>
      </c>
      <c r="H30" s="14">
        <v>0</v>
      </c>
      <c r="I30" s="31">
        <v>0</v>
      </c>
      <c r="J30" s="31"/>
      <c r="K30" s="14">
        <v>-457488159</v>
      </c>
      <c r="L30" s="14">
        <v>-697200000</v>
      </c>
      <c r="M30" s="106">
        <v>-398400000</v>
      </c>
      <c r="N30" s="106">
        <v>-799198600</v>
      </c>
    </row>
    <row r="31" spans="1:14" ht="21" customHeight="1">
      <c r="B31" s="13" t="s">
        <v>115</v>
      </c>
      <c r="F31" s="14">
        <v>7901841</v>
      </c>
      <c r="G31" s="14">
        <v>10023202</v>
      </c>
      <c r="H31" s="14">
        <v>11250827</v>
      </c>
      <c r="I31" s="106">
        <v>9631059</v>
      </c>
      <c r="J31" s="106"/>
      <c r="K31" s="14">
        <v>7090843</v>
      </c>
      <c r="L31" s="14">
        <v>8284833</v>
      </c>
      <c r="M31" s="14">
        <v>10369113</v>
      </c>
      <c r="N31" s="108">
        <v>11888799</v>
      </c>
    </row>
    <row r="32" spans="1:14" ht="21" customHeight="1">
      <c r="A32" s="150" t="s">
        <v>116</v>
      </c>
      <c r="H32" s="14"/>
      <c r="L32" s="106"/>
      <c r="M32" s="14"/>
      <c r="N32" s="106"/>
    </row>
    <row r="33" spans="1:14" ht="21" customHeight="1">
      <c r="A33" s="150"/>
      <c r="B33" s="150" t="s">
        <v>117</v>
      </c>
      <c r="F33" s="14">
        <v>128232849</v>
      </c>
      <c r="G33" s="14">
        <v>-77812984</v>
      </c>
      <c r="H33" s="14">
        <v>3841284</v>
      </c>
      <c r="I33" s="169">
        <v>-224944312</v>
      </c>
      <c r="J33" s="169"/>
      <c r="K33" s="14">
        <v>78219567</v>
      </c>
      <c r="L33" s="14">
        <v>-44737455</v>
      </c>
      <c r="M33" s="14">
        <v>-49838633</v>
      </c>
      <c r="N33" s="102">
        <v>-132471072</v>
      </c>
    </row>
    <row r="34" spans="1:14" ht="21" customHeight="1">
      <c r="A34" s="150"/>
      <c r="B34" s="150" t="s">
        <v>118</v>
      </c>
      <c r="F34" s="14">
        <v>-985016130</v>
      </c>
      <c r="G34" s="14">
        <v>-982678212</v>
      </c>
      <c r="H34" s="14">
        <v>125556958</v>
      </c>
      <c r="I34" s="169">
        <v>-1300154456</v>
      </c>
      <c r="J34" s="169"/>
      <c r="K34" s="14">
        <v>0</v>
      </c>
      <c r="L34" s="14">
        <v>0</v>
      </c>
      <c r="M34" s="14">
        <v>0</v>
      </c>
      <c r="N34" s="31">
        <v>0</v>
      </c>
    </row>
    <row r="35" spans="1:14" ht="21" customHeight="1">
      <c r="A35" s="150"/>
      <c r="B35" s="150" t="s">
        <v>119</v>
      </c>
      <c r="F35" s="14">
        <v>-35042209</v>
      </c>
      <c r="G35" s="14">
        <v>-763154950</v>
      </c>
      <c r="H35" s="14">
        <v>-4161337319</v>
      </c>
      <c r="I35" s="169">
        <v>-3018834350</v>
      </c>
      <c r="J35" s="169"/>
      <c r="K35" s="14">
        <v>0</v>
      </c>
      <c r="L35" s="14">
        <v>0</v>
      </c>
      <c r="M35" s="14">
        <v>0</v>
      </c>
      <c r="N35" s="102">
        <v>0</v>
      </c>
    </row>
    <row r="36" spans="1:14" ht="21" customHeight="1">
      <c r="A36" s="150"/>
      <c r="B36" s="150" t="s">
        <v>120</v>
      </c>
      <c r="F36" s="14">
        <v>2321065</v>
      </c>
      <c r="G36" s="14">
        <v>1111574</v>
      </c>
      <c r="H36" s="14">
        <v>127985</v>
      </c>
      <c r="I36" s="169">
        <v>-29283054</v>
      </c>
      <c r="J36" s="169"/>
      <c r="K36" s="14">
        <v>0</v>
      </c>
      <c r="L36" s="14">
        <v>0</v>
      </c>
      <c r="M36" s="14">
        <v>0</v>
      </c>
      <c r="N36" s="102">
        <v>-80000</v>
      </c>
    </row>
    <row r="37" spans="1:14" ht="21" customHeight="1">
      <c r="A37" s="150"/>
      <c r="B37" s="150" t="s">
        <v>121</v>
      </c>
      <c r="F37" s="14">
        <v>498266720</v>
      </c>
      <c r="G37" s="14">
        <v>-19270160</v>
      </c>
      <c r="H37" s="14">
        <v>269300655</v>
      </c>
      <c r="I37" s="168">
        <v>-64558344</v>
      </c>
      <c r="J37" s="168"/>
      <c r="K37" s="14">
        <v>101680086</v>
      </c>
      <c r="L37" s="14">
        <v>16955468</v>
      </c>
      <c r="M37" s="14">
        <v>69327962</v>
      </c>
      <c r="N37" s="168">
        <v>10923996</v>
      </c>
    </row>
    <row r="38" spans="1:14" ht="21" customHeight="1">
      <c r="A38" s="150"/>
      <c r="B38" s="150" t="s">
        <v>122</v>
      </c>
      <c r="F38" s="14">
        <v>-132977319</v>
      </c>
      <c r="G38" s="14">
        <v>-244000313</v>
      </c>
      <c r="H38" s="14">
        <v>52869450</v>
      </c>
      <c r="I38" s="106">
        <v>1550985924</v>
      </c>
      <c r="J38" s="106"/>
      <c r="K38" s="14">
        <v>0</v>
      </c>
      <c r="L38" s="14">
        <v>0</v>
      </c>
      <c r="M38" s="31">
        <v>0</v>
      </c>
      <c r="N38" s="31">
        <v>0</v>
      </c>
    </row>
    <row r="39" spans="1:14" ht="21" customHeight="1">
      <c r="A39" s="150"/>
      <c r="B39" s="135" t="s">
        <v>123</v>
      </c>
      <c r="F39" s="14">
        <v>0</v>
      </c>
      <c r="G39" s="14">
        <v>0</v>
      </c>
      <c r="H39" s="106">
        <v>-536000</v>
      </c>
      <c r="I39" s="106">
        <v>-1352000</v>
      </c>
      <c r="J39" s="106"/>
      <c r="K39" s="14">
        <v>0</v>
      </c>
      <c r="L39" s="14">
        <v>0</v>
      </c>
      <c r="M39" s="108">
        <v>-536000</v>
      </c>
      <c r="N39" s="106">
        <v>-1352000</v>
      </c>
    </row>
    <row r="40" spans="1:14" ht="21" customHeight="1">
      <c r="A40" s="150"/>
      <c r="B40" s="150" t="s">
        <v>124</v>
      </c>
      <c r="F40" s="19">
        <v>1563510</v>
      </c>
      <c r="G40" s="14">
        <v>4473059</v>
      </c>
      <c r="H40" s="14">
        <v>2754555</v>
      </c>
      <c r="I40" s="103">
        <v>3739474</v>
      </c>
      <c r="J40" s="108"/>
      <c r="K40" s="14">
        <v>0</v>
      </c>
      <c r="L40" s="14">
        <v>0</v>
      </c>
      <c r="M40" s="24">
        <v>0</v>
      </c>
      <c r="N40" s="24">
        <v>0</v>
      </c>
    </row>
    <row r="41" spans="1:14" ht="21" customHeight="1">
      <c r="A41" s="153" t="s">
        <v>125</v>
      </c>
      <c r="B41" s="150"/>
      <c r="F41" s="14">
        <v>602989428</v>
      </c>
      <c r="G41" s="155">
        <v>-649784169</v>
      </c>
      <c r="H41" s="155">
        <f>SUM(H9:H40)</f>
        <v>-2371987038</v>
      </c>
      <c r="I41" s="155">
        <f>SUM(I9:I40)</f>
        <v>-2881308254</v>
      </c>
      <c r="J41" s="14"/>
      <c r="K41" s="155">
        <v>187209350</v>
      </c>
      <c r="L41" s="155">
        <v>-82040019</v>
      </c>
      <c r="M41" s="155">
        <f>SUM(M9:M40)</f>
        <v>-58125270</v>
      </c>
      <c r="N41" s="155">
        <f>SUM(N9:N40)</f>
        <v>-75527628</v>
      </c>
    </row>
    <row r="42" spans="1:14" ht="21" customHeight="1">
      <c r="B42" s="13" t="s">
        <v>126</v>
      </c>
      <c r="F42" s="14" t="s">
        <v>127</v>
      </c>
      <c r="G42" s="14" t="s">
        <v>128</v>
      </c>
      <c r="H42" s="14">
        <v>-290338936</v>
      </c>
      <c r="I42" s="226">
        <v>-617342257</v>
      </c>
      <c r="J42" s="108"/>
      <c r="K42" s="14" t="s">
        <v>129</v>
      </c>
      <c r="L42" s="14" t="s">
        <v>130</v>
      </c>
      <c r="M42" s="14">
        <v>-104268714</v>
      </c>
      <c r="N42" s="102">
        <v>-227397617</v>
      </c>
    </row>
    <row r="43" spans="1:14" ht="21" customHeight="1">
      <c r="B43" s="13" t="s">
        <v>131</v>
      </c>
      <c r="F43" s="14">
        <v>0</v>
      </c>
      <c r="G43" s="14">
        <v>0</v>
      </c>
      <c r="H43" s="14">
        <v>0</v>
      </c>
      <c r="I43" s="106">
        <v>14424619</v>
      </c>
      <c r="J43" s="108"/>
      <c r="K43" s="14">
        <v>0</v>
      </c>
      <c r="L43" s="14">
        <v>0</v>
      </c>
      <c r="M43" s="14">
        <v>0</v>
      </c>
      <c r="N43" s="102">
        <v>14147009</v>
      </c>
    </row>
    <row r="44" spans="1:14" ht="21" customHeight="1">
      <c r="B44" s="13" t="s">
        <v>132</v>
      </c>
      <c r="F44" s="14" t="s">
        <v>133</v>
      </c>
      <c r="G44" s="14" t="s">
        <v>134</v>
      </c>
      <c r="H44" s="14">
        <v>-303477373</v>
      </c>
      <c r="I44" s="106">
        <v>-343744227</v>
      </c>
      <c r="J44" s="108"/>
      <c r="K44" s="14" t="s">
        <v>135</v>
      </c>
      <c r="L44" s="14" t="s">
        <v>136</v>
      </c>
      <c r="M44" s="14">
        <v>-14590866</v>
      </c>
      <c r="N44" s="102">
        <v>-22981818</v>
      </c>
    </row>
    <row r="45" spans="1:14" ht="21" customHeight="1">
      <c r="A45" s="10" t="s">
        <v>137</v>
      </c>
      <c r="F45" s="17" t="s">
        <v>138</v>
      </c>
      <c r="G45" s="17">
        <v>-1181637225</v>
      </c>
      <c r="H45" s="17">
        <f>SUM(H41:H44)</f>
        <v>-2965803347</v>
      </c>
      <c r="I45" s="17">
        <f>SUM(I41:I44)</f>
        <v>-3827970119</v>
      </c>
      <c r="J45" s="14"/>
      <c r="K45" s="17" t="s">
        <v>139</v>
      </c>
      <c r="L45" s="17">
        <v>-110312575</v>
      </c>
      <c r="M45" s="17">
        <f>SUM(M41:M44)</f>
        <v>-176984850</v>
      </c>
      <c r="N45" s="17">
        <f>SUM(N41:N44)</f>
        <v>-311760054</v>
      </c>
    </row>
    <row r="46" spans="1:14" ht="21" customHeight="1">
      <c r="F46" s="14"/>
      <c r="G46" s="14"/>
      <c r="L46" s="14"/>
      <c r="M46" s="15"/>
      <c r="N46" s="15"/>
    </row>
    <row r="47" spans="1:14" s="151" customFormat="1" ht="21" customHeight="1">
      <c r="A47" s="140"/>
      <c r="B47" s="141"/>
      <c r="C47" s="141"/>
      <c r="D47" s="141"/>
      <c r="E47" s="142"/>
      <c r="F47" s="13"/>
      <c r="G47" s="13"/>
      <c r="H47" s="27"/>
      <c r="I47" s="27"/>
      <c r="J47" s="27"/>
      <c r="K47" s="15"/>
      <c r="L47" s="15"/>
      <c r="M47" s="27"/>
      <c r="N47" s="27"/>
    </row>
    <row r="48" spans="1:14" s="151" customFormat="1" ht="26.25" customHeight="1">
      <c r="A48" s="278" t="s">
        <v>0</v>
      </c>
      <c r="B48" s="278"/>
      <c r="C48" s="278"/>
      <c r="D48" s="278"/>
      <c r="E48" s="278"/>
      <c r="F48" s="278"/>
      <c r="G48" s="278"/>
      <c r="H48" s="278"/>
      <c r="I48" s="278"/>
      <c r="J48" s="278"/>
      <c r="K48" s="278"/>
      <c r="L48" s="278"/>
      <c r="M48" s="278"/>
      <c r="N48" s="278"/>
    </row>
    <row r="49" spans="1:15" ht="26.25" customHeight="1">
      <c r="A49" s="278" t="s">
        <v>140</v>
      </c>
      <c r="B49" s="278"/>
      <c r="C49" s="278"/>
      <c r="D49" s="278"/>
      <c r="E49" s="278"/>
      <c r="F49" s="278"/>
      <c r="G49" s="278"/>
      <c r="H49" s="278"/>
      <c r="I49" s="278"/>
      <c r="J49" s="278"/>
      <c r="K49" s="278"/>
      <c r="L49" s="278"/>
      <c r="M49" s="278"/>
      <c r="N49" s="278"/>
    </row>
    <row r="50" spans="1:15" s="151" customFormat="1" ht="26.25" customHeight="1">
      <c r="A50" s="278" t="s">
        <v>91</v>
      </c>
      <c r="B50" s="278"/>
      <c r="C50" s="278"/>
      <c r="D50" s="278"/>
      <c r="E50" s="278"/>
      <c r="F50" s="278"/>
      <c r="G50" s="278"/>
      <c r="H50" s="278"/>
      <c r="I50" s="278"/>
      <c r="J50" s="278"/>
      <c r="K50" s="278"/>
      <c r="L50" s="278"/>
      <c r="M50" s="278"/>
      <c r="N50" s="278"/>
    </row>
    <row r="51" spans="1:15" ht="26.25" customHeight="1">
      <c r="A51" s="100"/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</row>
    <row r="52" spans="1:15" ht="26.25" customHeight="1">
      <c r="A52" s="137"/>
      <c r="B52" s="137"/>
      <c r="C52" s="137"/>
      <c r="D52" s="137"/>
      <c r="E52" s="137"/>
      <c r="F52" s="279" t="s">
        <v>3</v>
      </c>
      <c r="G52" s="279"/>
      <c r="H52" s="279"/>
      <c r="I52" s="279"/>
      <c r="J52" s="247"/>
      <c r="L52" s="10" t="s">
        <v>4</v>
      </c>
      <c r="M52" s="10"/>
      <c r="N52" s="10"/>
      <c r="O52" s="96"/>
    </row>
    <row r="53" spans="1:15" ht="26.25" customHeight="1">
      <c r="A53" s="10"/>
      <c r="B53" s="10"/>
      <c r="C53" s="10"/>
      <c r="D53" s="10"/>
      <c r="F53" s="174" t="s">
        <v>6</v>
      </c>
      <c r="G53" s="173" t="s">
        <v>7</v>
      </c>
      <c r="H53" s="101" t="s">
        <v>8</v>
      </c>
      <c r="I53" s="101" t="s">
        <v>9</v>
      </c>
      <c r="J53" s="101"/>
      <c r="K53" s="176" t="s">
        <v>6</v>
      </c>
      <c r="L53" s="175" t="s">
        <v>7</v>
      </c>
      <c r="M53" s="109" t="s">
        <v>8</v>
      </c>
      <c r="N53" s="109" t="s">
        <v>9</v>
      </c>
    </row>
    <row r="54" spans="1:15" ht="26.25" customHeight="1">
      <c r="A54" s="10" t="s">
        <v>141</v>
      </c>
    </row>
    <row r="55" spans="1:15" ht="26.25" customHeight="1">
      <c r="A55" s="10"/>
      <c r="B55" s="156" t="s">
        <v>142</v>
      </c>
      <c r="F55" s="106">
        <v>0</v>
      </c>
      <c r="G55" s="106">
        <v>-503171210</v>
      </c>
      <c r="H55" s="108">
        <v>-200000000</v>
      </c>
      <c r="I55" s="106">
        <v>0</v>
      </c>
      <c r="J55" s="106"/>
      <c r="K55" s="89">
        <v>0</v>
      </c>
      <c r="L55" s="106">
        <v>-503171210</v>
      </c>
      <c r="M55" s="108">
        <v>-200000000</v>
      </c>
      <c r="N55" s="106">
        <v>0</v>
      </c>
    </row>
    <row r="56" spans="1:15" ht="26.25" customHeight="1">
      <c r="A56" s="10"/>
      <c r="B56" s="156" t="s">
        <v>143</v>
      </c>
      <c r="F56" s="106">
        <v>0</v>
      </c>
      <c r="G56" s="106">
        <v>0</v>
      </c>
      <c r="H56" s="13">
        <v>703299508</v>
      </c>
      <c r="I56" s="106">
        <v>0</v>
      </c>
      <c r="J56" s="106"/>
      <c r="K56" s="89">
        <v>0</v>
      </c>
      <c r="L56" s="89">
        <v>0</v>
      </c>
      <c r="M56" s="108">
        <v>703826914</v>
      </c>
      <c r="N56" s="168">
        <v>0</v>
      </c>
    </row>
    <row r="57" spans="1:15" ht="26.25" customHeight="1">
      <c r="A57" s="10"/>
      <c r="B57" s="183" t="s">
        <v>144</v>
      </c>
      <c r="F57" s="106">
        <v>0</v>
      </c>
      <c r="G57" s="184">
        <v>49395384</v>
      </c>
      <c r="H57" s="106">
        <v>0</v>
      </c>
      <c r="I57" s="106">
        <v>0</v>
      </c>
      <c r="J57" s="106"/>
      <c r="K57" s="89">
        <v>0</v>
      </c>
      <c r="L57" s="184">
        <v>52365590</v>
      </c>
      <c r="M57" s="168">
        <v>0</v>
      </c>
      <c r="N57" s="168">
        <v>0</v>
      </c>
    </row>
    <row r="58" spans="1:15" ht="26.25" customHeight="1">
      <c r="A58" s="10"/>
      <c r="B58" s="156" t="s">
        <v>145</v>
      </c>
      <c r="F58" s="106">
        <v>0</v>
      </c>
      <c r="G58" s="106">
        <v>0</v>
      </c>
      <c r="H58" s="108">
        <v>159141808</v>
      </c>
      <c r="I58" s="106">
        <v>112516473</v>
      </c>
      <c r="J58" s="106"/>
      <c r="K58" s="89">
        <v>0</v>
      </c>
      <c r="L58" s="89">
        <v>0</v>
      </c>
      <c r="M58" s="108">
        <v>172480000</v>
      </c>
      <c r="N58" s="106">
        <v>111970000</v>
      </c>
    </row>
    <row r="59" spans="1:15" ht="26.25" customHeight="1">
      <c r="B59" s="156" t="s">
        <v>146</v>
      </c>
      <c r="F59" s="106">
        <v>0</v>
      </c>
      <c r="G59" s="106">
        <v>0</v>
      </c>
      <c r="H59" s="108">
        <v>-9060539</v>
      </c>
      <c r="I59" s="108">
        <v>-1044205218</v>
      </c>
      <c r="J59" s="108"/>
      <c r="K59" s="89">
        <v>0</v>
      </c>
      <c r="L59" s="106">
        <v>-48996500</v>
      </c>
      <c r="M59" s="108">
        <v>-68320400</v>
      </c>
      <c r="N59" s="106">
        <v>-1290461625</v>
      </c>
    </row>
    <row r="60" spans="1:15" ht="26.25" customHeight="1">
      <c r="A60" s="10"/>
      <c r="B60" s="156" t="s">
        <v>147</v>
      </c>
      <c r="F60" s="106">
        <v>0</v>
      </c>
      <c r="G60" s="106">
        <v>0</v>
      </c>
      <c r="H60" s="108">
        <v>-465079200</v>
      </c>
      <c r="I60" s="108">
        <v>-484086900</v>
      </c>
      <c r="J60" s="108"/>
      <c r="K60" s="89">
        <v>0</v>
      </c>
      <c r="L60" s="89">
        <v>0</v>
      </c>
      <c r="M60" s="108">
        <v>-465079200</v>
      </c>
      <c r="N60" s="106">
        <v>-484086900</v>
      </c>
    </row>
    <row r="61" spans="1:15" ht="26.25" customHeight="1">
      <c r="A61" s="10"/>
      <c r="B61" s="156" t="s">
        <v>148</v>
      </c>
      <c r="F61" s="106">
        <v>0</v>
      </c>
      <c r="G61" s="106">
        <v>0</v>
      </c>
      <c r="H61" s="108">
        <v>-42729043</v>
      </c>
      <c r="I61" s="108">
        <v>-67275000</v>
      </c>
      <c r="J61" s="108"/>
      <c r="K61" s="89">
        <v>0</v>
      </c>
      <c r="L61" s="89">
        <v>0</v>
      </c>
      <c r="M61" s="108">
        <v>-20004143</v>
      </c>
      <c r="N61" s="106">
        <v>0</v>
      </c>
    </row>
    <row r="62" spans="1:15" ht="26.25" customHeight="1">
      <c r="A62" s="10"/>
      <c r="B62" s="152" t="s">
        <v>149</v>
      </c>
      <c r="F62" s="106">
        <v>0</v>
      </c>
      <c r="G62" s="106">
        <v>0</v>
      </c>
      <c r="H62" s="108">
        <v>-11736707</v>
      </c>
      <c r="I62" s="108">
        <v>0</v>
      </c>
      <c r="J62" s="108"/>
      <c r="K62" s="89">
        <v>0</v>
      </c>
      <c r="L62" s="89">
        <v>0</v>
      </c>
      <c r="M62" s="108">
        <v>0</v>
      </c>
      <c r="N62" s="89">
        <v>0</v>
      </c>
    </row>
    <row r="63" spans="1:15" ht="26.25" customHeight="1">
      <c r="B63" s="150" t="s">
        <v>150</v>
      </c>
      <c r="F63" s="13">
        <v>98919</v>
      </c>
      <c r="G63" s="102">
        <v>-2762426</v>
      </c>
      <c r="H63" s="102">
        <v>-8134047</v>
      </c>
      <c r="I63" s="102">
        <v>-961960</v>
      </c>
      <c r="J63" s="102"/>
      <c r="K63" s="89">
        <v>0</v>
      </c>
      <c r="L63" s="89">
        <v>0</v>
      </c>
      <c r="M63" s="108">
        <v>0</v>
      </c>
      <c r="N63" s="89">
        <v>0</v>
      </c>
    </row>
    <row r="64" spans="1:15" ht="26.25" customHeight="1">
      <c r="B64" s="150" t="s">
        <v>151</v>
      </c>
      <c r="F64" s="14">
        <v>0</v>
      </c>
      <c r="G64" s="14">
        <v>0</v>
      </c>
      <c r="H64" s="14">
        <v>0</v>
      </c>
      <c r="I64" s="108">
        <v>0</v>
      </c>
      <c r="J64" s="108"/>
      <c r="K64" s="89">
        <v>0</v>
      </c>
      <c r="L64" s="89">
        <v>0</v>
      </c>
      <c r="M64" s="102">
        <v>2706282527</v>
      </c>
      <c r="N64" s="169">
        <v>4765566561</v>
      </c>
    </row>
    <row r="65" spans="2:14" ht="26.25" customHeight="1">
      <c r="B65" s="150" t="s">
        <v>152</v>
      </c>
      <c r="F65" s="14">
        <v>0</v>
      </c>
      <c r="G65" s="14">
        <v>0</v>
      </c>
      <c r="H65" s="14">
        <v>0</v>
      </c>
      <c r="I65" s="108">
        <v>0</v>
      </c>
      <c r="J65" s="108"/>
      <c r="K65" s="89">
        <v>0</v>
      </c>
      <c r="L65" s="89">
        <v>0</v>
      </c>
      <c r="M65" s="102">
        <v>-4947138099</v>
      </c>
      <c r="N65" s="102">
        <v>-6587340088</v>
      </c>
    </row>
    <row r="66" spans="2:14" ht="26.25" customHeight="1">
      <c r="B66" s="150" t="s">
        <v>153</v>
      </c>
      <c r="F66" s="14">
        <v>0</v>
      </c>
      <c r="G66" s="14">
        <v>0</v>
      </c>
      <c r="H66" s="108">
        <v>-76075000</v>
      </c>
      <c r="I66" s="167">
        <v>-69410000</v>
      </c>
      <c r="J66" s="167"/>
      <c r="K66" s="89">
        <v>0</v>
      </c>
      <c r="L66" s="89">
        <v>0</v>
      </c>
      <c r="M66" s="108">
        <v>-11800000</v>
      </c>
      <c r="N66" s="167">
        <v>-1410000</v>
      </c>
    </row>
    <row r="67" spans="2:14" ht="26.25" customHeight="1">
      <c r="B67" s="150" t="s">
        <v>154</v>
      </c>
      <c r="F67" s="14">
        <v>0</v>
      </c>
      <c r="G67" s="14">
        <v>0</v>
      </c>
      <c r="H67" s="108">
        <v>672507345</v>
      </c>
      <c r="I67" s="106">
        <v>491139163</v>
      </c>
      <c r="J67" s="106"/>
      <c r="K67" s="89">
        <v>0</v>
      </c>
      <c r="L67" s="89">
        <v>0</v>
      </c>
      <c r="M67" s="108">
        <v>672507345</v>
      </c>
      <c r="N67" s="106">
        <v>491139163</v>
      </c>
    </row>
    <row r="68" spans="2:14" ht="26.25" customHeight="1">
      <c r="B68" s="150" t="s">
        <v>155</v>
      </c>
      <c r="F68" s="14">
        <v>0</v>
      </c>
      <c r="G68" s="14">
        <v>0</v>
      </c>
      <c r="H68" s="108">
        <v>-228054590</v>
      </c>
      <c r="I68" s="167">
        <v>-200580000</v>
      </c>
      <c r="J68" s="167"/>
      <c r="K68" s="89">
        <v>0</v>
      </c>
      <c r="L68" s="89">
        <v>0</v>
      </c>
      <c r="M68" s="108">
        <v>-228054590</v>
      </c>
      <c r="N68" s="167">
        <v>-200580000</v>
      </c>
    </row>
    <row r="69" spans="2:14" ht="26.25" customHeight="1">
      <c r="B69" s="183" t="s">
        <v>156</v>
      </c>
      <c r="F69" s="14">
        <v>0</v>
      </c>
      <c r="G69" s="14">
        <v>0</v>
      </c>
      <c r="H69" s="14">
        <v>0</v>
      </c>
      <c r="I69" s="14">
        <v>0</v>
      </c>
      <c r="J69" s="14"/>
      <c r="K69" s="184">
        <v>1294694250</v>
      </c>
      <c r="L69" s="184">
        <v>825391074</v>
      </c>
      <c r="M69" s="14">
        <v>0</v>
      </c>
      <c r="N69" s="14">
        <v>0</v>
      </c>
    </row>
    <row r="70" spans="2:14" ht="26.25" customHeight="1">
      <c r="B70" s="183" t="s">
        <v>157</v>
      </c>
      <c r="F70" s="14">
        <v>0</v>
      </c>
      <c r="G70" s="14">
        <v>-50000000</v>
      </c>
      <c r="H70" s="14">
        <v>0</v>
      </c>
      <c r="I70" s="14">
        <v>0</v>
      </c>
      <c r="J70" s="14"/>
      <c r="K70" s="102">
        <v>-1437412598</v>
      </c>
      <c r="L70" s="102">
        <v>-2973496632</v>
      </c>
      <c r="M70" s="14">
        <v>0</v>
      </c>
      <c r="N70" s="14">
        <v>0</v>
      </c>
    </row>
    <row r="71" spans="2:14" ht="26.25" customHeight="1">
      <c r="B71" s="183" t="s">
        <v>158</v>
      </c>
      <c r="F71" s="184">
        <v>73801000</v>
      </c>
      <c r="G71" s="14">
        <v>0</v>
      </c>
      <c r="H71" s="14">
        <v>0</v>
      </c>
      <c r="I71" s="14">
        <v>0</v>
      </c>
      <c r="J71" s="14"/>
      <c r="K71" s="14">
        <v>0</v>
      </c>
      <c r="L71" s="14">
        <v>0</v>
      </c>
      <c r="M71" s="14">
        <v>0</v>
      </c>
      <c r="N71" s="14">
        <v>0</v>
      </c>
    </row>
    <row r="72" spans="2:14" ht="26.25" customHeight="1">
      <c r="B72" s="150" t="s">
        <v>159</v>
      </c>
      <c r="F72" s="184">
        <v>6937888</v>
      </c>
      <c r="G72" s="108">
        <v>1023099</v>
      </c>
      <c r="H72" s="14">
        <v>4303030</v>
      </c>
      <c r="I72" s="108">
        <v>12380290</v>
      </c>
      <c r="J72" s="108"/>
      <c r="K72" s="184">
        <v>11420741</v>
      </c>
      <c r="L72" s="184">
        <v>7938409</v>
      </c>
      <c r="M72" s="167">
        <v>75686773</v>
      </c>
      <c r="N72" s="167">
        <v>54541969</v>
      </c>
    </row>
    <row r="73" spans="2:14" ht="26.25" customHeight="1">
      <c r="B73" s="213" t="s">
        <v>160</v>
      </c>
      <c r="C73" s="214"/>
      <c r="D73" s="214"/>
      <c r="E73" s="214"/>
      <c r="F73" s="214">
        <v>-89759908</v>
      </c>
      <c r="G73" s="215">
        <v>-38837664</v>
      </c>
      <c r="H73" s="216">
        <v>-264451701</v>
      </c>
      <c r="I73" s="215">
        <v>-184988619</v>
      </c>
      <c r="J73" s="31"/>
      <c r="K73" s="183" t="s">
        <v>161</v>
      </c>
      <c r="L73" s="183" t="s">
        <v>161</v>
      </c>
      <c r="M73" s="106">
        <v>0</v>
      </c>
      <c r="N73" s="167">
        <v>0</v>
      </c>
    </row>
    <row r="74" spans="2:14" ht="26.25" customHeight="1">
      <c r="B74" s="213" t="s">
        <v>162</v>
      </c>
      <c r="C74" s="214"/>
      <c r="D74" s="214"/>
      <c r="E74" s="214"/>
      <c r="F74" s="217">
        <v>1161850</v>
      </c>
      <c r="G74" s="218">
        <v>1244562</v>
      </c>
      <c r="H74" s="216">
        <v>1345000</v>
      </c>
      <c r="I74" s="218">
        <v>1142387</v>
      </c>
      <c r="J74" s="167"/>
      <c r="K74" s="184">
        <v>1028037</v>
      </c>
      <c r="L74" s="184">
        <v>961639</v>
      </c>
      <c r="M74" s="167">
        <v>4673</v>
      </c>
      <c r="N74" s="167">
        <v>0</v>
      </c>
    </row>
    <row r="75" spans="2:14" ht="26.25" customHeight="1">
      <c r="B75" s="213" t="s">
        <v>163</v>
      </c>
      <c r="C75" s="214"/>
      <c r="D75" s="214"/>
      <c r="E75" s="214"/>
      <c r="F75" s="214">
        <v>-70919807</v>
      </c>
      <c r="G75" s="219">
        <v>-97291417</v>
      </c>
      <c r="H75" s="216">
        <v>-161976583</v>
      </c>
      <c r="I75" s="219">
        <v>-422589425</v>
      </c>
      <c r="J75" s="102"/>
      <c r="K75" s="13">
        <v>-22045063</v>
      </c>
      <c r="L75" s="169">
        <v>-13902038</v>
      </c>
      <c r="M75" s="102">
        <v>-6836951</v>
      </c>
      <c r="N75" s="169">
        <v>-8422710</v>
      </c>
    </row>
    <row r="76" spans="2:14" ht="26.25" customHeight="1">
      <c r="B76" s="220" t="s">
        <v>164</v>
      </c>
      <c r="C76" s="214"/>
      <c r="D76" s="214"/>
      <c r="E76" s="214"/>
      <c r="F76" s="214">
        <v>-3815500</v>
      </c>
      <c r="G76" s="219">
        <v>-1139576</v>
      </c>
      <c r="H76" s="216">
        <v>-18833062</v>
      </c>
      <c r="I76" s="219">
        <v>-16002046</v>
      </c>
      <c r="J76" s="102"/>
      <c r="K76" s="13">
        <v>-3287500</v>
      </c>
      <c r="L76" s="169">
        <v>-630800</v>
      </c>
      <c r="M76" s="108">
        <v>-13187245</v>
      </c>
      <c r="N76" s="108">
        <v>-15831000</v>
      </c>
    </row>
    <row r="77" spans="2:14" ht="26.25" customHeight="1">
      <c r="B77" s="220" t="s">
        <v>165</v>
      </c>
      <c r="C77" s="214"/>
      <c r="D77" s="214"/>
      <c r="E77" s="214"/>
      <c r="F77" s="216">
        <v>0</v>
      </c>
      <c r="G77" s="216">
        <v>0</v>
      </c>
      <c r="H77" s="216">
        <v>0</v>
      </c>
      <c r="I77" s="219">
        <v>-375474199</v>
      </c>
      <c r="J77" s="102"/>
      <c r="K77" s="108">
        <v>0</v>
      </c>
      <c r="L77" s="108">
        <v>0</v>
      </c>
      <c r="M77" s="108">
        <v>0</v>
      </c>
      <c r="N77" s="108">
        <v>0</v>
      </c>
    </row>
    <row r="78" spans="2:14" ht="26.25" customHeight="1">
      <c r="B78" s="221" t="s">
        <v>166</v>
      </c>
      <c r="C78" s="214"/>
      <c r="D78" s="214"/>
      <c r="E78" s="214"/>
      <c r="F78" s="216">
        <v>0</v>
      </c>
      <c r="G78" s="216">
        <v>0</v>
      </c>
      <c r="H78" s="216">
        <v>0</v>
      </c>
      <c r="I78" s="216">
        <v>0</v>
      </c>
      <c r="J78" s="14"/>
      <c r="K78" s="14">
        <v>1000000</v>
      </c>
      <c r="L78" s="14">
        <v>0</v>
      </c>
      <c r="M78" s="14">
        <v>0</v>
      </c>
      <c r="N78" s="14">
        <v>0</v>
      </c>
    </row>
    <row r="79" spans="2:14" ht="26.25" customHeight="1">
      <c r="B79" s="157" t="s">
        <v>114</v>
      </c>
      <c r="C79" s="150"/>
      <c r="F79" s="14">
        <v>0</v>
      </c>
      <c r="G79" s="14">
        <v>0</v>
      </c>
      <c r="H79" s="14">
        <v>0</v>
      </c>
      <c r="I79" s="102">
        <v>71399200</v>
      </c>
      <c r="J79" s="102"/>
      <c r="K79" s="184">
        <v>597487359</v>
      </c>
      <c r="L79" s="184">
        <v>498000000</v>
      </c>
      <c r="M79" s="102">
        <v>199200000</v>
      </c>
      <c r="N79" s="102">
        <v>1197598600</v>
      </c>
    </row>
    <row r="80" spans="2:14" ht="26.25" customHeight="1">
      <c r="B80" s="158" t="s">
        <v>167</v>
      </c>
      <c r="C80" s="150"/>
      <c r="F80" s="14">
        <v>0</v>
      </c>
      <c r="G80" s="14">
        <v>0</v>
      </c>
      <c r="H80" s="14">
        <v>0</v>
      </c>
      <c r="I80" s="136"/>
      <c r="J80" s="136"/>
      <c r="K80" s="14">
        <v>0</v>
      </c>
      <c r="L80" s="14">
        <v>0</v>
      </c>
      <c r="M80" s="14">
        <v>0</v>
      </c>
      <c r="N80" s="14">
        <v>0</v>
      </c>
    </row>
    <row r="81" spans="1:14" ht="26.25" customHeight="1">
      <c r="B81" s="158" t="s">
        <v>168</v>
      </c>
      <c r="C81" s="150"/>
      <c r="F81" s="190">
        <v>0</v>
      </c>
      <c r="G81" s="188">
        <v>3500</v>
      </c>
      <c r="H81" s="14">
        <v>35974</v>
      </c>
      <c r="I81" s="167">
        <v>8031950</v>
      </c>
      <c r="J81" s="167"/>
      <c r="K81" s="14">
        <v>0</v>
      </c>
      <c r="L81" s="190">
        <v>0</v>
      </c>
      <c r="M81" s="14">
        <v>0</v>
      </c>
      <c r="N81" s="167">
        <v>0</v>
      </c>
    </row>
    <row r="82" spans="1:14" ht="26.25" customHeight="1">
      <c r="A82" s="159" t="s">
        <v>169</v>
      </c>
      <c r="F82" s="187">
        <v>-82495558</v>
      </c>
      <c r="G82" s="186">
        <v>-641535748</v>
      </c>
      <c r="H82" s="154">
        <f>SUM(H55:H81)</f>
        <v>54502193</v>
      </c>
      <c r="I82" s="154">
        <f>SUM(I55:I81)</f>
        <v>-2168963904</v>
      </c>
      <c r="J82" s="108"/>
      <c r="K82" s="185">
        <v>442885226</v>
      </c>
      <c r="L82" s="189">
        <v>-2155540468</v>
      </c>
      <c r="M82" s="154">
        <f>SUM(M55:M81)</f>
        <v>-1430432396</v>
      </c>
      <c r="N82" s="154">
        <f>SUM(N55:N81)</f>
        <v>-1967316030</v>
      </c>
    </row>
    <row r="83" spans="1:14" s="151" customFormat="1" ht="26.25" customHeight="1">
      <c r="A83" s="141"/>
      <c r="B83" s="141"/>
      <c r="C83" s="141"/>
      <c r="D83" s="141"/>
      <c r="E83" s="142"/>
      <c r="F83" s="95"/>
      <c r="G83" s="95"/>
      <c r="H83" s="5"/>
      <c r="I83" s="5"/>
      <c r="J83" s="5"/>
      <c r="K83" s="5"/>
      <c r="L83" s="5"/>
      <c r="M83" s="5"/>
      <c r="N83" s="5"/>
    </row>
    <row r="84" spans="1:14" ht="27" customHeight="1">
      <c r="A84" s="95"/>
      <c r="B84" s="95"/>
      <c r="C84" s="95"/>
      <c r="D84" s="95"/>
      <c r="E84" s="95"/>
      <c r="F84" s="95"/>
      <c r="G84" s="95"/>
      <c r="H84" s="95"/>
      <c r="I84" s="95"/>
      <c r="J84" s="95"/>
      <c r="K84" s="95"/>
      <c r="L84" s="95"/>
      <c r="M84" s="95"/>
      <c r="N84" s="95"/>
    </row>
    <row r="85" spans="1:14" s="151" customFormat="1" ht="27" customHeight="1">
      <c r="A85" s="278" t="s">
        <v>0</v>
      </c>
      <c r="B85" s="278"/>
      <c r="C85" s="278"/>
      <c r="D85" s="278"/>
      <c r="E85" s="278"/>
      <c r="F85" s="278"/>
      <c r="G85" s="278"/>
      <c r="H85" s="278"/>
      <c r="I85" s="278"/>
      <c r="J85" s="278"/>
      <c r="K85" s="278"/>
      <c r="L85" s="278"/>
      <c r="M85" s="278"/>
      <c r="N85" s="278"/>
    </row>
    <row r="86" spans="1:14" ht="27" customHeight="1">
      <c r="A86" s="278" t="s">
        <v>140</v>
      </c>
      <c r="B86" s="278"/>
      <c r="C86" s="278"/>
      <c r="D86" s="278"/>
      <c r="E86" s="278"/>
      <c r="F86" s="278"/>
      <c r="G86" s="278"/>
      <c r="H86" s="278"/>
      <c r="I86" s="278"/>
      <c r="J86" s="278"/>
      <c r="K86" s="278"/>
      <c r="L86" s="278"/>
      <c r="M86" s="278"/>
      <c r="N86" s="278"/>
    </row>
    <row r="87" spans="1:14" s="151" customFormat="1" ht="27" customHeight="1">
      <c r="A87" s="278" t="s">
        <v>91</v>
      </c>
      <c r="B87" s="278"/>
      <c r="C87" s="278"/>
      <c r="D87" s="278"/>
      <c r="E87" s="278"/>
      <c r="F87" s="278"/>
      <c r="G87" s="278"/>
      <c r="H87" s="278"/>
      <c r="I87" s="278"/>
      <c r="J87" s="278"/>
      <c r="K87" s="278"/>
      <c r="L87" s="278"/>
      <c r="M87" s="278"/>
      <c r="N87" s="278"/>
    </row>
    <row r="88" spans="1:14" ht="27" customHeight="1">
      <c r="A88" s="100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</row>
    <row r="89" spans="1:14" ht="27" customHeight="1">
      <c r="A89" s="137"/>
      <c r="B89" s="137"/>
      <c r="C89" s="137"/>
      <c r="D89" s="137"/>
      <c r="F89" s="279" t="s">
        <v>3</v>
      </c>
      <c r="G89" s="279"/>
      <c r="H89" s="279"/>
      <c r="I89" s="279"/>
      <c r="J89" s="247"/>
      <c r="K89" s="280" t="s">
        <v>4</v>
      </c>
      <c r="L89" s="280"/>
      <c r="M89" s="280"/>
      <c r="N89" s="280"/>
    </row>
    <row r="90" spans="1:14" ht="27" customHeight="1">
      <c r="A90" s="10"/>
      <c r="B90" s="10"/>
      <c r="C90" s="10"/>
      <c r="D90" s="10"/>
      <c r="E90" s="10"/>
      <c r="F90" s="181" t="s">
        <v>6</v>
      </c>
      <c r="G90" s="182" t="s">
        <v>7</v>
      </c>
      <c r="H90" s="101" t="s">
        <v>8</v>
      </c>
      <c r="I90" s="101" t="s">
        <v>9</v>
      </c>
      <c r="J90" s="101"/>
      <c r="K90" s="180" t="s">
        <v>6</v>
      </c>
      <c r="L90" s="179" t="s">
        <v>7</v>
      </c>
      <c r="M90" s="101" t="s">
        <v>8</v>
      </c>
      <c r="N90" s="101" t="s">
        <v>9</v>
      </c>
    </row>
    <row r="91" spans="1:14" ht="27" customHeight="1">
      <c r="A91" s="10" t="s">
        <v>170</v>
      </c>
      <c r="L91" s="139"/>
      <c r="M91" s="139"/>
      <c r="N91" s="139"/>
    </row>
    <row r="92" spans="1:14" ht="27" customHeight="1">
      <c r="A92" s="10"/>
      <c r="B92" s="150" t="s">
        <v>171</v>
      </c>
    </row>
    <row r="93" spans="1:14" ht="27" customHeight="1">
      <c r="A93" s="10"/>
      <c r="B93" s="150" t="s">
        <v>172</v>
      </c>
      <c r="F93" s="167">
        <v>1361994540</v>
      </c>
      <c r="G93" s="167">
        <v>716000000</v>
      </c>
      <c r="H93" s="167">
        <v>1295868000</v>
      </c>
      <c r="I93" s="108">
        <v>1756432000</v>
      </c>
      <c r="J93" s="108"/>
      <c r="K93" s="167">
        <v>141000000</v>
      </c>
      <c r="L93" s="167">
        <v>716000000</v>
      </c>
      <c r="M93" s="167">
        <v>191000000</v>
      </c>
      <c r="N93" s="167">
        <v>431964000</v>
      </c>
    </row>
    <row r="94" spans="1:14" ht="27" customHeight="1">
      <c r="A94" s="10"/>
      <c r="B94" s="150" t="s">
        <v>173</v>
      </c>
      <c r="G94" s="14"/>
      <c r="H94" s="14"/>
      <c r="I94" s="14"/>
      <c r="J94" s="14"/>
      <c r="L94" s="14"/>
      <c r="M94" s="14"/>
      <c r="N94" s="14"/>
    </row>
    <row r="95" spans="1:14" ht="27" customHeight="1">
      <c r="A95" s="10"/>
      <c r="B95" s="150" t="s">
        <v>172</v>
      </c>
      <c r="F95" s="169">
        <v>-1451994540</v>
      </c>
      <c r="G95" s="169">
        <v>-66000000</v>
      </c>
      <c r="H95" s="169">
        <v>-933868000</v>
      </c>
      <c r="I95" s="169">
        <v>-1726336000</v>
      </c>
      <c r="J95" s="169"/>
      <c r="K95" s="167">
        <v>-141000000</v>
      </c>
      <c r="L95" s="167">
        <v>-66000000</v>
      </c>
      <c r="M95" s="167">
        <v>-691000000</v>
      </c>
      <c r="N95" s="167">
        <v>-391000000</v>
      </c>
    </row>
    <row r="96" spans="1:14" ht="27" customHeight="1">
      <c r="B96" s="150" t="s">
        <v>174</v>
      </c>
      <c r="F96" s="14">
        <v>0</v>
      </c>
      <c r="G96" s="184">
        <v>50000000</v>
      </c>
      <c r="H96" s="14">
        <v>0</v>
      </c>
      <c r="I96" s="108">
        <v>0</v>
      </c>
      <c r="J96" s="108"/>
      <c r="K96" s="184">
        <v>192370000</v>
      </c>
      <c r="L96" s="184">
        <v>1090906963</v>
      </c>
      <c r="M96" s="14">
        <v>2212389750</v>
      </c>
      <c r="N96" s="102">
        <v>2921607258</v>
      </c>
    </row>
    <row r="97" spans="1:28" ht="27" customHeight="1">
      <c r="B97" s="150" t="s">
        <v>175</v>
      </c>
      <c r="F97" s="14">
        <v>0</v>
      </c>
      <c r="G97" s="14">
        <v>-61500000</v>
      </c>
      <c r="H97" s="14">
        <v>-49000000</v>
      </c>
      <c r="I97" s="108">
        <v>-122850000</v>
      </c>
      <c r="J97" s="108"/>
      <c r="K97" s="14">
        <v>-537130000</v>
      </c>
      <c r="L97" s="14">
        <v>-962231050</v>
      </c>
      <c r="M97" s="14">
        <v>-1118736900</v>
      </c>
      <c r="N97" s="102">
        <v>-2603795727</v>
      </c>
    </row>
    <row r="98" spans="1:28" ht="27" customHeight="1">
      <c r="B98" s="150" t="s">
        <v>176</v>
      </c>
      <c r="F98" s="191">
        <v>0</v>
      </c>
      <c r="G98" s="191">
        <v>0</v>
      </c>
      <c r="H98" s="14">
        <v>0</v>
      </c>
      <c r="I98" s="108">
        <v>110000000</v>
      </c>
      <c r="J98" s="108"/>
      <c r="K98" s="191">
        <v>0</v>
      </c>
      <c r="L98" s="191">
        <v>0</v>
      </c>
      <c r="M98" s="14">
        <v>0</v>
      </c>
      <c r="N98" s="102">
        <v>0</v>
      </c>
    </row>
    <row r="99" spans="1:28" ht="27" customHeight="1">
      <c r="B99" s="150" t="s">
        <v>177</v>
      </c>
      <c r="F99" s="191">
        <v>0</v>
      </c>
      <c r="G99" s="191">
        <v>0</v>
      </c>
      <c r="H99" s="14">
        <v>0</v>
      </c>
      <c r="I99" s="108">
        <v>-219931800</v>
      </c>
      <c r="J99" s="108"/>
      <c r="K99" s="191">
        <v>0</v>
      </c>
      <c r="L99" s="191">
        <v>0</v>
      </c>
      <c r="M99" s="14">
        <v>0</v>
      </c>
      <c r="N99" s="102">
        <v>0</v>
      </c>
    </row>
    <row r="100" spans="1:28" ht="27" customHeight="1">
      <c r="B100" s="150" t="s">
        <v>178</v>
      </c>
      <c r="F100" s="13">
        <v>-10297655</v>
      </c>
      <c r="G100" s="195">
        <v>-18332635</v>
      </c>
      <c r="H100" s="14">
        <v>-14871372.999999996</v>
      </c>
      <c r="I100" s="169">
        <v>-19002829</v>
      </c>
      <c r="J100" s="169"/>
      <c r="K100" s="13">
        <v>-2560101</v>
      </c>
      <c r="L100" s="168">
        <v>-4231217</v>
      </c>
      <c r="M100" s="14">
        <v>-6311082</v>
      </c>
      <c r="N100" s="168">
        <v>-6590021</v>
      </c>
    </row>
    <row r="101" spans="1:28" ht="27" customHeight="1">
      <c r="B101" s="150" t="s">
        <v>179</v>
      </c>
      <c r="F101" s="184">
        <v>3232552822</v>
      </c>
      <c r="G101" s="184">
        <v>2522482188</v>
      </c>
      <c r="H101" s="14">
        <v>3541004245</v>
      </c>
      <c r="I101" s="102">
        <v>7943451917</v>
      </c>
      <c r="J101" s="102"/>
      <c r="K101" s="192">
        <v>0</v>
      </c>
      <c r="L101" s="108">
        <v>0</v>
      </c>
      <c r="M101" s="14">
        <v>1000000</v>
      </c>
      <c r="N101" s="108">
        <v>220000000</v>
      </c>
    </row>
    <row r="102" spans="1:28" ht="27" customHeight="1">
      <c r="B102" s="150" t="s">
        <v>180</v>
      </c>
      <c r="F102" s="13">
        <v>-2965923213</v>
      </c>
      <c r="G102" s="191">
        <v>-3559892139</v>
      </c>
      <c r="H102" s="14">
        <v>-1707953260</v>
      </c>
      <c r="I102" s="102">
        <v>-4042389434</v>
      </c>
      <c r="J102" s="102"/>
      <c r="K102" s="192">
        <v>0</v>
      </c>
      <c r="L102" s="106">
        <v>-897943908</v>
      </c>
      <c r="M102" s="14">
        <v>-71400</v>
      </c>
      <c r="N102" s="106">
        <v>-142800</v>
      </c>
    </row>
    <row r="103" spans="1:28" ht="27" customHeight="1">
      <c r="B103" s="150" t="s">
        <v>181</v>
      </c>
      <c r="F103" s="191">
        <v>0</v>
      </c>
      <c r="G103" s="191">
        <v>0</v>
      </c>
      <c r="H103" s="102">
        <v>321394640</v>
      </c>
      <c r="I103" s="102">
        <v>0</v>
      </c>
      <c r="J103" s="102"/>
      <c r="K103" s="192">
        <v>0</v>
      </c>
      <c r="L103" s="192">
        <v>0</v>
      </c>
      <c r="M103" s="108">
        <v>320000000</v>
      </c>
      <c r="N103" s="106">
        <v>0</v>
      </c>
    </row>
    <row r="104" spans="1:28" ht="27" customHeight="1">
      <c r="B104" s="150" t="s">
        <v>182</v>
      </c>
      <c r="F104" s="191">
        <v>0</v>
      </c>
      <c r="G104" s="184">
        <v>1000000000</v>
      </c>
      <c r="H104" s="14">
        <v>1000000000</v>
      </c>
      <c r="I104" s="102">
        <v>2268900000</v>
      </c>
      <c r="J104" s="102"/>
      <c r="K104" s="192">
        <v>0</v>
      </c>
      <c r="L104" s="184">
        <v>1000000000</v>
      </c>
      <c r="M104" s="14">
        <v>1000000000</v>
      </c>
      <c r="N104" s="106">
        <v>2268900000</v>
      </c>
    </row>
    <row r="105" spans="1:28" ht="27" customHeight="1">
      <c r="B105" s="150" t="s">
        <v>183</v>
      </c>
      <c r="F105" s="191">
        <v>0</v>
      </c>
      <c r="G105" s="191">
        <v>0</v>
      </c>
      <c r="H105" s="14">
        <v>0</v>
      </c>
      <c r="I105" s="102">
        <v>-500000000</v>
      </c>
      <c r="J105" s="102"/>
      <c r="K105" s="192">
        <v>0</v>
      </c>
      <c r="L105" s="192">
        <v>0</v>
      </c>
      <c r="M105" s="14">
        <v>0</v>
      </c>
      <c r="N105" s="106">
        <v>-500000000</v>
      </c>
    </row>
    <row r="106" spans="1:28" ht="27" customHeight="1">
      <c r="B106" s="160" t="s">
        <v>184</v>
      </c>
      <c r="F106" s="191">
        <v>0</v>
      </c>
      <c r="G106" s="184">
        <v>1960870440</v>
      </c>
      <c r="H106" s="14">
        <v>0</v>
      </c>
      <c r="I106" s="102">
        <v>361200000</v>
      </c>
      <c r="J106" s="102"/>
      <c r="K106" s="192">
        <v>0</v>
      </c>
      <c r="L106" s="184">
        <v>1960870440</v>
      </c>
      <c r="M106" s="14">
        <v>0</v>
      </c>
      <c r="N106" s="102">
        <v>361200000</v>
      </c>
    </row>
    <row r="107" spans="1:28" ht="27" customHeight="1">
      <c r="B107" s="150" t="s">
        <v>185</v>
      </c>
      <c r="F107" s="13">
        <v>-289850000</v>
      </c>
      <c r="G107" s="13">
        <v>-249877365</v>
      </c>
      <c r="H107" s="14">
        <v>-575072553</v>
      </c>
      <c r="I107" s="102">
        <v>-447092173</v>
      </c>
      <c r="J107" s="102"/>
      <c r="K107" s="13">
        <v>-289850000</v>
      </c>
      <c r="L107" s="13">
        <v>-249877365</v>
      </c>
      <c r="M107" s="14">
        <v>-574272553</v>
      </c>
      <c r="N107" s="102">
        <v>-447092173</v>
      </c>
    </row>
    <row r="108" spans="1:28" ht="27" customHeight="1">
      <c r="B108" s="150" t="s">
        <v>186</v>
      </c>
      <c r="F108" s="13">
        <v>-12641</v>
      </c>
      <c r="G108" s="13">
        <v>-2000000</v>
      </c>
      <c r="H108" s="19">
        <v>-800000</v>
      </c>
      <c r="I108" s="102">
        <v>-33800600</v>
      </c>
      <c r="J108" s="102"/>
      <c r="K108" s="196">
        <v>0</v>
      </c>
      <c r="L108" s="196">
        <v>0</v>
      </c>
      <c r="M108" s="19">
        <v>0</v>
      </c>
      <c r="N108" s="108">
        <v>0</v>
      </c>
    </row>
    <row r="109" spans="1:28" ht="27" customHeight="1">
      <c r="A109" s="10" t="s">
        <v>187</v>
      </c>
      <c r="F109" s="13">
        <v>-123530687</v>
      </c>
      <c r="G109" s="193">
        <v>2291750489</v>
      </c>
      <c r="H109" s="143">
        <f>SUM(H93:H108)</f>
        <v>2876701699</v>
      </c>
      <c r="I109" s="143">
        <f>SUM(I93:I108)</f>
        <v>5328581081</v>
      </c>
      <c r="J109" s="139"/>
      <c r="K109" s="13">
        <v>-637170101</v>
      </c>
      <c r="L109" s="193">
        <v>2587493863</v>
      </c>
      <c r="M109" s="143">
        <f>SUM(M93:M108)</f>
        <v>1333997815</v>
      </c>
      <c r="N109" s="143">
        <f>SUM(N93:N108)</f>
        <v>2255050537</v>
      </c>
    </row>
    <row r="110" spans="1:28" ht="27" customHeight="1">
      <c r="A110" s="10" t="s">
        <v>188</v>
      </c>
      <c r="F110" s="184">
        <v>33790743</v>
      </c>
      <c r="G110" s="184">
        <v>468577516</v>
      </c>
      <c r="H110" s="139">
        <f>H45+H82+H109</f>
        <v>-34599455</v>
      </c>
      <c r="I110" s="139">
        <f>F46+I82+I109</f>
        <v>3159617177</v>
      </c>
      <c r="J110" s="139"/>
      <c r="K110" s="13">
        <v>-87224412</v>
      </c>
      <c r="L110" s="184">
        <v>321640820</v>
      </c>
      <c r="M110" s="139">
        <f>M45+M82+M109</f>
        <v>-273419431</v>
      </c>
      <c r="N110" s="139">
        <f>N45+N82+N109</f>
        <v>-24025547</v>
      </c>
    </row>
    <row r="111" spans="1:28" ht="27" customHeight="1">
      <c r="A111" s="10" t="s">
        <v>189</v>
      </c>
      <c r="F111" s="193">
        <v>283119559</v>
      </c>
      <c r="G111" s="193">
        <v>316910302</v>
      </c>
      <c r="H111" s="138">
        <v>785487818</v>
      </c>
      <c r="I111" s="138">
        <v>750888363</v>
      </c>
      <c r="K111" s="193">
        <v>105031118</v>
      </c>
      <c r="L111" s="193">
        <v>17806706</v>
      </c>
      <c r="M111" s="145">
        <v>339447526</v>
      </c>
      <c r="N111" s="145">
        <v>66028095</v>
      </c>
    </row>
    <row r="112" spans="1:28" ht="27" customHeight="1" thickBot="1">
      <c r="A112" s="10" t="s">
        <v>190</v>
      </c>
      <c r="F112" s="194">
        <v>316910302</v>
      </c>
      <c r="G112" s="194">
        <v>785487818</v>
      </c>
      <c r="H112" s="146">
        <f>SUM(H110:H111)</f>
        <v>750888363</v>
      </c>
      <c r="I112" s="146">
        <f>SUM(I110:I111)</f>
        <v>3910505540</v>
      </c>
      <c r="J112" s="139"/>
      <c r="K112" s="194">
        <v>17806706</v>
      </c>
      <c r="L112" s="194">
        <v>339447526</v>
      </c>
      <c r="M112" s="146">
        <f>SUM(M110:M111)</f>
        <v>66028095</v>
      </c>
      <c r="N112" s="146">
        <f>SUM(N110:N111)</f>
        <v>42002548</v>
      </c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</row>
    <row r="113" spans="1:14" ht="27" customHeight="1" thickTop="1">
      <c r="A113" s="10"/>
      <c r="F113" s="147"/>
      <c r="G113" s="147"/>
      <c r="H113" s="147"/>
      <c r="I113" s="147"/>
      <c r="J113" s="147"/>
      <c r="K113" s="148"/>
      <c r="L113" s="148"/>
      <c r="M113" s="148"/>
      <c r="N113" s="147"/>
    </row>
    <row r="114" spans="1:14" s="212" customFormat="1" ht="27" customHeight="1"/>
    <row r="115" spans="1:14" ht="25.5" customHeight="1">
      <c r="A115" s="278" t="s">
        <v>0</v>
      </c>
      <c r="B115" s="278"/>
      <c r="C115" s="278"/>
      <c r="D115" s="278"/>
      <c r="E115" s="278"/>
      <c r="F115" s="278"/>
      <c r="G115" s="278"/>
      <c r="H115" s="278"/>
      <c r="I115" s="278"/>
      <c r="J115" s="278"/>
      <c r="K115" s="278"/>
      <c r="L115" s="278"/>
      <c r="M115" s="278"/>
      <c r="N115" s="278"/>
    </row>
    <row r="116" spans="1:14" ht="25.5" customHeight="1">
      <c r="A116" s="278" t="s">
        <v>140</v>
      </c>
      <c r="B116" s="278"/>
      <c r="C116" s="278"/>
      <c r="D116" s="278"/>
      <c r="E116" s="278"/>
      <c r="F116" s="278"/>
      <c r="G116" s="278"/>
      <c r="H116" s="278"/>
      <c r="I116" s="278"/>
      <c r="J116" s="278"/>
      <c r="K116" s="278"/>
      <c r="L116" s="278"/>
      <c r="M116" s="278"/>
      <c r="N116" s="278"/>
    </row>
    <row r="117" spans="1:14" ht="25.5" customHeight="1">
      <c r="A117" s="278" t="s">
        <v>91</v>
      </c>
      <c r="B117" s="278"/>
      <c r="C117" s="278"/>
      <c r="D117" s="278"/>
      <c r="E117" s="278"/>
      <c r="F117" s="278"/>
      <c r="G117" s="278"/>
      <c r="H117" s="278"/>
      <c r="I117" s="278"/>
      <c r="J117" s="278"/>
      <c r="K117" s="278"/>
      <c r="L117" s="278"/>
      <c r="M117" s="278"/>
      <c r="N117" s="278"/>
    </row>
    <row r="118" spans="1:14" ht="25.5" customHeight="1">
      <c r="A118" s="100"/>
      <c r="B118" s="100"/>
      <c r="C118" s="100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</row>
    <row r="119" spans="1:14" ht="25.5" customHeight="1">
      <c r="A119" s="137"/>
      <c r="B119" s="137"/>
      <c r="C119" s="137"/>
      <c r="D119" s="137"/>
      <c r="F119" s="279" t="s">
        <v>3</v>
      </c>
      <c r="G119" s="279"/>
      <c r="H119" s="279"/>
      <c r="I119" s="279"/>
      <c r="J119" s="247"/>
      <c r="K119" s="280" t="s">
        <v>4</v>
      </c>
      <c r="L119" s="280"/>
      <c r="M119" s="280"/>
      <c r="N119" s="280"/>
    </row>
    <row r="120" spans="1:14" ht="25.5" customHeight="1">
      <c r="A120" s="10"/>
      <c r="B120" s="10"/>
      <c r="C120" s="10"/>
      <c r="D120" s="10"/>
      <c r="E120" s="10"/>
      <c r="F120" s="101" t="s">
        <v>6</v>
      </c>
      <c r="G120" s="101" t="s">
        <v>7</v>
      </c>
      <c r="H120" s="101" t="s">
        <v>8</v>
      </c>
      <c r="I120" s="101" t="s">
        <v>9</v>
      </c>
      <c r="J120" s="101"/>
      <c r="K120" s="101" t="s">
        <v>6</v>
      </c>
      <c r="L120" s="101" t="s">
        <v>7</v>
      </c>
      <c r="M120" s="101" t="s">
        <v>8</v>
      </c>
      <c r="N120" s="101" t="s">
        <v>9</v>
      </c>
    </row>
    <row r="121" spans="1:14" ht="25.5" customHeight="1">
      <c r="A121" s="10" t="s">
        <v>191</v>
      </c>
      <c r="G121" s="144"/>
      <c r="H121" s="149"/>
      <c r="I121" s="144"/>
      <c r="J121" s="144"/>
      <c r="L121" s="149"/>
      <c r="M121" s="149"/>
      <c r="N121" s="149"/>
    </row>
    <row r="122" spans="1:14" ht="25.5" customHeight="1">
      <c r="A122" s="10" t="s">
        <v>192</v>
      </c>
      <c r="G122" s="144"/>
      <c r="H122" s="149"/>
      <c r="I122" s="144"/>
      <c r="J122" s="144"/>
      <c r="L122" s="149"/>
      <c r="M122" s="149"/>
      <c r="N122" s="149"/>
    </row>
    <row r="123" spans="1:14" ht="25.5" customHeight="1">
      <c r="A123" s="10"/>
      <c r="B123" s="13" t="s">
        <v>193</v>
      </c>
      <c r="F123" s="184">
        <v>178742970</v>
      </c>
      <c r="G123" s="184">
        <v>179433817</v>
      </c>
      <c r="H123" s="14">
        <v>301763615</v>
      </c>
      <c r="I123" s="102">
        <v>603448650</v>
      </c>
      <c r="J123" s="102"/>
      <c r="K123" s="191">
        <v>0</v>
      </c>
      <c r="L123" s="191">
        <v>0</v>
      </c>
      <c r="M123" s="14">
        <v>0</v>
      </c>
      <c r="N123" s="108">
        <v>0</v>
      </c>
    </row>
    <row r="124" spans="1:14" ht="25.5" customHeight="1">
      <c r="A124" s="10"/>
      <c r="B124" s="13" t="s">
        <v>194</v>
      </c>
      <c r="F124" s="184">
        <v>5147065</v>
      </c>
      <c r="G124" s="184">
        <v>324384</v>
      </c>
      <c r="H124" s="14">
        <v>5289897</v>
      </c>
      <c r="I124" s="163">
        <v>19814806</v>
      </c>
      <c r="J124" s="163"/>
      <c r="K124" s="191">
        <v>0</v>
      </c>
      <c r="L124" s="191">
        <v>0</v>
      </c>
      <c r="M124" s="14">
        <v>0</v>
      </c>
      <c r="N124" s="108">
        <v>0</v>
      </c>
    </row>
    <row r="125" spans="1:14" ht="25.5" customHeight="1">
      <c r="A125" s="10"/>
      <c r="B125" s="183" t="s">
        <v>195</v>
      </c>
      <c r="F125" s="191">
        <v>500000</v>
      </c>
      <c r="G125" s="191">
        <v>0</v>
      </c>
      <c r="H125" s="14">
        <v>0</v>
      </c>
      <c r="I125" s="191">
        <v>0</v>
      </c>
      <c r="J125" s="191"/>
      <c r="K125" s="191">
        <v>500000</v>
      </c>
      <c r="L125" s="191"/>
      <c r="M125" s="14">
        <v>0</v>
      </c>
      <c r="N125" s="108">
        <v>0</v>
      </c>
    </row>
    <row r="126" spans="1:14" ht="25.5" customHeight="1">
      <c r="A126" s="10"/>
      <c r="B126" s="183" t="s">
        <v>196</v>
      </c>
      <c r="F126" s="191">
        <v>0</v>
      </c>
      <c r="G126" s="184">
        <v>14422524</v>
      </c>
      <c r="H126" s="14">
        <v>0</v>
      </c>
      <c r="I126" s="191">
        <v>0</v>
      </c>
      <c r="J126" s="191"/>
      <c r="K126" s="191">
        <v>0</v>
      </c>
      <c r="L126" s="184">
        <v>14422524</v>
      </c>
      <c r="M126" s="14">
        <v>0</v>
      </c>
      <c r="N126" s="108">
        <v>0</v>
      </c>
    </row>
    <row r="127" spans="1:14" ht="25.5" customHeight="1">
      <c r="A127" s="10"/>
      <c r="B127" s="13" t="s">
        <v>197</v>
      </c>
      <c r="F127" s="184">
        <v>1205824</v>
      </c>
      <c r="G127" s="184">
        <v>67001791</v>
      </c>
      <c r="H127" s="14">
        <v>27031219</v>
      </c>
      <c r="I127" s="102">
        <v>32779189</v>
      </c>
      <c r="J127" s="102"/>
      <c r="K127" s="191">
        <v>0</v>
      </c>
      <c r="L127" s="184">
        <v>9757644</v>
      </c>
      <c r="M127" s="14">
        <v>10848619</v>
      </c>
      <c r="N127" s="108">
        <v>8934865</v>
      </c>
    </row>
    <row r="128" spans="1:14" ht="25.5" customHeight="1">
      <c r="A128" s="151"/>
      <c r="B128" s="13" t="s">
        <v>198</v>
      </c>
      <c r="C128" s="151"/>
      <c r="D128" s="6"/>
      <c r="E128" s="151"/>
      <c r="F128" s="191">
        <v>0</v>
      </c>
      <c r="G128" s="14">
        <v>0</v>
      </c>
      <c r="H128" s="191">
        <v>0</v>
      </c>
      <c r="I128" s="14">
        <v>0</v>
      </c>
      <c r="J128" s="14"/>
      <c r="K128" s="191">
        <v>0</v>
      </c>
      <c r="L128" s="191">
        <v>0</v>
      </c>
      <c r="M128" s="191">
        <v>0</v>
      </c>
      <c r="N128" s="191">
        <v>0</v>
      </c>
    </row>
    <row r="129" spans="1:14" ht="25.5" customHeight="1">
      <c r="A129" s="151"/>
      <c r="C129" s="13" t="s">
        <v>199</v>
      </c>
      <c r="D129" s="6"/>
      <c r="E129" s="151"/>
      <c r="F129" s="191">
        <v>0</v>
      </c>
      <c r="G129" s="191">
        <v>0</v>
      </c>
      <c r="H129" s="14">
        <v>2915792</v>
      </c>
      <c r="I129" s="108">
        <v>2146752</v>
      </c>
      <c r="J129" s="108"/>
      <c r="K129" s="191">
        <v>0</v>
      </c>
      <c r="L129" s="191">
        <v>0</v>
      </c>
      <c r="M129" s="14">
        <v>0</v>
      </c>
      <c r="N129" s="191">
        <v>0</v>
      </c>
    </row>
    <row r="130" spans="1:14" ht="25.5" customHeight="1">
      <c r="A130" s="151"/>
      <c r="B130" s="183" t="s">
        <v>200</v>
      </c>
      <c r="C130" s="151"/>
      <c r="D130" s="6"/>
      <c r="E130" s="151"/>
      <c r="F130" s="191">
        <v>710542</v>
      </c>
      <c r="G130" s="191">
        <v>0</v>
      </c>
      <c r="H130" s="191">
        <v>0</v>
      </c>
      <c r="I130" s="191">
        <v>0</v>
      </c>
      <c r="J130" s="191"/>
      <c r="K130" s="191">
        <v>0</v>
      </c>
      <c r="L130" s="191">
        <v>0</v>
      </c>
      <c r="M130" s="191">
        <v>0</v>
      </c>
      <c r="N130" s="191">
        <v>0</v>
      </c>
    </row>
    <row r="131" spans="1:14" ht="25.5" customHeight="1">
      <c r="A131" s="151"/>
      <c r="B131" s="183" t="s">
        <v>201</v>
      </c>
      <c r="C131" s="151"/>
      <c r="D131" s="6"/>
      <c r="E131" s="151"/>
      <c r="F131" s="191">
        <v>0</v>
      </c>
      <c r="G131" s="108">
        <v>95121119</v>
      </c>
      <c r="H131" s="191">
        <v>0</v>
      </c>
      <c r="I131" s="191">
        <v>0</v>
      </c>
      <c r="J131" s="191"/>
      <c r="K131" s="191">
        <v>0</v>
      </c>
      <c r="L131" s="108">
        <v>95121119</v>
      </c>
      <c r="M131" s="191">
        <v>0</v>
      </c>
      <c r="N131" s="191">
        <v>0</v>
      </c>
    </row>
    <row r="132" spans="1:14" ht="25.5" customHeight="1">
      <c r="A132" s="151"/>
      <c r="C132" s="151"/>
      <c r="D132" s="6"/>
      <c r="E132" s="151"/>
      <c r="G132" s="108"/>
      <c r="H132" s="33"/>
      <c r="I132" s="108"/>
      <c r="J132" s="108"/>
      <c r="L132" s="108"/>
      <c r="M132" s="33"/>
      <c r="N132" s="108"/>
    </row>
    <row r="133" spans="1:14" ht="25.5" customHeight="1">
      <c r="A133" s="161" t="s">
        <v>202</v>
      </c>
      <c r="B133" s="152"/>
      <c r="L133" s="139"/>
      <c r="M133" s="139"/>
      <c r="N133" s="139"/>
    </row>
    <row r="134" spans="1:14" ht="25.5" customHeight="1">
      <c r="A134" s="161" t="s">
        <v>203</v>
      </c>
      <c r="B134" s="152"/>
      <c r="G134" s="14"/>
      <c r="H134" s="14"/>
      <c r="I134" s="14"/>
      <c r="J134" s="14"/>
      <c r="L134" s="14"/>
      <c r="M134" s="14"/>
      <c r="N134" s="14"/>
    </row>
    <row r="135" spans="1:14" ht="25.5" customHeight="1">
      <c r="B135" s="152" t="s">
        <v>117</v>
      </c>
      <c r="F135" s="191">
        <v>0</v>
      </c>
      <c r="G135" s="184">
        <v>1754623</v>
      </c>
      <c r="H135" s="14">
        <v>6118300</v>
      </c>
      <c r="I135" s="167">
        <v>29495557</v>
      </c>
      <c r="J135" s="167"/>
      <c r="K135" s="191">
        <v>0</v>
      </c>
      <c r="L135" s="14">
        <v>0</v>
      </c>
      <c r="M135" s="14">
        <v>0</v>
      </c>
      <c r="N135" s="14">
        <v>0</v>
      </c>
    </row>
    <row r="136" spans="1:14" ht="25.5" customHeight="1">
      <c r="B136" s="183" t="s">
        <v>204</v>
      </c>
      <c r="F136" s="191">
        <v>0</v>
      </c>
      <c r="G136" s="184">
        <v>11500000</v>
      </c>
      <c r="H136" s="14"/>
      <c r="I136" s="167"/>
      <c r="J136" s="167"/>
      <c r="K136" s="191">
        <v>0</v>
      </c>
      <c r="L136" s="14">
        <v>0</v>
      </c>
      <c r="M136" s="14">
        <v>0</v>
      </c>
      <c r="N136" s="14">
        <v>0</v>
      </c>
    </row>
    <row r="137" spans="1:14" ht="25.5" customHeight="1">
      <c r="B137" s="152" t="s">
        <v>118</v>
      </c>
      <c r="F137" s="191">
        <v>0</v>
      </c>
      <c r="G137" s="184">
        <v>8426916</v>
      </c>
      <c r="H137" s="14">
        <v>1286258033</v>
      </c>
      <c r="I137" s="167">
        <v>852248145</v>
      </c>
      <c r="J137" s="167"/>
      <c r="K137" s="191">
        <v>0</v>
      </c>
      <c r="L137" s="14">
        <v>0</v>
      </c>
      <c r="M137" s="14">
        <v>0</v>
      </c>
      <c r="N137" s="14">
        <v>0</v>
      </c>
    </row>
    <row r="138" spans="1:14" ht="25.5" customHeight="1">
      <c r="B138" s="183" t="s">
        <v>119</v>
      </c>
      <c r="F138" s="191">
        <v>0</v>
      </c>
      <c r="G138" s="184">
        <v>14484598</v>
      </c>
      <c r="H138" s="14"/>
      <c r="I138" s="167"/>
      <c r="J138" s="167"/>
      <c r="K138" s="191">
        <v>0</v>
      </c>
      <c r="L138" s="14">
        <v>0</v>
      </c>
      <c r="M138" s="14">
        <v>0</v>
      </c>
      <c r="N138" s="14">
        <v>0</v>
      </c>
    </row>
    <row r="139" spans="1:14" ht="25.5" customHeight="1">
      <c r="B139" s="152" t="s">
        <v>205</v>
      </c>
      <c r="F139" s="191">
        <v>0</v>
      </c>
      <c r="G139" s="184">
        <v>9238146</v>
      </c>
      <c r="H139" s="14">
        <v>29976812</v>
      </c>
      <c r="I139" s="167">
        <v>35134102</v>
      </c>
      <c r="J139" s="167"/>
      <c r="K139" s="191">
        <v>0</v>
      </c>
      <c r="L139" s="14">
        <v>0</v>
      </c>
      <c r="M139" s="14">
        <v>0</v>
      </c>
      <c r="N139" s="14">
        <v>0</v>
      </c>
    </row>
    <row r="140" spans="1:14" ht="25.5" customHeight="1">
      <c r="B140" s="152" t="s">
        <v>206</v>
      </c>
      <c r="F140" s="191">
        <v>0</v>
      </c>
      <c r="G140" s="184">
        <v>1105201</v>
      </c>
      <c r="H140" s="14">
        <v>7201680</v>
      </c>
      <c r="I140" s="167">
        <v>9925569</v>
      </c>
      <c r="J140" s="167"/>
      <c r="K140" s="191">
        <v>0</v>
      </c>
      <c r="L140" s="14">
        <v>0</v>
      </c>
      <c r="M140" s="14">
        <v>0</v>
      </c>
      <c r="N140" s="14">
        <v>0</v>
      </c>
    </row>
    <row r="141" spans="1:14" ht="25.5" customHeight="1">
      <c r="B141" s="183" t="s">
        <v>207</v>
      </c>
      <c r="F141" s="191">
        <v>0</v>
      </c>
      <c r="G141" s="183">
        <v>845</v>
      </c>
      <c r="H141" s="14"/>
      <c r="I141" s="167"/>
      <c r="J141" s="167"/>
      <c r="K141" s="191">
        <v>0</v>
      </c>
      <c r="L141" s="14">
        <v>0</v>
      </c>
      <c r="M141" s="14">
        <v>0</v>
      </c>
      <c r="N141" s="14">
        <v>0</v>
      </c>
    </row>
    <row r="142" spans="1:14" ht="25.5" customHeight="1">
      <c r="B142" s="152" t="s">
        <v>120</v>
      </c>
      <c r="F142" s="191">
        <v>0</v>
      </c>
      <c r="G142" s="184">
        <v>8500</v>
      </c>
      <c r="H142" s="14">
        <v>51</v>
      </c>
      <c r="I142" s="108">
        <v>200033</v>
      </c>
      <c r="J142" s="108"/>
      <c r="K142" s="191">
        <v>0</v>
      </c>
      <c r="L142" s="14">
        <v>0</v>
      </c>
      <c r="M142" s="14">
        <v>0</v>
      </c>
      <c r="N142" s="14">
        <v>0</v>
      </c>
    </row>
    <row r="143" spans="1:14" ht="25.5" customHeight="1">
      <c r="B143" s="152" t="s">
        <v>121</v>
      </c>
      <c r="F143" s="191">
        <v>0</v>
      </c>
      <c r="G143" s="191">
        <v>-9027856</v>
      </c>
      <c r="H143" s="14">
        <v>-84223755</v>
      </c>
      <c r="I143" s="167">
        <v>-212664000</v>
      </c>
      <c r="J143" s="167"/>
      <c r="K143" s="191">
        <v>0</v>
      </c>
      <c r="L143" s="14">
        <v>0</v>
      </c>
      <c r="M143" s="14">
        <v>0</v>
      </c>
      <c r="N143" s="14">
        <v>0</v>
      </c>
    </row>
    <row r="144" spans="1:14" ht="25.5" customHeight="1">
      <c r="B144" s="152" t="s">
        <v>122</v>
      </c>
      <c r="F144" s="191">
        <v>0</v>
      </c>
      <c r="G144" s="191">
        <v>-10999</v>
      </c>
      <c r="H144" s="14">
        <v>-32757614</v>
      </c>
      <c r="I144" s="167">
        <v>-34720838</v>
      </c>
      <c r="J144" s="167"/>
      <c r="K144" s="191">
        <v>0</v>
      </c>
      <c r="L144" s="14">
        <v>0</v>
      </c>
      <c r="M144" s="14">
        <v>0</v>
      </c>
      <c r="N144" s="14">
        <v>0</v>
      </c>
    </row>
    <row r="145" spans="2:14" ht="25.5" customHeight="1">
      <c r="B145" s="206" t="s">
        <v>208</v>
      </c>
      <c r="F145" s="191">
        <v>0</v>
      </c>
      <c r="G145" s="191">
        <v>0</v>
      </c>
      <c r="H145" s="108">
        <v>-590807345</v>
      </c>
      <c r="I145" s="167">
        <v>-134804681</v>
      </c>
      <c r="J145" s="167"/>
      <c r="K145" s="191">
        <v>0</v>
      </c>
      <c r="L145" s="191">
        <v>0</v>
      </c>
      <c r="M145" s="191">
        <v>0</v>
      </c>
      <c r="N145" s="191">
        <v>0</v>
      </c>
    </row>
    <row r="146" spans="2:14" ht="25.5" customHeight="1">
      <c r="B146" s="152" t="s">
        <v>209</v>
      </c>
      <c r="F146" s="191">
        <v>0</v>
      </c>
      <c r="G146" s="191">
        <v>-390429</v>
      </c>
      <c r="H146" s="14">
        <v>0</v>
      </c>
      <c r="I146" s="108">
        <v>-417184573</v>
      </c>
      <c r="J146" s="108"/>
      <c r="K146" s="191">
        <v>0</v>
      </c>
      <c r="L146" s="14">
        <v>0</v>
      </c>
      <c r="M146" s="14">
        <v>0</v>
      </c>
      <c r="N146" s="14">
        <v>0</v>
      </c>
    </row>
    <row r="147" spans="2:14" ht="25.5" customHeight="1">
      <c r="B147" s="207" t="s">
        <v>210</v>
      </c>
      <c r="F147" s="191">
        <v>0</v>
      </c>
      <c r="G147" s="191">
        <v>0</v>
      </c>
      <c r="H147" s="108">
        <v>-704866015</v>
      </c>
      <c r="I147" s="167">
        <v>0</v>
      </c>
      <c r="J147" s="167"/>
      <c r="K147" s="191">
        <v>0</v>
      </c>
      <c r="L147" s="191">
        <v>0</v>
      </c>
      <c r="M147" s="191">
        <v>0</v>
      </c>
      <c r="N147" s="191">
        <v>0</v>
      </c>
    </row>
    <row r="148" spans="2:14" ht="25.5" customHeight="1">
      <c r="B148" s="152" t="s">
        <v>211</v>
      </c>
      <c r="C148" s="152"/>
      <c r="F148" s="191">
        <v>0</v>
      </c>
      <c r="G148" s="167">
        <v>-1109424</v>
      </c>
      <c r="H148" s="14">
        <v>-690792</v>
      </c>
      <c r="I148" s="167">
        <v>-223274754</v>
      </c>
      <c r="J148" s="167"/>
      <c r="K148" s="191">
        <v>0</v>
      </c>
      <c r="L148" s="14">
        <v>0</v>
      </c>
      <c r="M148" s="14">
        <v>0</v>
      </c>
      <c r="N148" s="14">
        <v>0</v>
      </c>
    </row>
    <row r="149" spans="2:14" ht="25.5" customHeight="1">
      <c r="B149" s="208" t="s">
        <v>124</v>
      </c>
      <c r="F149" s="197">
        <v>0</v>
      </c>
      <c r="G149" s="197">
        <v>0</v>
      </c>
      <c r="H149" s="103">
        <v>-464384</v>
      </c>
      <c r="I149" s="107">
        <v>-3414667</v>
      </c>
      <c r="J149" s="167"/>
      <c r="K149" s="201">
        <v>0</v>
      </c>
      <c r="L149" s="201">
        <v>0</v>
      </c>
      <c r="M149" s="103">
        <v>0</v>
      </c>
      <c r="N149" s="103">
        <v>0</v>
      </c>
    </row>
    <row r="150" spans="2:14" ht="25.5" customHeight="1">
      <c r="B150" s="162" t="s">
        <v>212</v>
      </c>
      <c r="C150" s="161"/>
      <c r="F150" s="191">
        <v>0</v>
      </c>
      <c r="G150" s="198">
        <v>35980121</v>
      </c>
      <c r="H150" s="165">
        <f>SUM(H135:H149)</f>
        <v>-84255029</v>
      </c>
      <c r="I150" s="165">
        <f>SUM(I135:I149)</f>
        <v>-99060107</v>
      </c>
      <c r="J150" s="165"/>
      <c r="K150" s="202">
        <v>0</v>
      </c>
      <c r="L150" s="165">
        <v>0</v>
      </c>
      <c r="M150" s="165">
        <v>0</v>
      </c>
      <c r="N150" s="165">
        <v>0</v>
      </c>
    </row>
    <row r="151" spans="2:14" ht="25.5" customHeight="1">
      <c r="B151" s="152" t="s">
        <v>213</v>
      </c>
      <c r="C151" s="152"/>
      <c r="F151" s="197">
        <v>0</v>
      </c>
      <c r="G151" s="197">
        <v>-19864667</v>
      </c>
      <c r="H151" s="164">
        <v>36167674</v>
      </c>
      <c r="I151" s="107">
        <v>40854797</v>
      </c>
      <c r="J151" s="167"/>
      <c r="K151" s="203">
        <v>0</v>
      </c>
      <c r="L151" s="203">
        <v>0</v>
      </c>
      <c r="M151" s="164">
        <v>0</v>
      </c>
      <c r="N151" s="164">
        <v>0</v>
      </c>
    </row>
    <row r="152" spans="2:14" ht="25.5" customHeight="1">
      <c r="B152" s="135" t="s">
        <v>214</v>
      </c>
      <c r="C152" s="152"/>
      <c r="F152" s="197">
        <v>0</v>
      </c>
      <c r="G152" s="184">
        <v>33279930</v>
      </c>
      <c r="H152" s="163">
        <v>207229165</v>
      </c>
      <c r="I152" s="167">
        <v>170721783</v>
      </c>
      <c r="J152" s="167"/>
      <c r="K152" s="204">
        <v>0</v>
      </c>
      <c r="L152" s="163">
        <v>0</v>
      </c>
      <c r="M152" s="163">
        <v>0</v>
      </c>
      <c r="N152" s="163">
        <v>0</v>
      </c>
    </row>
    <row r="153" spans="2:14" ht="25.5" customHeight="1" thickBot="1">
      <c r="B153" s="161" t="s">
        <v>215</v>
      </c>
      <c r="C153" s="161"/>
      <c r="F153" s="205">
        <v>0</v>
      </c>
      <c r="G153" s="199">
        <v>49395384</v>
      </c>
      <c r="H153" s="166">
        <f>SUM(H150:H152)</f>
        <v>159141810</v>
      </c>
      <c r="I153" s="104">
        <f>SUM(I150:I152)</f>
        <v>112516473</v>
      </c>
      <c r="J153" s="248"/>
      <c r="K153" s="200">
        <f>SUM(K150:K152)</f>
        <v>0</v>
      </c>
      <c r="L153" s="200">
        <f>SUM(L150:L152)</f>
        <v>0</v>
      </c>
      <c r="M153" s="166">
        <f>SUM(M150:M152)</f>
        <v>0</v>
      </c>
      <c r="N153" s="166">
        <f>SUM(N150:N152)</f>
        <v>0</v>
      </c>
    </row>
    <row r="154" spans="2:14" ht="25.5" customHeight="1" thickTop="1"/>
  </sheetData>
  <mergeCells count="20">
    <mergeCell ref="A87:N87"/>
    <mergeCell ref="K89:N89"/>
    <mergeCell ref="F89:I89"/>
    <mergeCell ref="F119:I119"/>
    <mergeCell ref="K119:N119"/>
    <mergeCell ref="A115:N115"/>
    <mergeCell ref="A117:N117"/>
    <mergeCell ref="A116:N116"/>
    <mergeCell ref="F52:I52"/>
    <mergeCell ref="A49:N49"/>
    <mergeCell ref="A48:N48"/>
    <mergeCell ref="A85:N85"/>
    <mergeCell ref="A86:N86"/>
    <mergeCell ref="A1:N1"/>
    <mergeCell ref="A2:N2"/>
    <mergeCell ref="A3:N3"/>
    <mergeCell ref="A4:N4"/>
    <mergeCell ref="A50:N50"/>
    <mergeCell ref="F6:I6"/>
    <mergeCell ref="K6:N6"/>
  </mergeCells>
  <pageMargins left="0.59055118110236227" right="0.19685039370078741" top="0.59055118110236227" bottom="0.39370078740157483" header="0.47244094488188981" footer="0.35433070866141736"/>
  <pageSetup paperSize="9" scale="22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F8F8A-A572-4818-9683-27D0536D2468}">
  <sheetPr codeName="Sheet3">
    <tabColor rgb="FFFFCCFF"/>
  </sheetPr>
  <dimension ref="A1:O46"/>
  <sheetViews>
    <sheetView showGridLines="0" zoomScale="85" zoomScaleNormal="85" workbookViewId="0">
      <selection activeCell="M7" sqref="M7"/>
    </sheetView>
  </sheetViews>
  <sheetFormatPr defaultColWidth="8.7265625" defaultRowHeight="21.5"/>
  <cols>
    <col min="1" max="3" width="8.7265625" style="1"/>
    <col min="4" max="4" width="11.90625" style="1" bestFit="1" customWidth="1"/>
    <col min="5" max="5" width="8.7265625" style="1"/>
    <col min="6" max="6" width="2.54296875" style="1" customWidth="1"/>
    <col min="7" max="9" width="15" style="1" bestFit="1" customWidth="1"/>
    <col min="10" max="10" width="16" style="1" bestFit="1" customWidth="1"/>
    <col min="11" max="11" width="8.7265625" style="1"/>
    <col min="12" max="12" width="14.453125" style="1" customWidth="1"/>
    <col min="13" max="15" width="14.26953125" style="1" bestFit="1" customWidth="1"/>
    <col min="16" max="16384" width="8.7265625" style="1"/>
  </cols>
  <sheetData>
    <row r="1" spans="1:15">
      <c r="A1" s="277"/>
      <c r="B1" s="277"/>
      <c r="C1" s="277"/>
      <c r="D1" s="277"/>
      <c r="E1" s="277"/>
      <c r="F1" s="277"/>
      <c r="G1" s="277"/>
      <c r="H1" s="277"/>
      <c r="I1" s="277"/>
      <c r="J1" s="277"/>
      <c r="K1" s="277"/>
      <c r="L1" s="277"/>
      <c r="M1" s="277"/>
      <c r="N1" s="277"/>
      <c r="O1" s="277"/>
    </row>
    <row r="2" spans="1:15">
      <c r="A2" s="274" t="s">
        <v>0</v>
      </c>
      <c r="B2" s="274"/>
      <c r="C2" s="274"/>
      <c r="D2" s="274"/>
      <c r="E2" s="274"/>
      <c r="F2" s="274"/>
      <c r="G2" s="274"/>
      <c r="H2" s="274"/>
      <c r="I2" s="274"/>
      <c r="J2" s="274"/>
      <c r="K2" s="274"/>
      <c r="L2" s="274"/>
      <c r="M2" s="274"/>
      <c r="N2" s="274"/>
      <c r="O2" s="274"/>
    </row>
    <row r="3" spans="1:15">
      <c r="A3" s="281" t="s">
        <v>216</v>
      </c>
      <c r="B3" s="281"/>
      <c r="C3" s="281"/>
      <c r="D3" s="281"/>
      <c r="E3" s="281"/>
      <c r="F3" s="281"/>
      <c r="G3" s="281"/>
      <c r="H3" s="281"/>
      <c r="I3" s="281"/>
      <c r="J3" s="281"/>
      <c r="K3" s="281"/>
      <c r="L3" s="281"/>
      <c r="M3" s="281"/>
      <c r="N3" s="281"/>
      <c r="O3" s="281"/>
    </row>
    <row r="4" spans="1:15">
      <c r="A4" s="282" t="s">
        <v>91</v>
      </c>
      <c r="B4" s="282"/>
      <c r="C4" s="282"/>
      <c r="D4" s="282"/>
      <c r="E4" s="282"/>
      <c r="F4" s="282"/>
      <c r="G4" s="282"/>
      <c r="H4" s="282"/>
      <c r="I4" s="282"/>
      <c r="J4" s="282"/>
      <c r="K4" s="282"/>
      <c r="L4" s="282"/>
      <c r="M4" s="282"/>
      <c r="N4" s="282"/>
      <c r="O4" s="282"/>
    </row>
    <row r="5" spans="1:15">
      <c r="A5" s="4"/>
      <c r="B5" s="4"/>
      <c r="C5" s="4"/>
      <c r="D5" s="4"/>
      <c r="E5" s="4"/>
      <c r="F5" s="4"/>
      <c r="G5" s="5"/>
      <c r="H5" s="5"/>
      <c r="I5" s="4"/>
      <c r="J5" s="4"/>
      <c r="K5" s="4"/>
      <c r="L5" s="5"/>
      <c r="M5" s="4"/>
      <c r="N5" s="4"/>
      <c r="O5" s="4"/>
    </row>
    <row r="6" spans="1:15">
      <c r="A6" s="4"/>
      <c r="B6" s="4"/>
      <c r="C6" s="4"/>
      <c r="D6" s="4"/>
      <c r="E6" s="4"/>
      <c r="F6" s="3"/>
      <c r="G6" s="283" t="s">
        <v>3</v>
      </c>
      <c r="H6" s="283"/>
      <c r="I6" s="283"/>
      <c r="J6" s="283"/>
      <c r="K6" s="3"/>
      <c r="L6" s="280" t="s">
        <v>4</v>
      </c>
      <c r="M6" s="280"/>
      <c r="N6" s="280"/>
      <c r="O6" s="280"/>
    </row>
    <row r="7" spans="1:15">
      <c r="A7" s="6"/>
      <c r="B7" s="6"/>
      <c r="C7" s="6"/>
      <c r="D7" s="6">
        <f>PL!G21/(PL!G22+PL!G23)</f>
        <v>-138.53122073574923</v>
      </c>
      <c r="E7" s="7"/>
      <c r="G7" s="8" t="s">
        <v>6</v>
      </c>
      <c r="H7" s="8" t="s">
        <v>7</v>
      </c>
      <c r="I7" s="8" t="s">
        <v>8</v>
      </c>
      <c r="J7" s="8" t="s">
        <v>9</v>
      </c>
      <c r="K7" s="9"/>
      <c r="L7" s="8" t="s">
        <v>6</v>
      </c>
      <c r="M7" s="8" t="s">
        <v>7</v>
      </c>
      <c r="N7" s="8" t="s">
        <v>8</v>
      </c>
      <c r="O7" s="8" t="s">
        <v>9</v>
      </c>
    </row>
    <row r="8" spans="1:15">
      <c r="A8" s="10" t="s">
        <v>217</v>
      </c>
      <c r="B8" s="6"/>
      <c r="C8" s="6"/>
      <c r="D8" s="6">
        <f>PL!G21</f>
        <v>1072058623</v>
      </c>
      <c r="E8" s="7"/>
      <c r="G8" s="3"/>
      <c r="H8" s="11"/>
      <c r="I8" s="3"/>
      <c r="J8" s="11"/>
      <c r="K8" s="12"/>
      <c r="L8" s="3"/>
      <c r="M8" s="12"/>
      <c r="N8" s="3"/>
      <c r="O8" s="12"/>
    </row>
    <row r="9" spans="1:15">
      <c r="A9" s="13"/>
      <c r="B9" s="13" t="s">
        <v>218</v>
      </c>
      <c r="C9" s="6"/>
      <c r="D9" s="6"/>
      <c r="E9" s="7"/>
      <c r="G9" s="11">
        <v>4198988327</v>
      </c>
      <c r="H9" s="11">
        <v>4850685822</v>
      </c>
      <c r="I9" s="14">
        <v>5221438702</v>
      </c>
      <c r="J9" s="14">
        <v>6315916159</v>
      </c>
      <c r="K9" s="14"/>
      <c r="L9" s="15">
        <v>0</v>
      </c>
      <c r="M9" s="15">
        <v>0</v>
      </c>
      <c r="N9" s="14">
        <v>0</v>
      </c>
      <c r="O9" s="14">
        <v>0</v>
      </c>
    </row>
    <row r="10" spans="1:15">
      <c r="A10" s="13"/>
      <c r="B10" s="6" t="s">
        <v>219</v>
      </c>
      <c r="C10" s="6"/>
      <c r="D10" s="6"/>
      <c r="E10" s="7"/>
      <c r="G10" s="11">
        <v>6034171</v>
      </c>
      <c r="H10" s="11">
        <v>77739881</v>
      </c>
      <c r="I10" s="14">
        <v>261912564</v>
      </c>
      <c r="J10" s="14">
        <v>454210563</v>
      </c>
      <c r="K10" s="14"/>
      <c r="L10" s="11">
        <v>297955674</v>
      </c>
      <c r="M10" s="11">
        <v>350104327</v>
      </c>
      <c r="N10" s="14">
        <v>486429528</v>
      </c>
      <c r="O10" s="14">
        <v>787690365</v>
      </c>
    </row>
    <row r="11" spans="1:15">
      <c r="A11" s="13"/>
      <c r="B11" s="13" t="s">
        <v>220</v>
      </c>
      <c r="C11" s="6"/>
      <c r="D11" s="6"/>
      <c r="E11" s="7"/>
      <c r="G11" s="15">
        <v>0</v>
      </c>
      <c r="H11" s="15">
        <v>0</v>
      </c>
      <c r="I11" s="14">
        <v>0</v>
      </c>
      <c r="J11" s="14">
        <v>0</v>
      </c>
      <c r="K11" s="14"/>
      <c r="L11" s="11">
        <v>457488159</v>
      </c>
      <c r="M11" s="11">
        <v>697200000</v>
      </c>
      <c r="N11" s="14">
        <v>398400000</v>
      </c>
      <c r="O11" s="14">
        <v>799198600</v>
      </c>
    </row>
    <row r="12" spans="1:15">
      <c r="A12" s="13"/>
      <c r="B12" s="13"/>
      <c r="C12" s="13" t="s">
        <v>221</v>
      </c>
      <c r="D12" s="13"/>
      <c r="E12" s="4"/>
      <c r="G12" s="16">
        <v>4205022498</v>
      </c>
      <c r="H12" s="16">
        <v>4928425703</v>
      </c>
      <c r="I12" s="17">
        <f>SUM(I9:I11)</f>
        <v>5483351266</v>
      </c>
      <c r="J12" s="17">
        <f>SUM(J9:J11)</f>
        <v>6770126722</v>
      </c>
      <c r="K12" s="14"/>
      <c r="L12" s="16">
        <v>755443833</v>
      </c>
      <c r="M12" s="16">
        <v>1047304327</v>
      </c>
      <c r="N12" s="17">
        <f>SUM(N9:N11)</f>
        <v>884829528</v>
      </c>
      <c r="O12" s="17">
        <f>SUM(O9:O11)</f>
        <v>1586888965</v>
      </c>
    </row>
    <row r="13" spans="1:15">
      <c r="A13" s="10" t="s">
        <v>222</v>
      </c>
      <c r="B13" s="13"/>
      <c r="C13" s="13"/>
      <c r="D13" s="13"/>
      <c r="E13" s="4"/>
      <c r="F13" s="18"/>
      <c r="G13" s="14"/>
      <c r="H13" s="14"/>
      <c r="I13" s="14"/>
      <c r="J13" s="14"/>
      <c r="K13" s="14"/>
      <c r="L13" s="14"/>
      <c r="M13" s="14"/>
    </row>
    <row r="14" spans="1:15">
      <c r="A14" s="13"/>
      <c r="B14" s="13" t="s">
        <v>223</v>
      </c>
      <c r="C14" s="13"/>
      <c r="D14" s="13"/>
      <c r="E14" s="4"/>
      <c r="F14" s="18"/>
      <c r="G14" s="11">
        <v>-2341908872</v>
      </c>
      <c r="H14" s="11">
        <v>-2681329149</v>
      </c>
      <c r="I14" s="14">
        <v>-2989828997</v>
      </c>
      <c r="J14" s="14">
        <v>-3774887506</v>
      </c>
      <c r="K14" s="14"/>
      <c r="L14" s="15">
        <v>0</v>
      </c>
      <c r="M14" s="15">
        <v>0</v>
      </c>
      <c r="N14" s="14">
        <v>0</v>
      </c>
      <c r="O14" s="14">
        <v>0</v>
      </c>
    </row>
    <row r="15" spans="1:15">
      <c r="A15" s="13"/>
      <c r="B15" s="13" t="s">
        <v>224</v>
      </c>
      <c r="C15" s="13"/>
      <c r="D15" s="13"/>
      <c r="E15" s="4"/>
      <c r="F15" s="18"/>
      <c r="G15" s="11">
        <v>-6570996</v>
      </c>
      <c r="H15" s="11">
        <v>-45570291</v>
      </c>
      <c r="I15" s="14">
        <v>-89539176</v>
      </c>
      <c r="J15" s="14">
        <v>-231607266</v>
      </c>
      <c r="K15" s="14"/>
      <c r="L15" s="11">
        <v>-229912093</v>
      </c>
      <c r="M15" s="11">
        <v>-335155894</v>
      </c>
      <c r="N15" s="14">
        <v>-439768368</v>
      </c>
      <c r="O15" s="14">
        <v>-517303492</v>
      </c>
    </row>
    <row r="16" spans="1:15">
      <c r="A16" s="13"/>
      <c r="B16" s="13"/>
      <c r="C16" s="13" t="s">
        <v>225</v>
      </c>
      <c r="D16" s="13"/>
      <c r="E16" s="13"/>
      <c r="F16" s="13"/>
      <c r="G16" s="16">
        <v>-2348479868</v>
      </c>
      <c r="H16" s="16">
        <v>-2726899440</v>
      </c>
      <c r="I16" s="17">
        <f>SUM(I14:I15)</f>
        <v>-3079368173</v>
      </c>
      <c r="J16" s="17">
        <f>SUM(J14:J15)</f>
        <v>-4006494772</v>
      </c>
      <c r="K16" s="17"/>
      <c r="L16" s="16">
        <v>-229912093</v>
      </c>
      <c r="M16" s="16">
        <v>-335155894</v>
      </c>
      <c r="N16" s="17">
        <f>SUM(N14:N15)</f>
        <v>-439768368</v>
      </c>
      <c r="O16" s="17">
        <f>SUM(O14:O15)</f>
        <v>-517303492</v>
      </c>
    </row>
    <row r="17" spans="1:15">
      <c r="A17" s="13" t="s">
        <v>226</v>
      </c>
      <c r="B17" s="6"/>
      <c r="C17" s="6"/>
      <c r="D17" s="6"/>
      <c r="E17" s="7"/>
      <c r="F17" s="11"/>
      <c r="G17" s="16">
        <v>1856542630</v>
      </c>
      <c r="H17" s="16">
        <v>2201526263</v>
      </c>
      <c r="I17" s="17">
        <f>+I12+I16</f>
        <v>2403983093</v>
      </c>
      <c r="J17" s="17">
        <f>+J12+J16</f>
        <v>2763631950</v>
      </c>
      <c r="K17" s="17"/>
      <c r="L17" s="16">
        <v>525531740</v>
      </c>
      <c r="M17" s="16">
        <v>712148433</v>
      </c>
      <c r="N17" s="17">
        <f>+N12+N16</f>
        <v>445061160</v>
      </c>
      <c r="O17" s="17">
        <f>+O12+O16</f>
        <v>1069585473</v>
      </c>
    </row>
    <row r="18" spans="1:15">
      <c r="A18" s="13" t="s">
        <v>227</v>
      </c>
      <c r="G18" s="11">
        <v>23063801</v>
      </c>
      <c r="H18" s="11">
        <v>103809372</v>
      </c>
      <c r="I18" s="14">
        <v>485113274</v>
      </c>
      <c r="J18" s="14">
        <v>376747788</v>
      </c>
      <c r="L18" s="11">
        <v>430049</v>
      </c>
      <c r="M18" s="11">
        <v>32463039</v>
      </c>
      <c r="N18" s="14">
        <v>153234250</v>
      </c>
      <c r="O18" s="14">
        <v>148399507</v>
      </c>
    </row>
    <row r="19" spans="1:15">
      <c r="A19" s="13" t="s">
        <v>228</v>
      </c>
      <c r="G19" s="14">
        <v>-451760860</v>
      </c>
      <c r="H19" s="14">
        <v>-452519322</v>
      </c>
      <c r="I19" s="14">
        <v>-666275371</v>
      </c>
      <c r="J19" s="14">
        <v>-843698228</v>
      </c>
      <c r="L19" s="14">
        <v>0</v>
      </c>
      <c r="M19" s="14">
        <v>0</v>
      </c>
      <c r="N19" s="14">
        <v>0</v>
      </c>
      <c r="O19" s="14">
        <v>0</v>
      </c>
    </row>
    <row r="20" spans="1:15">
      <c r="A20" s="13" t="s">
        <v>229</v>
      </c>
      <c r="G20" s="14">
        <v>-355786948</v>
      </c>
      <c r="H20" s="14">
        <v>-428981183</v>
      </c>
      <c r="I20" s="14">
        <v>-578578031</v>
      </c>
      <c r="J20" s="14">
        <v>-775490726</v>
      </c>
      <c r="L20" s="14">
        <v>-78143314</v>
      </c>
      <c r="M20" s="14">
        <v>-91230673</v>
      </c>
      <c r="N20" s="14">
        <v>-155835631</v>
      </c>
      <c r="O20" s="14">
        <v>-271360991</v>
      </c>
    </row>
    <row r="21" spans="1:15">
      <c r="A21" s="13" t="s">
        <v>230</v>
      </c>
      <c r="G21" s="16">
        <v>1072058623</v>
      </c>
      <c r="H21" s="16">
        <v>1423835130</v>
      </c>
      <c r="I21" s="17">
        <f>SUM(I17:I20)</f>
        <v>1644242965</v>
      </c>
      <c r="J21" s="17">
        <v>1521190784</v>
      </c>
      <c r="L21" s="16">
        <v>447818475</v>
      </c>
      <c r="M21" s="16">
        <v>653380799</v>
      </c>
      <c r="N21" s="17">
        <f>SUM(N17:N20)</f>
        <v>442459779</v>
      </c>
      <c r="O21" s="17">
        <f>SUM(O17:O20)</f>
        <v>946623989</v>
      </c>
    </row>
    <row r="22" spans="1:15">
      <c r="A22" s="13" t="s">
        <v>97</v>
      </c>
      <c r="G22" s="14">
        <v>703392</v>
      </c>
      <c r="H22" s="14">
        <v>1465622</v>
      </c>
      <c r="I22" s="14">
        <v>11512591</v>
      </c>
      <c r="J22" s="14">
        <v>27641369</v>
      </c>
      <c r="L22" s="14">
        <v>48607702</v>
      </c>
      <c r="M22" s="14">
        <v>88505697</v>
      </c>
      <c r="N22" s="14">
        <v>206252127</v>
      </c>
      <c r="O22" s="14">
        <v>343984220</v>
      </c>
    </row>
    <row r="23" spans="1:15">
      <c r="A23" s="13" t="s">
        <v>98</v>
      </c>
      <c r="G23" s="14">
        <v>-8442143</v>
      </c>
      <c r="H23" s="14">
        <v>-4188034</v>
      </c>
      <c r="I23" s="14">
        <v>-3561810</v>
      </c>
      <c r="J23" s="14">
        <v>-11282560</v>
      </c>
      <c r="L23" s="14">
        <v>-23976793</v>
      </c>
      <c r="M23" s="14">
        <v>-28187712</v>
      </c>
      <c r="N23" s="14">
        <v>-157124421</v>
      </c>
      <c r="O23" s="14">
        <v>-319304615</v>
      </c>
    </row>
    <row r="24" spans="1:15">
      <c r="A24" s="13" t="s">
        <v>231</v>
      </c>
      <c r="G24" s="19">
        <v>0</v>
      </c>
      <c r="H24" s="19">
        <v>-32694866</v>
      </c>
      <c r="I24" s="19">
        <v>-10818566</v>
      </c>
      <c r="J24" s="19">
        <v>-16490561</v>
      </c>
      <c r="L24" s="19">
        <v>0</v>
      </c>
      <c r="M24" s="19">
        <v>0</v>
      </c>
      <c r="N24" s="19">
        <v>0</v>
      </c>
      <c r="O24" s="19">
        <v>0</v>
      </c>
    </row>
    <row r="25" spans="1:15">
      <c r="A25" s="13" t="s">
        <v>232</v>
      </c>
      <c r="G25" s="11">
        <v>1064319872</v>
      </c>
      <c r="H25" s="11">
        <v>1388417852</v>
      </c>
      <c r="I25" s="14">
        <f>SUM(I21:I24)</f>
        <v>1641375180</v>
      </c>
      <c r="J25" s="14">
        <f>SUM(J21:J24)</f>
        <v>1521059032</v>
      </c>
      <c r="L25" s="11">
        <v>472449384</v>
      </c>
      <c r="M25" s="11">
        <v>713698784</v>
      </c>
      <c r="N25" s="14">
        <f>SUM(N21:N24)</f>
        <v>491587485</v>
      </c>
      <c r="O25" s="14">
        <f>SUM(O21:O24)</f>
        <v>971303594</v>
      </c>
    </row>
    <row r="26" spans="1:15">
      <c r="A26" s="13" t="s">
        <v>233</v>
      </c>
      <c r="G26" s="14">
        <v>-193570425</v>
      </c>
      <c r="H26" s="14">
        <v>-301793487</v>
      </c>
      <c r="I26" s="14">
        <v>-288355186</v>
      </c>
      <c r="J26" s="14">
        <v>-308224414</v>
      </c>
      <c r="L26" s="14">
        <v>-2673357</v>
      </c>
      <c r="M26" s="14">
        <v>-871964</v>
      </c>
      <c r="N26" s="14">
        <v>-10269654</v>
      </c>
      <c r="O26" s="14">
        <v>-35108641</v>
      </c>
    </row>
    <row r="27" spans="1:15">
      <c r="A27" s="13" t="s">
        <v>234</v>
      </c>
      <c r="D27" s="268">
        <f>(PL!G19+PL!G20)</f>
        <v>-807547808</v>
      </c>
      <c r="G27" s="246">
        <v>870749447</v>
      </c>
      <c r="H27" s="246">
        <v>1086624365</v>
      </c>
      <c r="I27" s="211">
        <f>SUM(I25:I26)</f>
        <v>1353019994</v>
      </c>
      <c r="J27" s="211">
        <f>SUM(J25:J26)</f>
        <v>1212834618</v>
      </c>
      <c r="L27" s="16">
        <v>469776027</v>
      </c>
      <c r="M27" s="16">
        <v>712826820</v>
      </c>
      <c r="N27" s="17">
        <f>SUM(N25:N26)</f>
        <v>481317831</v>
      </c>
      <c r="O27" s="17">
        <f>SUM(O25:O26)</f>
        <v>936194953</v>
      </c>
    </row>
    <row r="28" spans="1:15">
      <c r="A28" s="20" t="s">
        <v>235</v>
      </c>
      <c r="G28" s="21">
        <v>0</v>
      </c>
      <c r="H28" s="21">
        <v>0</v>
      </c>
      <c r="I28" s="22"/>
      <c r="J28" s="22"/>
      <c r="L28" s="21">
        <v>0</v>
      </c>
      <c r="M28" s="21">
        <v>0</v>
      </c>
      <c r="N28" s="22"/>
      <c r="O28" s="22"/>
    </row>
    <row r="29" spans="1:15">
      <c r="A29" s="20" t="s">
        <v>236</v>
      </c>
      <c r="G29" s="209"/>
      <c r="H29" s="209"/>
      <c r="I29" s="209"/>
      <c r="J29" s="209"/>
      <c r="K29" s="209"/>
      <c r="N29" s="21"/>
      <c r="O29" s="21"/>
    </row>
    <row r="30" spans="1:15">
      <c r="A30" s="20" t="s">
        <v>237</v>
      </c>
      <c r="I30" s="21"/>
      <c r="J30" s="21"/>
      <c r="N30" s="21"/>
      <c r="O30" s="21"/>
    </row>
    <row r="31" spans="1:15">
      <c r="A31" s="23" t="s">
        <v>238</v>
      </c>
      <c r="I31" s="24">
        <v>5077711</v>
      </c>
      <c r="J31" s="24">
        <v>2546980</v>
      </c>
      <c r="N31" s="24">
        <v>3527642</v>
      </c>
      <c r="O31" s="24">
        <v>-139505</v>
      </c>
    </row>
    <row r="32" spans="1:15">
      <c r="A32" s="20" t="s">
        <v>239</v>
      </c>
      <c r="I32" s="21">
        <f>SUM(I31)</f>
        <v>5077711</v>
      </c>
      <c r="J32" s="21">
        <f>SUM(J31)</f>
        <v>2546980</v>
      </c>
      <c r="N32" s="21">
        <f>SUM(N31)</f>
        <v>3527642</v>
      </c>
      <c r="O32" s="21">
        <f>SUM(O31)</f>
        <v>-139505</v>
      </c>
    </row>
    <row r="33" spans="1:15" ht="22" thickBot="1">
      <c r="A33" s="20" t="s">
        <v>240</v>
      </c>
      <c r="G33" s="25">
        <v>870749447</v>
      </c>
      <c r="H33" s="25">
        <v>1086624365</v>
      </c>
      <c r="I33" s="26">
        <f>I27+I32</f>
        <v>1358097705</v>
      </c>
      <c r="J33" s="26">
        <f>J27+J32</f>
        <v>1215381598</v>
      </c>
      <c r="L33" s="25">
        <v>469776027</v>
      </c>
      <c r="M33" s="25">
        <v>712826820</v>
      </c>
      <c r="N33" s="26">
        <f>N27+N32</f>
        <v>484845473</v>
      </c>
      <c r="O33" s="26">
        <f>O27+O32</f>
        <v>936055448</v>
      </c>
    </row>
    <row r="34" spans="1:15" ht="22" thickTop="1">
      <c r="I34" s="27"/>
      <c r="J34" s="27"/>
      <c r="N34" s="13"/>
      <c r="O34" s="27"/>
    </row>
    <row r="35" spans="1:15">
      <c r="A35" s="10" t="s">
        <v>241</v>
      </c>
      <c r="B35" s="13"/>
      <c r="C35" s="13"/>
      <c r="D35" s="13"/>
      <c r="E35" s="13"/>
      <c r="I35" s="28"/>
      <c r="J35" s="28"/>
      <c r="N35" s="28"/>
      <c r="O35" s="28"/>
    </row>
    <row r="36" spans="1:15">
      <c r="A36" s="13"/>
      <c r="B36" s="13" t="s">
        <v>242</v>
      </c>
      <c r="C36" s="13"/>
      <c r="D36" s="13"/>
      <c r="E36" s="13"/>
      <c r="G36" s="11">
        <v>873898687</v>
      </c>
      <c r="H36" s="11">
        <v>951363526</v>
      </c>
      <c r="I36" s="11">
        <v>1118521778</v>
      </c>
      <c r="J36" s="11">
        <v>1092223050</v>
      </c>
      <c r="L36" s="11">
        <v>469776027</v>
      </c>
      <c r="M36" s="11">
        <v>712826820</v>
      </c>
      <c r="N36" s="11">
        <v>481317831</v>
      </c>
      <c r="O36" s="11">
        <f>+O27</f>
        <v>936194953</v>
      </c>
    </row>
    <row r="37" spans="1:15">
      <c r="A37" s="13"/>
      <c r="B37" s="13" t="s">
        <v>243</v>
      </c>
      <c r="C37" s="13"/>
      <c r="D37" s="13"/>
      <c r="E37" s="13"/>
      <c r="G37" s="11">
        <v>-3149240</v>
      </c>
      <c r="H37" s="11">
        <v>135260839</v>
      </c>
      <c r="I37" s="11">
        <v>234498216</v>
      </c>
      <c r="J37" s="11">
        <v>120611568</v>
      </c>
      <c r="L37" s="15">
        <v>0</v>
      </c>
      <c r="M37" s="15">
        <v>0</v>
      </c>
      <c r="N37" s="15">
        <v>0</v>
      </c>
      <c r="O37" s="15">
        <v>0</v>
      </c>
    </row>
    <row r="38" spans="1:15">
      <c r="A38" s="13"/>
      <c r="B38" s="13"/>
      <c r="C38" s="13"/>
      <c r="D38" s="13"/>
      <c r="E38" s="13"/>
      <c r="G38" s="16">
        <v>870749447</v>
      </c>
      <c r="H38" s="16">
        <v>1086624365</v>
      </c>
      <c r="I38" s="16">
        <f>I27</f>
        <v>1353019994</v>
      </c>
      <c r="J38" s="16">
        <f>SUM(J36:J37)</f>
        <v>1212834618</v>
      </c>
      <c r="L38" s="16">
        <v>469776027</v>
      </c>
      <c r="M38" s="16">
        <v>712826820</v>
      </c>
      <c r="N38" s="16">
        <f>N27</f>
        <v>481317831</v>
      </c>
      <c r="O38" s="16">
        <f>O27</f>
        <v>936194953</v>
      </c>
    </row>
    <row r="39" spans="1:15">
      <c r="A39" s="10" t="s">
        <v>244</v>
      </c>
      <c r="B39" s="13"/>
      <c r="C39" s="13"/>
      <c r="D39" s="13"/>
      <c r="E39" s="13"/>
      <c r="G39" s="28"/>
      <c r="H39" s="28"/>
      <c r="I39" s="28"/>
      <c r="J39" s="28"/>
      <c r="L39" s="28"/>
      <c r="M39" s="28"/>
      <c r="N39" s="28"/>
      <c r="O39" s="28"/>
    </row>
    <row r="40" spans="1:15">
      <c r="A40" s="13"/>
      <c r="B40" s="13" t="s">
        <v>242</v>
      </c>
      <c r="C40" s="13"/>
      <c r="D40" s="13"/>
      <c r="E40" s="13"/>
      <c r="G40" s="11">
        <v>873898687</v>
      </c>
      <c r="H40" s="11">
        <v>951363526</v>
      </c>
      <c r="I40" s="11">
        <v>1123507406</v>
      </c>
      <c r="J40" s="11">
        <v>1093466048</v>
      </c>
      <c r="L40" s="11">
        <v>469776027</v>
      </c>
      <c r="M40" s="11">
        <v>712826820</v>
      </c>
      <c r="N40" s="11">
        <v>484845473</v>
      </c>
      <c r="O40" s="11">
        <f>+O33</f>
        <v>936055448</v>
      </c>
    </row>
    <row r="41" spans="1:15">
      <c r="A41" s="13"/>
      <c r="B41" s="13" t="s">
        <v>243</v>
      </c>
      <c r="C41" s="13"/>
      <c r="D41" s="13"/>
      <c r="E41" s="13"/>
      <c r="G41" s="11">
        <v>-3149240</v>
      </c>
      <c r="H41" s="11">
        <v>135260839</v>
      </c>
      <c r="I41" s="11">
        <v>234590299</v>
      </c>
      <c r="J41" s="11">
        <v>121915550</v>
      </c>
      <c r="L41" s="15">
        <v>0</v>
      </c>
      <c r="M41" s="15">
        <v>0</v>
      </c>
      <c r="N41" s="15">
        <v>0</v>
      </c>
      <c r="O41" s="15">
        <v>0</v>
      </c>
    </row>
    <row r="42" spans="1:15" ht="22" thickBot="1">
      <c r="A42" s="13"/>
      <c r="B42" s="13"/>
      <c r="C42" s="13"/>
      <c r="D42" s="13"/>
      <c r="E42" s="13"/>
      <c r="G42" s="29">
        <v>870749447</v>
      </c>
      <c r="H42" s="29">
        <v>1086624365</v>
      </c>
      <c r="I42" s="29">
        <f>I33</f>
        <v>1358097705</v>
      </c>
      <c r="J42" s="29">
        <f>J33</f>
        <v>1215381598</v>
      </c>
      <c r="L42" s="29">
        <v>469776027</v>
      </c>
      <c r="M42" s="29">
        <v>712826820</v>
      </c>
      <c r="N42" s="29">
        <f>N33</f>
        <v>484845473</v>
      </c>
      <c r="O42" s="29">
        <f>O33</f>
        <v>936055448</v>
      </c>
    </row>
    <row r="43" spans="1:15" ht="22" thickTop="1">
      <c r="A43" s="13" t="s">
        <v>245</v>
      </c>
      <c r="B43" s="13"/>
      <c r="C43" s="13"/>
      <c r="D43" s="13"/>
      <c r="E43" s="13"/>
      <c r="H43" s="13"/>
      <c r="I43" s="13"/>
      <c r="J43" s="13"/>
      <c r="M43" s="13"/>
      <c r="N43" s="13"/>
      <c r="O43" s="13"/>
    </row>
    <row r="44" spans="1:15">
      <c r="A44" s="13" t="s">
        <v>246</v>
      </c>
      <c r="B44" s="13"/>
      <c r="C44" s="13"/>
      <c r="D44" s="13"/>
      <c r="E44" s="13"/>
      <c r="G44" s="30">
        <v>1.3996438806681599</v>
      </c>
      <c r="H44" s="30">
        <v>1.2119139895895705</v>
      </c>
      <c r="I44" s="30">
        <f>I36/I45</f>
        <v>1.3064994580515656</v>
      </c>
      <c r="J44" s="30">
        <f>J36/J45</f>
        <v>1.2462834604971105</v>
      </c>
      <c r="L44" s="30">
        <v>0.75239744750314541</v>
      </c>
      <c r="M44" s="30">
        <v>0.90804910184526733</v>
      </c>
      <c r="N44" s="30">
        <f>N36/N45</f>
        <v>0.5622076366510006</v>
      </c>
      <c r="O44" s="30">
        <f>O36/O45</f>
        <v>1.068247264809848</v>
      </c>
    </row>
    <row r="45" spans="1:15">
      <c r="A45" s="13" t="s">
        <v>247</v>
      </c>
      <c r="B45" s="13"/>
      <c r="C45" s="13"/>
      <c r="D45" s="13"/>
      <c r="E45" s="4"/>
      <c r="G45" s="210">
        <v>624372170</v>
      </c>
      <c r="H45" s="210">
        <v>785009113</v>
      </c>
      <c r="I45" s="210">
        <v>856121119</v>
      </c>
      <c r="J45" s="210">
        <v>876384133</v>
      </c>
      <c r="L45" s="31">
        <v>624372170</v>
      </c>
      <c r="M45" s="31">
        <v>785009113</v>
      </c>
      <c r="N45" s="31">
        <v>856121119</v>
      </c>
      <c r="O45" s="31">
        <v>876384133</v>
      </c>
    </row>
    <row r="46" spans="1:15">
      <c r="J46" s="209"/>
    </row>
  </sheetData>
  <mergeCells count="6">
    <mergeCell ref="A1:O1"/>
    <mergeCell ref="A2:O2"/>
    <mergeCell ref="A3:O3"/>
    <mergeCell ref="A4:O4"/>
    <mergeCell ref="G6:J6"/>
    <mergeCell ref="L6:O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2C6DF-B724-4D54-8F62-9C6E123D3C0B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092C2-B0E0-4E5F-88A7-3F2F4507F436}">
  <sheetPr codeName="Sheet6">
    <tabColor theme="4"/>
    <pageSetUpPr fitToPage="1"/>
  </sheetPr>
  <dimension ref="B3:M46"/>
  <sheetViews>
    <sheetView tabSelected="1" zoomScale="55" zoomScaleNormal="55" workbookViewId="0">
      <selection activeCell="B8" sqref="B8"/>
    </sheetView>
  </sheetViews>
  <sheetFormatPr defaultColWidth="8.7265625" defaultRowHeight="35.5"/>
  <cols>
    <col min="1" max="1" width="5.08984375" style="266" customWidth="1"/>
    <col min="2" max="2" width="27.7265625" style="266" customWidth="1"/>
    <col min="3" max="3" width="35.453125" style="352" bestFit="1" customWidth="1"/>
    <col min="4" max="4" width="3.81640625" style="266" customWidth="1"/>
    <col min="5" max="8" width="26.453125" style="358" bestFit="1" customWidth="1"/>
    <col min="9" max="9" width="13.90625" style="266" customWidth="1"/>
    <col min="10" max="12" width="8.7265625" style="266"/>
    <col min="13" max="13" width="8.7265625" style="266" customWidth="1"/>
    <col min="14" max="16384" width="8.7265625" style="266"/>
  </cols>
  <sheetData>
    <row r="3" spans="2:13" ht="47.5" customHeight="1">
      <c r="B3" s="264"/>
      <c r="C3" s="366" t="s">
        <v>248</v>
      </c>
      <c r="D3" s="269"/>
      <c r="E3" s="357">
        <v>2020</v>
      </c>
      <c r="F3" s="357">
        <f>E3+1</f>
        <v>2021</v>
      </c>
      <c r="G3" s="357">
        <f>F3+1</f>
        <v>2022</v>
      </c>
      <c r="H3" s="357">
        <f>G3+1</f>
        <v>2023</v>
      </c>
      <c r="I3" s="265"/>
      <c r="J3" s="265"/>
      <c r="K3" s="265"/>
      <c r="L3" s="265"/>
      <c r="M3" s="265"/>
    </row>
    <row r="4" spans="2:13" ht="47.5" customHeight="1">
      <c r="C4" s="356" t="s">
        <v>251</v>
      </c>
      <c r="D4" s="245"/>
      <c r="E4" s="355">
        <f>BL!F69/BL!F35</f>
        <v>0.71854342959697359</v>
      </c>
      <c r="F4" s="355">
        <f>BL!G69/BL!G35</f>
        <v>0.56449523381425093</v>
      </c>
      <c r="G4" s="355">
        <f>BL!H69/BL!H35</f>
        <v>0.61684945956708592</v>
      </c>
      <c r="H4" s="355">
        <f>BL!I69/BL!I35</f>
        <v>0.69282877259787856</v>
      </c>
      <c r="I4" s="272"/>
    </row>
    <row r="5" spans="2:13" ht="47.5" customHeight="1">
      <c r="C5" s="356" t="s">
        <v>377</v>
      </c>
      <c r="D5" s="245"/>
      <c r="E5" s="355">
        <f>BL!F69/BL!F97</f>
        <v>2.5529460142574352</v>
      </c>
      <c r="F5" s="355">
        <f>BL!G69/BL!G97</f>
        <v>1.2961861215853734</v>
      </c>
      <c r="G5" s="355">
        <f>BL!H69/BL!H97</f>
        <v>1.6099402048868834</v>
      </c>
      <c r="H5" s="355">
        <f>BL!I69/BL!I97</f>
        <v>2.255513247309743</v>
      </c>
      <c r="I5" s="272"/>
    </row>
    <row r="6" spans="2:13" ht="47.5" customHeight="1">
      <c r="C6" s="356" t="s">
        <v>375</v>
      </c>
      <c r="D6" s="245"/>
      <c r="E6" s="355">
        <f>PL!G21/(PL!G22+PL!G23)</f>
        <v>-138.53122073574923</v>
      </c>
      <c r="F6" s="355">
        <f>PL!H21/(PL!H22+PL!H23)</f>
        <v>-523.00501540545667</v>
      </c>
      <c r="G6" s="355">
        <f>PL!I21/(PL!I22+PL!I23)</f>
        <v>206.80269837642365</v>
      </c>
      <c r="H6" s="355">
        <f>PL!J21/(PL!J22+PL!J23)</f>
        <v>92.989091320767912</v>
      </c>
      <c r="I6" s="270"/>
    </row>
    <row r="7" spans="2:13" ht="47.5" customHeight="1">
      <c r="C7" s="356" t="s">
        <v>249</v>
      </c>
      <c r="D7" s="245"/>
      <c r="E7" s="355">
        <f>PL!G21+CF!F15+CF!F16</f>
        <v>1118051070</v>
      </c>
      <c r="F7" s="355">
        <f>PL!H21+CF!G15+CF!G16</f>
        <v>1490571878</v>
      </c>
      <c r="G7" s="355">
        <f>PL!I21+CF!H15+CF!H16</f>
        <v>1751311293</v>
      </c>
      <c r="H7" s="355">
        <f>PL!J21+CF!I15+CF!I16</f>
        <v>1669172534</v>
      </c>
    </row>
    <row r="8" spans="2:13" ht="47.5" customHeight="1">
      <c r="C8" s="356" t="s">
        <v>376</v>
      </c>
      <c r="D8" s="245"/>
      <c r="E8" s="355">
        <f>E7/SUM(PL!G22:G23,BL!F41)</f>
        <v>0.41145506982154739</v>
      </c>
      <c r="F8" s="355">
        <f>F7/SUM(PL!H22:H23,BL!G41)</f>
        <v>0.34701476560622491</v>
      </c>
      <c r="G8" s="355">
        <f>G7/SUM(PL!I22:I23,BL!H41)</f>
        <v>0.24517985992526592</v>
      </c>
      <c r="H8" s="355">
        <f>H7/SUM(PL!J22:J23,BL!I41)</f>
        <v>0.13111497963553895</v>
      </c>
      <c r="I8" s="270"/>
    </row>
    <row r="9" spans="2:13">
      <c r="C9" s="353"/>
      <c r="D9" s="245"/>
    </row>
    <row r="10" spans="2:13" ht="47.5" customHeight="1">
      <c r="B10" s="267"/>
      <c r="C10" s="367" t="s">
        <v>250</v>
      </c>
      <c r="D10" s="269"/>
      <c r="E10" s="357">
        <v>2020</v>
      </c>
      <c r="F10" s="357">
        <f>E10+1</f>
        <v>2021</v>
      </c>
      <c r="G10" s="357">
        <f>F10+1</f>
        <v>2022</v>
      </c>
      <c r="H10" s="357">
        <f>G10+1</f>
        <v>2023</v>
      </c>
    </row>
    <row r="11" spans="2:13" ht="47.5" customHeight="1">
      <c r="C11" s="356" t="s">
        <v>378</v>
      </c>
      <c r="D11" s="245"/>
      <c r="E11" s="359">
        <f>BL!F17/BL!F57</f>
        <v>2.3528230557287997</v>
      </c>
      <c r="F11" s="359">
        <f>BL!G17/BL!G57</f>
        <v>3.8747479432193126</v>
      </c>
      <c r="G11" s="359">
        <f>BL!H17/BL!H57</f>
        <v>3.2450757415246412</v>
      </c>
      <c r="H11" s="359">
        <f>BL!I17/BL!I57</f>
        <v>2.8986633783854279</v>
      </c>
      <c r="I11" s="271"/>
    </row>
    <row r="12" spans="2:13" ht="47.5" customHeight="1">
      <c r="C12" s="356" t="s">
        <v>251</v>
      </c>
      <c r="D12" s="245"/>
      <c r="E12" s="359">
        <f>BL!F69/BL!F97</f>
        <v>2.5529460142574352</v>
      </c>
      <c r="F12" s="359">
        <f>BL!G69/BL!G97</f>
        <v>1.2961861215853734</v>
      </c>
      <c r="G12" s="359">
        <f>BL!H69/BL!H97</f>
        <v>1.6099402048868834</v>
      </c>
      <c r="H12" s="359">
        <f>BL!I69/BL!I97</f>
        <v>2.255513247309743</v>
      </c>
      <c r="I12" s="271"/>
    </row>
    <row r="13" spans="2:13" ht="47.5" customHeight="1">
      <c r="C13" s="356" t="s">
        <v>252</v>
      </c>
      <c r="D13" s="245"/>
      <c r="E13" s="355">
        <f>BL!F8/BL!F57</f>
        <v>0.10029724176939206</v>
      </c>
      <c r="F13" s="355">
        <f>BL!G8/BL!G57</f>
        <v>0.2915839316446282</v>
      </c>
      <c r="G13" s="355">
        <f>BL!H8/BL!H57</f>
        <v>0.18144462510853851</v>
      </c>
      <c r="H13" s="355">
        <f>BL!I8/BL!I57</f>
        <v>0.19071619752780261</v>
      </c>
    </row>
    <row r="14" spans="2:13">
      <c r="C14" s="354"/>
      <c r="D14" s="244"/>
    </row>
    <row r="15" spans="2:13" ht="47.5" customHeight="1">
      <c r="C15" s="367" t="s">
        <v>253</v>
      </c>
      <c r="D15" s="269"/>
      <c r="E15" s="357">
        <v>2020</v>
      </c>
      <c r="F15" s="357">
        <f>E15+1</f>
        <v>2021</v>
      </c>
      <c r="G15" s="357">
        <f>F15+1</f>
        <v>2022</v>
      </c>
      <c r="H15" s="357">
        <f>G15+1</f>
        <v>2023</v>
      </c>
    </row>
    <row r="16" spans="2:13" ht="47.5" customHeight="1">
      <c r="C16" s="356" t="s">
        <v>367</v>
      </c>
      <c r="D16" s="245"/>
      <c r="E16" s="355">
        <f>PL!G12/BL!F35</f>
        <v>0.51532161039094104</v>
      </c>
      <c r="F16" s="355">
        <f>PL!H12/BL!G35</f>
        <v>0.43478792343681427</v>
      </c>
      <c r="G16" s="355">
        <f>PL!I12/BL!H35</f>
        <v>0.35293098570215931</v>
      </c>
      <c r="H16" s="355">
        <f>PL!J12/BL!I35</f>
        <v>0.27787728528743999</v>
      </c>
    </row>
    <row r="17" spans="3:8" ht="47.5" customHeight="1">
      <c r="C17" s="356" t="s">
        <v>254</v>
      </c>
      <c r="D17" s="245"/>
      <c r="E17" s="355">
        <f>PL!G12/BL!F27</f>
        <v>18.484707720486128</v>
      </c>
      <c r="F17" s="355">
        <f>PL!H12/BL!G27</f>
        <v>16.883135765694156</v>
      </c>
      <c r="G17" s="355">
        <f>PL!I12/BL!H27</f>
        <v>16.085814543777278</v>
      </c>
      <c r="H17" s="355">
        <f>PL!J12/BL!I27</f>
        <v>7.1448532324491909</v>
      </c>
    </row>
    <row r="18" spans="3:8" ht="47.5" customHeight="1">
      <c r="C18" s="356" t="s">
        <v>255</v>
      </c>
      <c r="D18" s="245"/>
      <c r="E18" s="359">
        <f>365/E17</f>
        <v>19.746052007924359</v>
      </c>
      <c r="F18" s="359">
        <f t="shared" ref="F18:H18" si="0">365/F17</f>
        <v>21.619206589670689</v>
      </c>
      <c r="G18" s="359">
        <f t="shared" si="0"/>
        <v>22.690799959595363</v>
      </c>
      <c r="H18" s="359">
        <f t="shared" si="0"/>
        <v>51.085723964532903</v>
      </c>
    </row>
    <row r="19" spans="3:8" ht="47.5" hidden="1" customHeight="1">
      <c r="C19" s="356" t="s">
        <v>256</v>
      </c>
      <c r="D19" s="245"/>
      <c r="E19" s="360">
        <f>-(PL!G16/365)</f>
        <v>6434191.4191780826</v>
      </c>
      <c r="F19" s="360">
        <f>-(PL!H16/365)</f>
        <v>7470957.3698630137</v>
      </c>
      <c r="G19" s="360">
        <f>-(PL!I16/365)</f>
        <v>8436625.1315068491</v>
      </c>
      <c r="H19" s="360">
        <f>-(PL!J16/365)</f>
        <v>10976698.005479451</v>
      </c>
    </row>
    <row r="20" spans="3:8" ht="47.5" customHeight="1">
      <c r="C20" s="356" t="s">
        <v>257</v>
      </c>
      <c r="D20" s="245"/>
      <c r="E20" s="359">
        <f>BL!F9/E21</f>
        <v>25.119690577217931</v>
      </c>
      <c r="F20" s="359">
        <f>BL!G9/F21</f>
        <v>27.098244901755397</v>
      </c>
      <c r="G20" s="359">
        <f>BL!H9/G21</f>
        <v>23.709555805064852</v>
      </c>
      <c r="H20" s="359">
        <f>BL!I9/H21</f>
        <v>40.705207367018026</v>
      </c>
    </row>
    <row r="21" spans="3:8" ht="47.5" hidden="1" customHeight="1">
      <c r="C21" s="356" t="s">
        <v>258</v>
      </c>
      <c r="D21" s="245"/>
      <c r="E21" s="361">
        <f>PL!G12/365</f>
        <v>11520609.583561644</v>
      </c>
      <c r="F21" s="361">
        <f>PL!H12/365</f>
        <v>13502536.172602739</v>
      </c>
      <c r="G21" s="361">
        <f>PL!I12/365</f>
        <v>15022880.180821918</v>
      </c>
      <c r="H21" s="361">
        <f>PL!J12/365</f>
        <v>18548292.389041096</v>
      </c>
    </row>
    <row r="22" spans="3:8" ht="47.5" customHeight="1">
      <c r="C22" s="356" t="s">
        <v>259</v>
      </c>
      <c r="D22" s="245"/>
      <c r="E22" s="355">
        <f>(BL!F47/Ratio!E19)*365</f>
        <v>61252.075009037289</v>
      </c>
      <c r="F22" s="355">
        <f>(BL!G47/Ratio!F19)*365</f>
        <v>59362.279297563684</v>
      </c>
      <c r="G22" s="355">
        <f>(BL!H47/Ratio!G19)*365</f>
        <v>53449.877397771626</v>
      </c>
      <c r="H22" s="355">
        <f>(BL!I47/Ratio!H19)*365</f>
        <v>41903.494654803457</v>
      </c>
    </row>
    <row r="23" spans="3:8" ht="47.5" customHeight="1">
      <c r="C23" s="356" t="s">
        <v>260</v>
      </c>
      <c r="D23" s="245"/>
      <c r="E23" s="359">
        <f>BL!F56/Ratio!E24</f>
        <v>80.544373819908884</v>
      </c>
      <c r="F23" s="359">
        <f>BL!G56/Ratio!F24</f>
        <v>54.569049645638039</v>
      </c>
      <c r="G23" s="359">
        <f>BL!H56/Ratio!G24</f>
        <v>48.100744018370769</v>
      </c>
      <c r="H23" s="359">
        <f>BL!I56/Ratio!H24</f>
        <v>34.286771965589878</v>
      </c>
    </row>
    <row r="24" spans="3:8" ht="47.5" hidden="1" customHeight="1">
      <c r="C24" s="356" t="s">
        <v>261</v>
      </c>
      <c r="D24" s="245"/>
      <c r="E24" s="360">
        <f>-(PL!G19+PL!G20)/365</f>
        <v>2212459.7479452053</v>
      </c>
      <c r="F24" s="360">
        <f>-(PL!H19+PL!H20)/365</f>
        <v>2415069.8767123288</v>
      </c>
      <c r="G24" s="360">
        <f>-(PL!I19+PL!I20)/365</f>
        <v>3410557.2657534247</v>
      </c>
      <c r="H24" s="360">
        <f>-(PL!J19+PL!J20)/365</f>
        <v>4436134.1205479456</v>
      </c>
    </row>
    <row r="25" spans="3:8" ht="47.5" customHeight="1">
      <c r="C25" s="356" t="s">
        <v>262</v>
      </c>
      <c r="D25" s="245"/>
      <c r="E25" s="355">
        <f>E18+E20-E22</f>
        <v>-61207.209266452148</v>
      </c>
      <c r="F25" s="355">
        <f>F18+F20-F22</f>
        <v>-59313.561846072254</v>
      </c>
      <c r="G25" s="355">
        <f>G18+G20-G22</f>
        <v>-53403.477042006969</v>
      </c>
      <c r="H25" s="355">
        <f>H18+H20-H22</f>
        <v>-41811.703723471903</v>
      </c>
    </row>
    <row r="26" spans="3:8">
      <c r="C26" s="354"/>
      <c r="D26" s="244"/>
    </row>
    <row r="27" spans="3:8" ht="47.5" customHeight="1">
      <c r="C27" s="367" t="s">
        <v>263</v>
      </c>
      <c r="D27" s="269"/>
      <c r="E27" s="357">
        <v>2020</v>
      </c>
      <c r="F27" s="357">
        <f>E27+1</f>
        <v>2021</v>
      </c>
      <c r="G27" s="357">
        <f>F27+1</f>
        <v>2022</v>
      </c>
      <c r="H27" s="357">
        <f>G27+1</f>
        <v>2023</v>
      </c>
    </row>
    <row r="28" spans="3:8" ht="47.5" customHeight="1">
      <c r="C28" s="356" t="s">
        <v>264</v>
      </c>
      <c r="D28" s="245"/>
      <c r="E28" s="362">
        <f>PL!G17/PL!G12</f>
        <v>0.441505992151769</v>
      </c>
      <c r="F28" s="362">
        <f>PL!H17/PL!H12</f>
        <v>0.44669969594142422</v>
      </c>
      <c r="G28" s="362">
        <f>PL!I17/PL!I12</f>
        <v>0.43841493575399915</v>
      </c>
      <c r="H28" s="362">
        <f>PL!J17/PL!J12</f>
        <v>0.40820978151256532</v>
      </c>
    </row>
    <row r="29" spans="3:8" ht="47.5" customHeight="1">
      <c r="C29" s="356" t="s">
        <v>265</v>
      </c>
      <c r="D29" s="245"/>
      <c r="E29" s="362">
        <f>PL!G21/PL!G12</f>
        <v>0.25494717888189522</v>
      </c>
      <c r="F29" s="362">
        <f>PL!H21/PL!H12</f>
        <v>0.28890262647832798</v>
      </c>
      <c r="G29" s="362">
        <f>PL!I21/PL!I12</f>
        <v>0.29986095824195552</v>
      </c>
      <c r="H29" s="362">
        <f>PL!J21/PL!J12</f>
        <v>0.22469162638518778</v>
      </c>
    </row>
    <row r="30" spans="3:8" ht="47.5" customHeight="1">
      <c r="C30" s="356" t="s">
        <v>266</v>
      </c>
      <c r="D30" s="245"/>
      <c r="E30" s="362">
        <f>PL!G27/PL!G12</f>
        <v>0.20707367140464703</v>
      </c>
      <c r="F30" s="362">
        <f>PL!H27/PL!H12</f>
        <v>0.22048102791497026</v>
      </c>
      <c r="G30" s="362">
        <f>PL!I27/PL!I12</f>
        <v>0.2467505597150996</v>
      </c>
      <c r="H30" s="362">
        <f>PL!J27/PL!J12</f>
        <v>0.1791450393474629</v>
      </c>
    </row>
    <row r="31" spans="3:8" ht="47.5" customHeight="1">
      <c r="C31" s="356" t="s">
        <v>267</v>
      </c>
      <c r="D31" s="245"/>
      <c r="E31" s="362">
        <f>PL!G33/BL!F35</f>
        <v>0.10670953781780726</v>
      </c>
      <c r="F31" s="362">
        <f>PL!H33/BL!G35</f>
        <v>9.5862488284364208E-2</v>
      </c>
      <c r="G31" s="362">
        <f>PL!I33/BL!H35</f>
        <v>8.7412740576647635E-2</v>
      </c>
      <c r="H31" s="362">
        <f>PL!J33/BL!I35</f>
        <v>4.9884877035326888E-2</v>
      </c>
    </row>
    <row r="32" spans="3:8" ht="47.5" customHeight="1">
      <c r="C32" s="356" t="s">
        <v>268</v>
      </c>
      <c r="D32" s="245"/>
      <c r="E32" s="362">
        <f>PL!G27/BL!F97</f>
        <v>0.37913322707303138</v>
      </c>
      <c r="F32" s="362">
        <f>PL!H27/BL!G97</f>
        <v>0.22011811517919755</v>
      </c>
      <c r="G32" s="362">
        <f>PL!I27/BL!H97</f>
        <v>0.22728903935359973</v>
      </c>
      <c r="H32" s="362">
        <f>PL!J27/BL!I97</f>
        <v>0.16206054723158228</v>
      </c>
    </row>
    <row r="33" spans="3:8" ht="47.5" customHeight="1">
      <c r="C33" s="356" t="s">
        <v>269</v>
      </c>
      <c r="D33" s="245"/>
      <c r="E33" s="355">
        <f>E32/E31</f>
        <v>3.5529460142574356</v>
      </c>
      <c r="F33" s="355">
        <f t="shared" ref="F33:H33" si="1">F32/F31</f>
        <v>2.2961861215853734</v>
      </c>
      <c r="G33" s="355">
        <f t="shared" si="1"/>
        <v>2.600182054174379</v>
      </c>
      <c r="H33" s="355">
        <f t="shared" si="1"/>
        <v>3.2486909232394447</v>
      </c>
    </row>
    <row r="34" spans="3:8">
      <c r="C34" s="354"/>
      <c r="D34" s="244"/>
    </row>
    <row r="35" spans="3:8" ht="47.5" customHeight="1">
      <c r="C35" s="367" t="s">
        <v>270</v>
      </c>
      <c r="D35" s="269"/>
      <c r="E35" s="357">
        <v>2020</v>
      </c>
      <c r="F35" s="357">
        <f>E35+1</f>
        <v>2021</v>
      </c>
      <c r="G35" s="357">
        <f>F35+1</f>
        <v>2022</v>
      </c>
      <c r="H35" s="357">
        <f>G35+1</f>
        <v>2023</v>
      </c>
    </row>
    <row r="36" spans="3:8" ht="47.5" customHeight="1">
      <c r="C36" s="356" t="s">
        <v>362</v>
      </c>
      <c r="D36" s="245"/>
      <c r="E36" s="362">
        <f>PL!G33/Ratio!E39</f>
        <v>0.17217284320727341</v>
      </c>
      <c r="F36" s="362">
        <f>PL!H33/Ratio!F39</f>
        <v>0.16677334826401063</v>
      </c>
      <c r="G36" s="362">
        <f>PL!I33/Ratio!G39</f>
        <v>0.1888497954625106</v>
      </c>
      <c r="H36" s="362">
        <f>PL!J33/Ratio!H39</f>
        <v>0.17227500454631622</v>
      </c>
    </row>
    <row r="37" spans="3:8" ht="47.5" customHeight="1">
      <c r="C37" s="356" t="s">
        <v>271</v>
      </c>
      <c r="D37" s="245"/>
      <c r="E37" s="359">
        <v>8.1</v>
      </c>
      <c r="F37" s="359">
        <v>8.3000000000000007</v>
      </c>
      <c r="G37" s="359">
        <v>8.4</v>
      </c>
      <c r="H37" s="359">
        <v>8.0500000000000007</v>
      </c>
    </row>
    <row r="38" spans="3:8" ht="47.5" customHeight="1">
      <c r="C38" s="356" t="s">
        <v>272</v>
      </c>
      <c r="D38" s="245"/>
      <c r="E38" s="363">
        <f>PL!G45</f>
        <v>624372170</v>
      </c>
      <c r="F38" s="363">
        <f>PL!H45</f>
        <v>785009113</v>
      </c>
      <c r="G38" s="363">
        <f>PL!I45</f>
        <v>856121119</v>
      </c>
      <c r="H38" s="363">
        <f>PL!J45</f>
        <v>876384133</v>
      </c>
    </row>
    <row r="39" spans="3:8" ht="47.5" customHeight="1">
      <c r="C39" s="356" t="s">
        <v>363</v>
      </c>
      <c r="D39" s="245"/>
      <c r="E39" s="364">
        <f>E38*E37</f>
        <v>5057414577</v>
      </c>
      <c r="F39" s="364">
        <f t="shared" ref="F39:H39" si="2">F38*F37</f>
        <v>6515575637.9000006</v>
      </c>
      <c r="G39" s="364">
        <f t="shared" si="2"/>
        <v>7191417399.6000004</v>
      </c>
      <c r="H39" s="364">
        <f t="shared" si="2"/>
        <v>7054892270.6500006</v>
      </c>
    </row>
    <row r="40" spans="3:8" ht="47.5" customHeight="1">
      <c r="C40" s="356" t="s">
        <v>364</v>
      </c>
      <c r="D40" s="245"/>
      <c r="E40" s="355">
        <f>E39/PL!G42</f>
        <v>5.8081168979484863</v>
      </c>
      <c r="F40" s="355">
        <f>F39/PL!H42</f>
        <v>5.9961619192111533</v>
      </c>
      <c r="G40" s="355">
        <f>G39/PL!I42</f>
        <v>5.2952135719867082</v>
      </c>
      <c r="H40" s="355">
        <f>H39/PL!J42</f>
        <v>5.804672608388465</v>
      </c>
    </row>
    <row r="41" spans="3:8" ht="47.5" customHeight="1">
      <c r="C41" s="356" t="s">
        <v>273</v>
      </c>
      <c r="D41" s="245"/>
      <c r="E41" s="355">
        <f>BL!F97/Ratio!E38</f>
        <v>3.6783904189707877</v>
      </c>
      <c r="F41" s="355">
        <f>BL!G97/Ratio!F38</f>
        <v>6.2885273638855193</v>
      </c>
      <c r="G41" s="355">
        <f>BL!H97/Ratio!G38</f>
        <v>6.9532926894191007</v>
      </c>
      <c r="H41" s="355">
        <f>BL!I97/Ratio!H38</f>
        <v>8.539447590614925</v>
      </c>
    </row>
    <row r="42" spans="3:8" ht="47.5" customHeight="1">
      <c r="C42" s="356" t="s">
        <v>365</v>
      </c>
      <c r="D42" s="245"/>
      <c r="E42" s="355">
        <f>E39/BL!F97</f>
        <v>2.2020501027366142</v>
      </c>
      <c r="F42" s="355">
        <f>F39/BL!G97</f>
        <v>1.3198638599660388</v>
      </c>
      <c r="G42" s="355">
        <f>G39/BL!H97</f>
        <v>1.208060752682304</v>
      </c>
      <c r="H42" s="355">
        <f>H39/BL!I97</f>
        <v>0.94268392827273273</v>
      </c>
    </row>
    <row r="43" spans="3:8" ht="47.5" customHeight="1">
      <c r="C43" s="356" t="s">
        <v>274</v>
      </c>
      <c r="D43" s="245"/>
      <c r="E43" s="362">
        <f>CF!F107/Ratio!E37/E38*-1</f>
        <v>5.7311892388291354E-2</v>
      </c>
      <c r="F43" s="362">
        <f>CF!G107/Ratio!F37/F38*-1</f>
        <v>3.8350773421538642E-2</v>
      </c>
      <c r="G43" s="362">
        <f>CF!H107/Ratio!G37/G38*-1</f>
        <v>7.9966510222586523E-2</v>
      </c>
      <c r="H43" s="362">
        <f>CF!I107/Ratio!H37/H38*-1</f>
        <v>6.337335225656214E-2</v>
      </c>
    </row>
    <row r="44" spans="3:8" hidden="1">
      <c r="C44" s="353" t="s">
        <v>275</v>
      </c>
      <c r="D44" s="245"/>
      <c r="E44" s="355">
        <f>E39/PL!G12</f>
        <v>1.2027080900055627</v>
      </c>
      <c r="F44" s="355">
        <f>F39/PL!H12</f>
        <v>1.322039943492276</v>
      </c>
      <c r="G44" s="355">
        <f>G39/PL!I12</f>
        <v>1.3115004038116278</v>
      </c>
      <c r="H44" s="355">
        <f>H39/PL!J12</f>
        <v>1.0420620706736012</v>
      </c>
    </row>
    <row r="45" spans="3:8" hidden="1">
      <c r="C45" s="353" t="s">
        <v>361</v>
      </c>
      <c r="D45" s="245"/>
      <c r="E45" s="355">
        <f>E39/PL!G21</f>
        <v>4.7174795001858776</v>
      </c>
      <c r="F45" s="355">
        <f>F39/PL!H21</f>
        <v>4.5760745051289753</v>
      </c>
      <c r="G45" s="355">
        <f>G39/PL!I21</f>
        <v>4.3736951002250448</v>
      </c>
      <c r="H45" s="355">
        <f>H39/PL!J21</f>
        <v>4.6377432369784861</v>
      </c>
    </row>
    <row r="46" spans="3:8" hidden="1">
      <c r="C46" s="353" t="s">
        <v>366</v>
      </c>
      <c r="D46" s="245"/>
      <c r="E46" s="365">
        <f>(E39+BL!F69)/E7</f>
        <v>9.7676454019224721</v>
      </c>
      <c r="F46" s="365">
        <f>(F39+BL!G69)/F7</f>
        <v>8.663966559752847</v>
      </c>
      <c r="G46" s="365">
        <f>(G39+BL!H69)/G7</f>
        <v>9.5786324628011172</v>
      </c>
      <c r="H46" s="365">
        <f>(H39+BL!I69)/H7</f>
        <v>14.339311163533679</v>
      </c>
    </row>
  </sheetData>
  <conditionalFormatting sqref="E4:H4">
    <cfRule type="colorScale" priority="57">
      <colorScale>
        <cfvo type="min"/>
        <cfvo type="max"/>
        <color rgb="FF63BE7B"/>
        <color rgb="FFFCFCFF"/>
      </colorScale>
    </cfRule>
    <cfRule type="colorScale" priority="80">
      <colorScale>
        <cfvo type="min"/>
        <cfvo type="percentile" val="50"/>
        <cfvo type="max"/>
        <color theme="9" tint="-0.249977111117893"/>
        <color theme="9" tint="0.59999389629810485"/>
        <color theme="9" tint="0.79998168889431442"/>
      </colorScale>
    </cfRule>
    <cfRule type="colorScale" priority="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:H5">
    <cfRule type="colorScale" priority="54">
      <colorScale>
        <cfvo type="min"/>
        <cfvo type="max"/>
        <color rgb="FF63BE7B"/>
        <color rgb="FFFCFCFF"/>
      </colorScale>
    </cfRule>
    <cfRule type="colorScale" priority="55">
      <colorScale>
        <cfvo type="min"/>
        <cfvo type="percentile" val="50"/>
        <cfvo type="max"/>
        <color theme="9" tint="-0.249977111117893"/>
        <color theme="9" tint="0.59999389629810485"/>
        <color theme="9" tint="0.79998168889431442"/>
      </colorScale>
    </cfRule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:H6">
    <cfRule type="colorScale" priority="59">
      <colorScale>
        <cfvo type="min"/>
        <cfvo type="max"/>
        <color rgb="FFFCFCFF"/>
        <color rgb="FF63BE7B"/>
      </colorScale>
    </cfRule>
  </conditionalFormatting>
  <conditionalFormatting sqref="E8:H8">
    <cfRule type="colorScale" priority="53">
      <colorScale>
        <cfvo type="min"/>
        <cfvo type="max"/>
        <color rgb="FFFCFCFF"/>
        <color rgb="FF63BE7B"/>
      </colorScale>
    </cfRule>
  </conditionalFormatting>
  <conditionalFormatting sqref="E11:H11">
    <cfRule type="colorScale" priority="52">
      <colorScale>
        <cfvo type="min"/>
        <cfvo type="max"/>
        <color rgb="FFFCFCFF"/>
        <color rgb="FF63BE7B"/>
      </colorScale>
    </cfRule>
  </conditionalFormatting>
  <conditionalFormatting sqref="E12:H12">
    <cfRule type="colorScale" priority="49">
      <colorScale>
        <cfvo type="min"/>
        <cfvo type="max"/>
        <color rgb="FF63BE7B"/>
        <color rgb="FFFCFCFF"/>
      </colorScale>
    </cfRule>
    <cfRule type="colorScale" priority="50">
      <colorScale>
        <cfvo type="min"/>
        <cfvo type="percentile" val="50"/>
        <cfvo type="max"/>
        <color theme="9" tint="-0.249977111117893"/>
        <color theme="9" tint="0.59999389629810485"/>
        <color theme="9" tint="0.79998168889431442"/>
      </colorScale>
    </cfRule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3:H13">
    <cfRule type="colorScale" priority="48">
      <colorScale>
        <cfvo type="min"/>
        <cfvo type="max"/>
        <color rgb="FFFCFCFF"/>
        <color rgb="FF63BE7B"/>
      </colorScale>
    </cfRule>
  </conditionalFormatting>
  <conditionalFormatting sqref="E16:H16">
    <cfRule type="colorScale" priority="21">
      <colorScale>
        <cfvo type="min"/>
        <cfvo type="max"/>
        <color rgb="FFFCFCFF"/>
        <color rgb="FF63BE7B"/>
      </colorScale>
    </cfRule>
  </conditionalFormatting>
  <conditionalFormatting sqref="E17:H17">
    <cfRule type="colorScale" priority="41">
      <colorScale>
        <cfvo type="min"/>
        <cfvo type="max"/>
        <color rgb="FFFCFCFF"/>
        <color rgb="FF63BE7B"/>
      </colorScale>
    </cfRule>
  </conditionalFormatting>
  <conditionalFormatting sqref="E18:H18">
    <cfRule type="colorScale" priority="17">
      <colorScale>
        <cfvo type="min"/>
        <cfvo type="max"/>
        <color rgb="FF63BE7B"/>
        <color rgb="FFFCFCFF"/>
      </colorScale>
    </cfRule>
    <cfRule type="colorScale" priority="18">
      <colorScale>
        <cfvo type="min"/>
        <cfvo type="percentile" val="50"/>
        <cfvo type="max"/>
        <color theme="9" tint="-0.249977111117893"/>
        <color theme="9" tint="0.59999389629810485"/>
        <color theme="9" tint="0.79998168889431442"/>
      </colorScale>
    </cfRule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0:H20">
    <cfRule type="colorScale" priority="37">
      <colorScale>
        <cfvo type="min"/>
        <cfvo type="max"/>
        <color rgb="FF63BE7B"/>
        <color rgb="FFFCFCFF"/>
      </colorScale>
    </cfRule>
    <cfRule type="colorScale" priority="38">
      <colorScale>
        <cfvo type="min"/>
        <cfvo type="percentile" val="50"/>
        <cfvo type="max"/>
        <color theme="9" tint="-0.249977111117893"/>
        <color theme="9" tint="0.59999389629810485"/>
        <color theme="9" tint="0.79998168889431442"/>
      </colorScale>
    </cfRule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2:H22">
    <cfRule type="colorScale" priority="10">
      <colorScale>
        <cfvo type="min"/>
        <cfvo type="max"/>
        <color rgb="FFFCFCFF"/>
        <color rgb="FF63BE7B"/>
      </colorScale>
    </cfRule>
  </conditionalFormatting>
  <conditionalFormatting sqref="E23:H23">
    <cfRule type="colorScale" priority="31">
      <colorScale>
        <cfvo type="min"/>
        <cfvo type="max"/>
        <color rgb="FF63BE7B"/>
        <color rgb="FFFCFCFF"/>
      </colorScale>
    </cfRule>
    <cfRule type="colorScale" priority="32">
      <colorScale>
        <cfvo type="min"/>
        <cfvo type="percentile" val="50"/>
        <cfvo type="max"/>
        <color theme="9" tint="-0.249977111117893"/>
        <color theme="9" tint="0.59999389629810485"/>
        <color theme="9" tint="0.79998168889431442"/>
      </colorScale>
    </cfRule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5:H25">
    <cfRule type="colorScale" priority="28">
      <colorScale>
        <cfvo type="min"/>
        <cfvo type="max"/>
        <color rgb="FF63BE7B"/>
        <color rgb="FFFCFCFF"/>
      </colorScale>
    </cfRule>
    <cfRule type="colorScale" priority="29">
      <colorScale>
        <cfvo type="min"/>
        <cfvo type="percentile" val="50"/>
        <cfvo type="max"/>
        <color theme="9" tint="-0.249977111117893"/>
        <color theme="9" tint="0.59999389629810485"/>
        <color theme="9" tint="0.79998168889431442"/>
      </colorScale>
    </cfRule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8:H28">
    <cfRule type="colorScale" priority="27">
      <colorScale>
        <cfvo type="min"/>
        <cfvo type="max"/>
        <color rgb="FFFCFCFF"/>
        <color rgb="FF63BE7B"/>
      </colorScale>
    </cfRule>
  </conditionalFormatting>
  <conditionalFormatting sqref="E29:H29">
    <cfRule type="colorScale" priority="26">
      <colorScale>
        <cfvo type="min"/>
        <cfvo type="max"/>
        <color rgb="FFFCFCFF"/>
        <color rgb="FF63BE7B"/>
      </colorScale>
    </cfRule>
  </conditionalFormatting>
  <conditionalFormatting sqref="E30:H30">
    <cfRule type="colorScale" priority="25">
      <colorScale>
        <cfvo type="min"/>
        <cfvo type="max"/>
        <color rgb="FFFCFCFF"/>
        <color rgb="FF63BE7B"/>
      </colorScale>
    </cfRule>
  </conditionalFormatting>
  <conditionalFormatting sqref="E31:H31">
    <cfRule type="colorScale" priority="24">
      <colorScale>
        <cfvo type="min"/>
        <cfvo type="max"/>
        <color rgb="FFFCFCFF"/>
        <color rgb="FF63BE7B"/>
      </colorScale>
    </cfRule>
  </conditionalFormatting>
  <conditionalFormatting sqref="E32:H32">
    <cfRule type="colorScale" priority="23">
      <colorScale>
        <cfvo type="min"/>
        <cfvo type="max"/>
        <color rgb="FFFCFCFF"/>
        <color rgb="FF63BE7B"/>
      </colorScale>
    </cfRule>
  </conditionalFormatting>
  <conditionalFormatting sqref="E33:H33">
    <cfRule type="colorScale" priority="22">
      <colorScale>
        <cfvo type="min"/>
        <cfvo type="max"/>
        <color rgb="FFFCFCFF"/>
        <color rgb="FF63BE7B"/>
      </colorScale>
    </cfRule>
  </conditionalFormatting>
  <conditionalFormatting sqref="E36:H36">
    <cfRule type="colorScale" priority="9">
      <colorScale>
        <cfvo type="min"/>
        <cfvo type="max"/>
        <color rgb="FFFCFCFF"/>
        <color rgb="FF63BE7B"/>
      </colorScale>
    </cfRule>
  </conditionalFormatting>
  <conditionalFormatting sqref="E40:H40">
    <cfRule type="colorScale" priority="6">
      <colorScale>
        <cfvo type="min"/>
        <cfvo type="max"/>
        <color rgb="FF63BE7B"/>
        <color rgb="FFFCFCFF"/>
      </colorScale>
    </cfRule>
    <cfRule type="colorScale" priority="7">
      <colorScale>
        <cfvo type="min"/>
        <cfvo type="percentile" val="50"/>
        <cfvo type="max"/>
        <color theme="9" tint="-0.249977111117893"/>
        <color theme="9" tint="0.59999389629810485"/>
        <color theme="9" tint="0.79998168889431442"/>
      </colorScale>
    </cfRule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:H42">
    <cfRule type="colorScale" priority="3">
      <colorScale>
        <cfvo type="min"/>
        <cfvo type="max"/>
        <color rgb="FF63BE7B"/>
        <color rgb="FFFCFCFF"/>
      </colorScale>
    </cfRule>
    <cfRule type="colorScale" priority="4">
      <colorScale>
        <cfvo type="min"/>
        <cfvo type="percentile" val="50"/>
        <cfvo type="max"/>
        <color theme="9" tint="-0.249977111117893"/>
        <color theme="9" tint="0.59999389629810485"/>
        <color theme="9" tint="0.79998168889431442"/>
      </colorScale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3:H43">
    <cfRule type="colorScale" priority="2">
      <colorScale>
        <cfvo type="min"/>
        <cfvo type="max"/>
        <color rgb="FFFCFCFF"/>
        <color rgb="FF63BE7B"/>
      </colorScale>
    </cfRule>
  </conditionalFormatting>
  <conditionalFormatting sqref="E7:H7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scale="27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74DD5-D951-4EF8-A633-50E92D8E9766}">
  <sheetPr>
    <tabColor theme="9" tint="0.59999389629810485"/>
    <pageSetUpPr fitToPage="1"/>
  </sheetPr>
  <dimension ref="C1:U232"/>
  <sheetViews>
    <sheetView showGridLines="0" zoomScale="85" zoomScaleNormal="85" workbookViewId="0">
      <pane xSplit="5" ySplit="3" topLeftCell="F202" activePane="bottomRight" state="frozen"/>
      <selection pane="topRight" activeCell="E1" sqref="E1"/>
      <selection pane="bottomLeft" activeCell="A4" sqref="A4"/>
      <selection pane="bottomRight" activeCell="N218" sqref="N218"/>
    </sheetView>
  </sheetViews>
  <sheetFormatPr defaultColWidth="9.1796875" defaultRowHeight="15"/>
  <cols>
    <col min="1" max="1" width="3.1796875" style="284" customWidth="1"/>
    <col min="2" max="2" width="2" style="284" customWidth="1"/>
    <col min="3" max="3" width="19.90625" style="284" customWidth="1"/>
    <col min="4" max="4" width="10.54296875" style="284" customWidth="1"/>
    <col min="5" max="5" width="20.7265625" style="284" bestFit="1" customWidth="1"/>
    <col min="6" max="14" width="13" style="284" customWidth="1"/>
    <col min="15" max="16384" width="9.1796875" style="284"/>
  </cols>
  <sheetData>
    <row r="1" spans="3:14" ht="15.5" thickBot="1">
      <c r="D1" s="284" t="s">
        <v>276</v>
      </c>
      <c r="E1" s="284" t="s">
        <v>277</v>
      </c>
    </row>
    <row r="2" spans="3:14" ht="15.5" thickBot="1">
      <c r="D2" s="305">
        <f>J180</f>
        <v>8.9615985913070997</v>
      </c>
      <c r="E2" s="306">
        <f>D2/D3-1</f>
        <v>0.11324206103193779</v>
      </c>
      <c r="F2" s="307">
        <f>F3+543</f>
        <v>2563</v>
      </c>
      <c r="G2" s="307">
        <f t="shared" ref="G2:N2" si="0">G3+543</f>
        <v>2564</v>
      </c>
      <c r="H2" s="307">
        <f t="shared" si="0"/>
        <v>2565</v>
      </c>
      <c r="I2" s="307">
        <f t="shared" si="0"/>
        <v>2566</v>
      </c>
      <c r="J2" s="308">
        <f t="shared" si="0"/>
        <v>2567</v>
      </c>
      <c r="K2" s="308">
        <f t="shared" si="0"/>
        <v>2568</v>
      </c>
      <c r="L2" s="308">
        <f t="shared" si="0"/>
        <v>2569</v>
      </c>
      <c r="M2" s="308">
        <f t="shared" si="0"/>
        <v>2570</v>
      </c>
      <c r="N2" s="308">
        <f t="shared" si="0"/>
        <v>2571</v>
      </c>
    </row>
    <row r="3" spans="3:14">
      <c r="C3" s="309" t="s">
        <v>278</v>
      </c>
      <c r="D3" s="284">
        <v>8.0500000000000007</v>
      </c>
      <c r="E3" s="306"/>
      <c r="F3" s="310">
        <v>2020</v>
      </c>
      <c r="G3" s="310">
        <f>F3+1</f>
        <v>2021</v>
      </c>
      <c r="H3" s="310">
        <f t="shared" ref="H3:N3" si="1">G3+1</f>
        <v>2022</v>
      </c>
      <c r="I3" s="310">
        <f t="shared" si="1"/>
        <v>2023</v>
      </c>
      <c r="J3" s="311">
        <f t="shared" si="1"/>
        <v>2024</v>
      </c>
      <c r="K3" s="311">
        <f t="shared" si="1"/>
        <v>2025</v>
      </c>
      <c r="L3" s="311">
        <f t="shared" si="1"/>
        <v>2026</v>
      </c>
      <c r="M3" s="311">
        <f t="shared" si="1"/>
        <v>2027</v>
      </c>
      <c r="N3" s="311">
        <f t="shared" si="1"/>
        <v>2028</v>
      </c>
    </row>
    <row r="4" spans="3:14" ht="15.5" thickBot="1"/>
    <row r="5" spans="3:14" s="313" customFormat="1" ht="15.5" thickBot="1">
      <c r="C5" s="312" t="s">
        <v>279</v>
      </c>
    </row>
    <row r="6" spans="3:14">
      <c r="D6" s="284" t="s">
        <v>280</v>
      </c>
    </row>
    <row r="7" spans="3:14">
      <c r="E7" s="284" t="s">
        <v>218</v>
      </c>
      <c r="G7" s="306">
        <f>G74/F74-1</f>
        <v>0.15520345479636299</v>
      </c>
      <c r="H7" s="306">
        <f t="shared" ref="H7:I7" si="2">H74/G74-1</f>
        <v>7.6433084641036153E-2</v>
      </c>
      <c r="I7" s="306">
        <f t="shared" si="2"/>
        <v>0.20961223897558656</v>
      </c>
      <c r="J7" s="306">
        <v>0.1</v>
      </c>
      <c r="K7" s="306">
        <f>J7</f>
        <v>0.1</v>
      </c>
      <c r="L7" s="306">
        <v>0.08</v>
      </c>
      <c r="M7" s="306">
        <f t="shared" ref="M7:N7" si="3">L7</f>
        <v>0.08</v>
      </c>
      <c r="N7" s="306">
        <f t="shared" si="3"/>
        <v>0.08</v>
      </c>
    </row>
    <row r="8" spans="3:14">
      <c r="E8" s="309" t="s">
        <v>281</v>
      </c>
      <c r="G8" s="306"/>
      <c r="H8" s="306"/>
      <c r="I8" s="314">
        <f>AVERAGE(G7:I7)</f>
        <v>0.14708292613766191</v>
      </c>
      <c r="J8" s="306"/>
      <c r="K8" s="306"/>
      <c r="L8" s="306"/>
      <c r="M8" s="306"/>
      <c r="N8" s="306"/>
    </row>
    <row r="9" spans="3:14">
      <c r="E9" s="284" t="s">
        <v>219</v>
      </c>
      <c r="G9" s="306">
        <f>G75/F75-1</f>
        <v>11.883274438195404</v>
      </c>
      <c r="H9" s="306">
        <f t="shared" ref="H9:I9" si="4">H75/G75-1</f>
        <v>2.3690888207045235</v>
      </c>
      <c r="I9" s="306">
        <f t="shared" si="4"/>
        <v>0.73420685156592946</v>
      </c>
      <c r="J9" s="306">
        <v>0.02</v>
      </c>
      <c r="K9" s="306">
        <f>J9</f>
        <v>0.02</v>
      </c>
      <c r="L9" s="306">
        <f t="shared" ref="L9:N9" si="5">K9</f>
        <v>0.02</v>
      </c>
      <c r="M9" s="306">
        <f t="shared" si="5"/>
        <v>0.02</v>
      </c>
      <c r="N9" s="306">
        <f t="shared" si="5"/>
        <v>0.02</v>
      </c>
    </row>
    <row r="10" spans="3:14">
      <c r="E10" s="309" t="s">
        <v>281</v>
      </c>
      <c r="G10" s="306"/>
      <c r="H10" s="306"/>
      <c r="I10" s="314">
        <f>AVERAGE(G9:I9)</f>
        <v>4.9955233701552855</v>
      </c>
      <c r="J10" s="306"/>
      <c r="K10" s="306"/>
      <c r="L10" s="306"/>
      <c r="M10" s="306"/>
      <c r="N10" s="306"/>
    </row>
    <row r="11" spans="3:14">
      <c r="J11" s="306"/>
      <c r="K11" s="306"/>
      <c r="L11" s="306"/>
      <c r="M11" s="306"/>
      <c r="N11" s="306"/>
    </row>
    <row r="12" spans="3:14">
      <c r="D12" s="284" t="s">
        <v>282</v>
      </c>
      <c r="J12" s="306"/>
      <c r="K12" s="306"/>
      <c r="L12" s="306"/>
      <c r="M12" s="306"/>
      <c r="N12" s="306"/>
    </row>
    <row r="13" spans="3:14">
      <c r="E13" s="284" t="s">
        <v>283</v>
      </c>
      <c r="F13" s="306">
        <f>F78/F74</f>
        <v>0.55773169383235588</v>
      </c>
      <c r="G13" s="306">
        <f>G78/G74</f>
        <v>0.55277320514946349</v>
      </c>
      <c r="H13" s="306">
        <f t="shared" ref="H13:I13" si="6">H78/H74</f>
        <v>0.57260635767969226</v>
      </c>
      <c r="I13" s="306">
        <f t="shared" si="6"/>
        <v>0.59767853324349363</v>
      </c>
      <c r="J13" s="306"/>
      <c r="K13" s="306"/>
      <c r="L13" s="306"/>
      <c r="M13" s="306"/>
      <c r="N13" s="306"/>
    </row>
    <row r="14" spans="3:14">
      <c r="E14" s="309" t="s">
        <v>281</v>
      </c>
      <c r="G14" s="306"/>
      <c r="H14" s="306"/>
      <c r="I14" s="314">
        <f>AVERAGE(G13:I13)</f>
        <v>0.57435269869088312</v>
      </c>
      <c r="J14" s="306"/>
      <c r="K14" s="306"/>
      <c r="L14" s="306"/>
      <c r="M14" s="306"/>
      <c r="N14" s="306"/>
    </row>
    <row r="15" spans="3:14">
      <c r="E15" s="284" t="s">
        <v>284</v>
      </c>
      <c r="F15" s="306">
        <f>F79/F75</f>
        <v>1.0889641675716515</v>
      </c>
      <c r="G15" s="306">
        <f>G79/G75</f>
        <v>0.58618935884401469</v>
      </c>
      <c r="H15" s="306">
        <f t="shared" ref="H15:I15" si="7">H79/H75</f>
        <v>0.34186666967224988</v>
      </c>
      <c r="I15" s="306">
        <f t="shared" si="7"/>
        <v>0.50991166843471225</v>
      </c>
      <c r="J15" s="306"/>
      <c r="K15" s="306"/>
      <c r="L15" s="306"/>
      <c r="M15" s="306"/>
      <c r="N15" s="306"/>
    </row>
    <row r="16" spans="3:14">
      <c r="E16" s="309" t="s">
        <v>281</v>
      </c>
      <c r="I16" s="314">
        <f>AVERAGE(G15:I15)</f>
        <v>0.47932256565032566</v>
      </c>
      <c r="J16" s="306"/>
      <c r="K16" s="306"/>
      <c r="L16" s="306"/>
      <c r="M16" s="306"/>
      <c r="N16" s="306"/>
    </row>
    <row r="18" spans="3:14">
      <c r="D18" s="284" t="s">
        <v>285</v>
      </c>
    </row>
    <row r="19" spans="3:14">
      <c r="E19" s="284" t="s">
        <v>283</v>
      </c>
      <c r="F19" s="306">
        <f>F81/F73</f>
        <v>5.4848222598023301E-3</v>
      </c>
      <c r="G19" s="306">
        <f t="shared" ref="G19:I19" si="8">G81/G73</f>
        <v>2.1063393922487218E-2</v>
      </c>
      <c r="H19" s="306">
        <f t="shared" si="8"/>
        <v>8.8470216564090529E-2</v>
      </c>
      <c r="I19" s="306">
        <f t="shared" si="8"/>
        <v>5.5648557770083054E-2</v>
      </c>
    </row>
    <row r="20" spans="3:14">
      <c r="I20" s="314">
        <f>AVERAGE(G19:I19)</f>
        <v>5.5060722752220272E-2</v>
      </c>
    </row>
    <row r="21" spans="3:14">
      <c r="D21" s="284" t="s">
        <v>286</v>
      </c>
    </row>
    <row r="22" spans="3:14">
      <c r="E22" s="284" t="s">
        <v>283</v>
      </c>
      <c r="F22" s="306">
        <f>F83/F73</f>
        <v>0.19204363552967607</v>
      </c>
      <c r="G22" s="306">
        <f t="shared" ref="G22:I22" si="9">G83/G73</f>
        <v>0.17886046338558348</v>
      </c>
      <c r="H22" s="306">
        <f t="shared" si="9"/>
        <v>0.22702419407613417</v>
      </c>
      <c r="I22" s="306">
        <f t="shared" si="9"/>
        <v>0.23916671289746058</v>
      </c>
    </row>
    <row r="23" spans="3:14">
      <c r="I23" s="314">
        <f>AVERAGE(G22:I22)</f>
        <v>0.21501712345305943</v>
      </c>
    </row>
    <row r="25" spans="3:14">
      <c r="C25" s="315" t="s">
        <v>287</v>
      </c>
    </row>
    <row r="26" spans="3:14">
      <c r="E26" s="284" t="s">
        <v>288</v>
      </c>
      <c r="F26" s="285">
        <f>[1]BL!F8</f>
        <v>316910302</v>
      </c>
      <c r="G26" s="285">
        <f>[1]BL!G8</f>
        <v>785487818</v>
      </c>
      <c r="H26" s="285">
        <f>[1]BL!H8</f>
        <v>750888363</v>
      </c>
      <c r="I26" s="285">
        <f>[1]BL!I8</f>
        <v>1295370039</v>
      </c>
      <c r="J26" s="285">
        <f>$I28*J$73</f>
        <v>1043106771.9148932</v>
      </c>
      <c r="K26" s="285">
        <f t="shared" ref="K26:N26" si="10">$I28*K$73</f>
        <v>1142200568.3357227</v>
      </c>
      <c r="L26" s="285">
        <f t="shared" si="10"/>
        <v>1229585700.0130255</v>
      </c>
      <c r="M26" s="285">
        <f t="shared" si="10"/>
        <v>1323881823.9487216</v>
      </c>
      <c r="N26" s="285">
        <f t="shared" si="10"/>
        <v>1425640223.1579664</v>
      </c>
    </row>
    <row r="27" spans="3:14">
      <c r="E27" s="309" t="s">
        <v>289</v>
      </c>
      <c r="F27" s="290">
        <f>F26/F$73</f>
        <v>7.5364710212782321E-2</v>
      </c>
      <c r="G27" s="290">
        <f t="shared" ref="G27:I27" si="11">G26/G$73</f>
        <v>0.15937905232534252</v>
      </c>
      <c r="H27" s="290">
        <f t="shared" si="11"/>
        <v>0.13693967914402075</v>
      </c>
      <c r="I27" s="290">
        <f t="shared" si="11"/>
        <v>0.19133615841939922</v>
      </c>
      <c r="J27" s="285"/>
      <c r="K27" s="285"/>
      <c r="L27" s="285"/>
      <c r="M27" s="285"/>
      <c r="N27" s="285"/>
    </row>
    <row r="28" spans="3:14">
      <c r="E28" s="309" t="s">
        <v>281</v>
      </c>
      <c r="F28" s="285"/>
      <c r="G28" s="285"/>
      <c r="H28" s="285"/>
      <c r="I28" s="316">
        <f>AVERAGE(F27:I27)</f>
        <v>0.14075490002538621</v>
      </c>
      <c r="J28" s="285"/>
      <c r="K28" s="285"/>
      <c r="L28" s="285"/>
      <c r="M28" s="285"/>
      <c r="N28" s="285"/>
    </row>
    <row r="29" spans="3:14">
      <c r="F29" s="285"/>
      <c r="G29" s="285"/>
      <c r="H29" s="285"/>
      <c r="I29" s="285"/>
      <c r="J29" s="285"/>
      <c r="K29" s="285"/>
      <c r="L29" s="285"/>
      <c r="M29" s="285"/>
      <c r="N29" s="285"/>
    </row>
    <row r="30" spans="3:14">
      <c r="E30" s="284" t="s">
        <v>290</v>
      </c>
      <c r="F30" s="285">
        <f>[1]BL!F9</f>
        <v>289394148</v>
      </c>
      <c r="G30" s="285">
        <f>[1]BL!G9</f>
        <v>365895032</v>
      </c>
      <c r="H30" s="285">
        <f>[1]BL!H9</f>
        <v>356185816</v>
      </c>
      <c r="I30" s="285">
        <f>[1]BL!I9</f>
        <v>755012088</v>
      </c>
      <c r="J30" s="285">
        <f>$I$32*J$73</f>
        <v>592015000.3278476</v>
      </c>
      <c r="K30" s="285">
        <f t="shared" ref="K30:N30" si="12">$I$32*K$73</f>
        <v>648255660.91992688</v>
      </c>
      <c r="L30" s="285">
        <f t="shared" si="12"/>
        <v>697851071.6213814</v>
      </c>
      <c r="M30" s="285">
        <f t="shared" si="12"/>
        <v>751368814.3355093</v>
      </c>
      <c r="N30" s="285">
        <f t="shared" si="12"/>
        <v>809121769.60645592</v>
      </c>
    </row>
    <row r="31" spans="3:14">
      <c r="F31" s="317">
        <f>F30/F$73</f>
        <v>6.8821070074569668E-2</v>
      </c>
      <c r="G31" s="317">
        <f t="shared" ref="G31:I31" si="13">G30/G$73</f>
        <v>7.4241766854124369E-2</v>
      </c>
      <c r="H31" s="317">
        <f t="shared" si="13"/>
        <v>6.4957687137163975E-2</v>
      </c>
      <c r="I31" s="317">
        <f t="shared" si="13"/>
        <v>0.11152111607402199</v>
      </c>
      <c r="J31" s="285"/>
      <c r="K31" s="285"/>
      <c r="L31" s="285"/>
      <c r="M31" s="285"/>
      <c r="N31" s="285"/>
    </row>
    <row r="32" spans="3:14">
      <c r="F32" s="285"/>
      <c r="G32" s="285"/>
      <c r="H32" s="285"/>
      <c r="I32" s="318">
        <f>AVERAGE(F31:I31)</f>
        <v>7.9885410034970003E-2</v>
      </c>
      <c r="J32" s="285"/>
      <c r="K32" s="285"/>
      <c r="L32" s="285"/>
      <c r="M32" s="285"/>
      <c r="N32" s="285"/>
    </row>
    <row r="33" spans="5:14">
      <c r="F33" s="285"/>
      <c r="G33" s="285"/>
      <c r="H33" s="285"/>
      <c r="I33" s="285"/>
      <c r="J33" s="285"/>
      <c r="K33" s="285"/>
      <c r="L33" s="285"/>
      <c r="M33" s="285"/>
      <c r="N33" s="285"/>
    </row>
    <row r="34" spans="5:14">
      <c r="E34" s="284" t="s">
        <v>291</v>
      </c>
      <c r="F34" s="285">
        <f>[1]BL!F14</f>
        <v>6751374678</v>
      </c>
      <c r="G34" s="285">
        <f>[1]BL!G14</f>
        <v>8288588315</v>
      </c>
      <c r="H34" s="285">
        <f>[1]BL!H14</f>
        <v>11767903784</v>
      </c>
      <c r="I34" s="285">
        <f>[1]BL!I14</f>
        <v>16806881228</v>
      </c>
      <c r="J34" s="285">
        <f>$I$36*J$73</f>
        <v>14183933459.406454</v>
      </c>
      <c r="K34" s="285">
        <f t="shared" ref="K34:N34" si="14">$I$36*K$73</f>
        <v>15531388823.053246</v>
      </c>
      <c r="L34" s="285">
        <f t="shared" si="14"/>
        <v>16719632372.442707</v>
      </c>
      <c r="M34" s="285">
        <f t="shared" si="14"/>
        <v>18001850054.654228</v>
      </c>
      <c r="N34" s="285">
        <f t="shared" si="14"/>
        <v>19385538093.290997</v>
      </c>
    </row>
    <row r="35" spans="5:14">
      <c r="F35" s="317">
        <f>F34/F$73</f>
        <v>1.6055501917554782</v>
      </c>
      <c r="G35" s="317">
        <f t="shared" ref="G35:I35" si="15">G34/G$73</f>
        <v>1.6817922830721832</v>
      </c>
      <c r="H35" s="317">
        <f t="shared" si="15"/>
        <v>2.1461152519934146</v>
      </c>
      <c r="I35" s="317">
        <f t="shared" si="15"/>
        <v>2.4825061506433648</v>
      </c>
      <c r="J35" s="285"/>
      <c r="K35" s="285"/>
      <c r="L35" s="285"/>
      <c r="M35" s="285"/>
      <c r="N35" s="285"/>
    </row>
    <row r="36" spans="5:14">
      <c r="F36" s="285"/>
      <c r="G36" s="285"/>
      <c r="H36" s="285"/>
      <c r="I36" s="318">
        <f>MEDIAN(F35:I35)</f>
        <v>1.9139537675327989</v>
      </c>
      <c r="J36" s="285"/>
      <c r="K36" s="285"/>
      <c r="L36" s="285"/>
      <c r="M36" s="285"/>
      <c r="N36" s="285"/>
    </row>
    <row r="37" spans="5:14">
      <c r="F37" s="285"/>
      <c r="G37" s="285"/>
      <c r="H37" s="285"/>
      <c r="I37" s="285"/>
      <c r="J37" s="285"/>
      <c r="K37" s="285"/>
      <c r="L37" s="285"/>
      <c r="M37" s="285"/>
      <c r="N37" s="285"/>
    </row>
    <row r="38" spans="5:14">
      <c r="E38" s="284" t="s">
        <v>292</v>
      </c>
      <c r="F38" s="285">
        <f>SUM([1]BL!F47:F48)</f>
        <v>1642114463</v>
      </c>
      <c r="G38" s="285">
        <f>SUM([1]BL!G47:G48)</f>
        <v>1533405843</v>
      </c>
      <c r="H38" s="285">
        <f>SUM([1]BL!H47:H48)</f>
        <v>1592053175</v>
      </c>
      <c r="I38" s="285">
        <f>SUM([1]BL!I47:I48)</f>
        <v>3615586548</v>
      </c>
      <c r="J38" s="285">
        <f>$I$40*J77</f>
        <v>2823340067.0453262</v>
      </c>
      <c r="K38" s="285">
        <f t="shared" ref="K38:N38" si="16">$I$40*K77</f>
        <v>3093766860.2139745</v>
      </c>
      <c r="L38" s="285">
        <f t="shared" si="16"/>
        <v>3332159190.6761417</v>
      </c>
      <c r="M38" s="285">
        <f t="shared" si="16"/>
        <v>3589440727.2081828</v>
      </c>
      <c r="N38" s="285">
        <f t="shared" si="16"/>
        <v>3867118962.6883464</v>
      </c>
    </row>
    <row r="39" spans="5:14">
      <c r="F39" s="317">
        <f>F38/F77</f>
        <v>0.69922441549326497</v>
      </c>
      <c r="G39" s="317">
        <f t="shared" ref="G39:I39" si="17">G38/G77</f>
        <v>0.56232577575357889</v>
      </c>
      <c r="H39" s="317">
        <f t="shared" si="17"/>
        <v>0.51700643948949454</v>
      </c>
      <c r="I39" s="317">
        <f t="shared" si="17"/>
        <v>0.90243136550884284</v>
      </c>
    </row>
    <row r="40" spans="5:14">
      <c r="I40" s="318">
        <f>AVERAGE(F39:I39)</f>
        <v>0.67024699906129526</v>
      </c>
    </row>
    <row r="42" spans="5:14">
      <c r="E42" s="284" t="s">
        <v>293</v>
      </c>
      <c r="F42" s="285">
        <f>[1]BL!F17-Valuation!F26-Valuation!F30-Valuation!F34</f>
        <v>76561854</v>
      </c>
      <c r="G42" s="285">
        <f>[1]BL!G17-Valuation!G26-Valuation!G30-Valuation!G34</f>
        <v>998077633</v>
      </c>
      <c r="H42" s="285">
        <f>[1]BL!H17-Valuation!H26-Valuation!H30-Valuation!H34</f>
        <v>554406401</v>
      </c>
      <c r="I42" s="285">
        <f>[1]BL!I17-Valuation!I26-Valuation!I30-Valuation!I34</f>
        <v>830847787</v>
      </c>
      <c r="J42" s="285">
        <f>$I44*J$73</f>
        <v>823621009.05689156</v>
      </c>
      <c r="K42" s="285">
        <f t="shared" ref="K42:N42" si="18">$I44*K$73</f>
        <v>901863941.4170897</v>
      </c>
      <c r="L42" s="285">
        <f t="shared" si="18"/>
        <v>970861892.79315627</v>
      </c>
      <c r="M42" s="285">
        <f t="shared" si="18"/>
        <v>1045316657.0005622</v>
      </c>
      <c r="N42" s="285">
        <f t="shared" si="18"/>
        <v>1125663518.6002398</v>
      </c>
    </row>
    <row r="43" spans="5:14">
      <c r="E43" s="309" t="s">
        <v>289</v>
      </c>
      <c r="F43" s="290">
        <f t="shared" ref="F43:I43" si="19">F42/F$73</f>
        <v>1.8207240041263627E-2</v>
      </c>
      <c r="G43" s="290">
        <f t="shared" si="19"/>
        <v>0.2025144930951189</v>
      </c>
      <c r="H43" s="290">
        <f t="shared" si="19"/>
        <v>0.101107219673787</v>
      </c>
      <c r="I43" s="290">
        <f t="shared" si="19"/>
        <v>0.1227226344671071</v>
      </c>
    </row>
    <row r="44" spans="5:14">
      <c r="E44" s="309" t="s">
        <v>281</v>
      </c>
      <c r="I44" s="316">
        <f>AVERAGE(F43:I43)</f>
        <v>0.11113789681931915</v>
      </c>
    </row>
    <row r="46" spans="5:14">
      <c r="E46" s="284" t="s">
        <v>294</v>
      </c>
      <c r="F46" s="285">
        <f>SUM([1]BL!F56,[1]BL!F52)</f>
        <v>178201185</v>
      </c>
      <c r="G46" s="285">
        <f>SUM([1]BL!G56,[1]BL!G52)</f>
        <v>131788068</v>
      </c>
      <c r="H46" s="285">
        <f>SUM([1]BL!H56,[1]BL!H52)</f>
        <v>179395273</v>
      </c>
      <c r="I46" s="285">
        <f>SUM([1]BL!I56,[1]BL!I52)</f>
        <v>173218752</v>
      </c>
      <c r="J46" s="285">
        <f>$I48*J$73</f>
        <v>236072372.33955574</v>
      </c>
      <c r="K46" s="285">
        <f t="shared" ref="K46:N46" si="20">$I48*K$73</f>
        <v>258498942.88348356</v>
      </c>
      <c r="L46" s="285">
        <f t="shared" si="20"/>
        <v>278275648.29629099</v>
      </c>
      <c r="M46" s="285">
        <f t="shared" si="20"/>
        <v>299616425.94176561</v>
      </c>
      <c r="N46" s="285">
        <f t="shared" si="20"/>
        <v>322646040.31451362</v>
      </c>
    </row>
    <row r="47" spans="5:14">
      <c r="E47" s="309" t="s">
        <v>289</v>
      </c>
      <c r="F47" s="290">
        <f t="shared" ref="F47:I47" si="21">F46/F$73</f>
        <v>4.2378176355716612E-2</v>
      </c>
      <c r="G47" s="290">
        <f t="shared" si="21"/>
        <v>2.6740398646930764E-2</v>
      </c>
      <c r="H47" s="290">
        <f t="shared" si="21"/>
        <v>3.271635616568213E-2</v>
      </c>
      <c r="I47" s="290">
        <f t="shared" si="21"/>
        <v>2.5585747374139035E-2</v>
      </c>
    </row>
    <row r="48" spans="5:14">
      <c r="E48" s="309" t="s">
        <v>281</v>
      </c>
      <c r="I48" s="316">
        <f>AVERAGE(F47:I47)</f>
        <v>3.1855169635617138E-2</v>
      </c>
    </row>
    <row r="50" spans="3:14">
      <c r="E50" s="284" t="s">
        <v>295</v>
      </c>
      <c r="F50" s="285">
        <f>SUM([1]BL!F46,[1]BL!F50)</f>
        <v>237850000</v>
      </c>
      <c r="G50" s="285">
        <f>SUM([1]BL!G46,[1]BL!G50)</f>
        <v>887850000</v>
      </c>
      <c r="H50" s="285">
        <f>SUM([1]BL!H46,[1]BL!H50)</f>
        <v>1187931800</v>
      </c>
      <c r="I50" s="285">
        <f>SUM([1]BL!I46,[1]BL!I50)</f>
        <v>917112539</v>
      </c>
      <c r="J50" s="285">
        <f>$I52*J$73</f>
        <v>1090907393.4328377</v>
      </c>
      <c r="K50" s="285">
        <f t="shared" ref="K50:N50" si="22">$I52*K$73</f>
        <v>1194542187.1753438</v>
      </c>
      <c r="L50" s="285">
        <f t="shared" si="22"/>
        <v>1285931763.7647762</v>
      </c>
      <c r="M50" s="285">
        <f t="shared" si="22"/>
        <v>1384549030.5136714</v>
      </c>
      <c r="N50" s="285">
        <f t="shared" si="22"/>
        <v>1490970533.1154325</v>
      </c>
    </row>
    <row r="51" spans="3:14">
      <c r="E51" s="309" t="s">
        <v>289</v>
      </c>
      <c r="F51" s="290">
        <f t="shared" ref="F51:I51" si="23">F50/F$73</f>
        <v>5.6563312113817849E-2</v>
      </c>
      <c r="G51" s="290">
        <f t="shared" si="23"/>
        <v>0.18014880481196127</v>
      </c>
      <c r="H51" s="290">
        <f t="shared" si="23"/>
        <v>0.2166433887549527</v>
      </c>
      <c r="I51" s="290">
        <f t="shared" si="23"/>
        <v>0.13546460452797415</v>
      </c>
    </row>
    <row r="52" spans="3:14">
      <c r="E52" s="309" t="s">
        <v>281</v>
      </c>
      <c r="I52" s="316">
        <f>AVERAGE(F51:I51)</f>
        <v>0.14720502755217649</v>
      </c>
    </row>
    <row r="56" spans="3:14">
      <c r="C56" s="315" t="s">
        <v>296</v>
      </c>
    </row>
    <row r="57" spans="3:14">
      <c r="F57" s="285"/>
      <c r="G57" s="285"/>
      <c r="H57" s="285"/>
      <c r="I57" s="285"/>
      <c r="J57" s="285"/>
      <c r="K57" s="285"/>
      <c r="L57" s="285"/>
      <c r="M57" s="285"/>
      <c r="N57" s="285"/>
    </row>
    <row r="58" spans="3:14">
      <c r="E58" s="284" t="s">
        <v>297</v>
      </c>
      <c r="F58" s="285"/>
      <c r="G58" s="285">
        <f>F61</f>
        <v>607078246</v>
      </c>
      <c r="H58" s="285">
        <f t="shared" ref="H58:N58" si="24">G61</f>
        <v>676365593</v>
      </c>
      <c r="I58" s="285">
        <f t="shared" si="24"/>
        <v>1013213611</v>
      </c>
      <c r="J58" s="285">
        <f t="shared" si="24"/>
        <v>1863143763</v>
      </c>
      <c r="K58" s="285">
        <f t="shared" si="24"/>
        <v>1881995135.3681159</v>
      </c>
      <c r="L58" s="285">
        <f t="shared" si="24"/>
        <v>1901037246.7694824</v>
      </c>
      <c r="M58" s="285">
        <f t="shared" si="24"/>
        <v>1920272027.1102142</v>
      </c>
      <c r="N58" s="285">
        <f t="shared" si="24"/>
        <v>1939701425.823303</v>
      </c>
    </row>
    <row r="59" spans="3:14">
      <c r="E59" s="284" t="s">
        <v>298</v>
      </c>
      <c r="F59" s="285">
        <f>SUM([1]CF!F15:F16)</f>
        <v>45992447</v>
      </c>
      <c r="G59" s="285">
        <f>SUM([1]CF!G15:G16)</f>
        <v>66736748</v>
      </c>
      <c r="H59" s="285">
        <f>SUM([1]CF!H15:H16)</f>
        <v>107068328</v>
      </c>
      <c r="I59" s="285">
        <f>SUM([1]CF!I15:I16)</f>
        <v>147981750</v>
      </c>
      <c r="J59" s="285">
        <f>J58*$I$64</f>
        <v>167463003.93188399</v>
      </c>
      <c r="K59" s="285">
        <f t="shared" ref="K59:N59" si="25">K58*$I$64</f>
        <v>169157402.13544506</v>
      </c>
      <c r="L59" s="285">
        <f t="shared" si="25"/>
        <v>170868944.33621639</v>
      </c>
      <c r="M59" s="285">
        <f t="shared" si="25"/>
        <v>172597803.99793261</v>
      </c>
      <c r="N59" s="285">
        <f t="shared" si="25"/>
        <v>174344156.33944225</v>
      </c>
    </row>
    <row r="60" spans="3:14">
      <c r="E60" s="284" t="s">
        <v>299</v>
      </c>
      <c r="F60" s="287">
        <f>SUM([1]CF!F73:F78)*-1</f>
        <v>163333365</v>
      </c>
      <c r="G60" s="287">
        <f>SUM([1]CF!G73:G78)*-1</f>
        <v>136024095</v>
      </c>
      <c r="H60" s="287">
        <f>SUM([1]CF!H73:H78)*-1</f>
        <v>443916346</v>
      </c>
      <c r="I60" s="287">
        <f>SUM([1]CF!I73:I78)*-1</f>
        <v>997911902</v>
      </c>
      <c r="J60" s="319">
        <f>J58*J67</f>
        <v>186314376.30000001</v>
      </c>
      <c r="K60" s="319">
        <f t="shared" ref="K60:N60" si="26">K58*K67</f>
        <v>188199513.53681159</v>
      </c>
      <c r="L60" s="319">
        <f t="shared" si="26"/>
        <v>190103724.67694825</v>
      </c>
      <c r="M60" s="319">
        <f t="shared" si="26"/>
        <v>192027202.71102142</v>
      </c>
      <c r="N60" s="319">
        <f t="shared" si="26"/>
        <v>193970142.58233032</v>
      </c>
    </row>
    <row r="61" spans="3:14">
      <c r="E61" s="284" t="s">
        <v>300</v>
      </c>
      <c r="F61" s="285">
        <f>SUM([1]BL!F26:F28,[1]BL!F30:F31)</f>
        <v>607078246</v>
      </c>
      <c r="G61" s="285">
        <f>G58+G60-G59</f>
        <v>676365593</v>
      </c>
      <c r="H61" s="285">
        <f t="shared" ref="H61:N61" si="27">H58+H60-H59</f>
        <v>1013213611</v>
      </c>
      <c r="I61" s="285">
        <f t="shared" si="27"/>
        <v>1863143763</v>
      </c>
      <c r="J61" s="285">
        <f t="shared" si="27"/>
        <v>1881995135.3681159</v>
      </c>
      <c r="K61" s="285">
        <f t="shared" si="27"/>
        <v>1901037246.7694824</v>
      </c>
      <c r="L61" s="285">
        <f t="shared" si="27"/>
        <v>1920272027.1102142</v>
      </c>
      <c r="M61" s="285">
        <f t="shared" si="27"/>
        <v>1939701425.823303</v>
      </c>
      <c r="N61" s="285">
        <f t="shared" si="27"/>
        <v>1959327412.066191</v>
      </c>
    </row>
    <row r="63" spans="3:14">
      <c r="E63" s="309" t="s">
        <v>301</v>
      </c>
      <c r="F63" s="306">
        <f>F59/F61</f>
        <v>7.576032793637609E-2</v>
      </c>
      <c r="G63" s="306">
        <f t="shared" ref="G63:I63" si="28">G59/G61</f>
        <v>9.8669637679218852E-2</v>
      </c>
      <c r="H63" s="306">
        <f t="shared" si="28"/>
        <v>0.10567201904673189</v>
      </c>
      <c r="I63" s="306">
        <f t="shared" si="28"/>
        <v>7.9425835482347579E-2</v>
      </c>
    </row>
    <row r="64" spans="3:14">
      <c r="E64" s="309" t="s">
        <v>281</v>
      </c>
      <c r="F64" s="306"/>
      <c r="G64" s="306"/>
      <c r="H64" s="306"/>
      <c r="I64" s="314">
        <f>AVERAGE(F63:I63)</f>
        <v>8.9881955036168609E-2</v>
      </c>
    </row>
    <row r="65" spans="3:14">
      <c r="E65" s="284" t="s">
        <v>302</v>
      </c>
      <c r="F65" s="290">
        <f>F60/F73</f>
        <v>3.8842447353773943E-2</v>
      </c>
      <c r="G65" s="290">
        <f>G60/G73</f>
        <v>2.7599907799604299E-2</v>
      </c>
      <c r="H65" s="290">
        <f>H60/H73</f>
        <v>8.0957123566484282E-2</v>
      </c>
      <c r="I65" s="290">
        <f>I60/I73</f>
        <v>0.14739929442638283</v>
      </c>
      <c r="J65" s="285"/>
      <c r="K65" s="285"/>
      <c r="L65" s="285"/>
      <c r="M65" s="285"/>
      <c r="N65" s="285"/>
    </row>
    <row r="66" spans="3:14">
      <c r="I66" s="316">
        <f>AVERAGE(F65:I65)</f>
        <v>7.3699693286561341E-2</v>
      </c>
      <c r="J66" s="306"/>
      <c r="K66" s="306"/>
      <c r="L66" s="306"/>
      <c r="M66" s="306"/>
      <c r="N66" s="306"/>
    </row>
    <row r="67" spans="3:14">
      <c r="E67" s="284" t="s">
        <v>303</v>
      </c>
      <c r="J67" s="306">
        <v>0.1</v>
      </c>
      <c r="K67" s="306">
        <f>J67</f>
        <v>0.1</v>
      </c>
      <c r="L67" s="306">
        <f t="shared" ref="L67:N67" si="29">K67</f>
        <v>0.1</v>
      </c>
      <c r="M67" s="306">
        <f t="shared" si="29"/>
        <v>0.1</v>
      </c>
      <c r="N67" s="306">
        <f t="shared" si="29"/>
        <v>0.1</v>
      </c>
    </row>
    <row r="68" spans="3:14">
      <c r="J68" s="285"/>
      <c r="K68" s="285"/>
      <c r="L68" s="285"/>
      <c r="M68" s="285"/>
      <c r="N68" s="285"/>
    </row>
    <row r="69" spans="3:14" ht="15.5" thickBot="1"/>
    <row r="70" spans="3:14" s="313" customFormat="1" ht="15.5" thickBot="1">
      <c r="C70" s="312" t="s">
        <v>304</v>
      </c>
    </row>
    <row r="72" spans="3:14">
      <c r="C72" s="315" t="s">
        <v>305</v>
      </c>
    </row>
    <row r="73" spans="3:14">
      <c r="D73" s="284" t="s">
        <v>306</v>
      </c>
      <c r="E73" s="286"/>
      <c r="F73" s="287">
        <f>SUM(F74:F75)</f>
        <v>4205022498</v>
      </c>
      <c r="G73" s="287">
        <f t="shared" ref="G73:N73" si="30">SUM(G74:G75)</f>
        <v>4928425703</v>
      </c>
      <c r="H73" s="287">
        <f t="shared" si="30"/>
        <v>5483351266</v>
      </c>
      <c r="I73" s="287">
        <f t="shared" si="30"/>
        <v>6770126722</v>
      </c>
      <c r="J73" s="287">
        <f t="shared" si="30"/>
        <v>7410802549.1600008</v>
      </c>
      <c r="K73" s="287">
        <f t="shared" si="30"/>
        <v>8114819222.1352015</v>
      </c>
      <c r="L73" s="287">
        <f t="shared" si="30"/>
        <v>8735651119.7213058</v>
      </c>
      <c r="M73" s="287">
        <f t="shared" si="30"/>
        <v>9405582496.3106041</v>
      </c>
      <c r="N73" s="287">
        <f t="shared" si="30"/>
        <v>10128529968.767279</v>
      </c>
    </row>
    <row r="74" spans="3:14">
      <c r="E74" s="284" t="s">
        <v>218</v>
      </c>
      <c r="F74" s="285">
        <f>[1]PL!G9</f>
        <v>4198988327</v>
      </c>
      <c r="G74" s="285">
        <f>[1]PL!H9</f>
        <v>4850685822</v>
      </c>
      <c r="H74" s="285">
        <f>[1]PL!I9</f>
        <v>5221438702</v>
      </c>
      <c r="I74" s="285">
        <f>[1]PL!J9</f>
        <v>6315916159</v>
      </c>
      <c r="J74" s="285">
        <f>I74*(1+J7)</f>
        <v>6947507774.9000006</v>
      </c>
      <c r="K74" s="285">
        <f>J74*(1+K7)</f>
        <v>7642258552.3900013</v>
      </c>
      <c r="L74" s="285">
        <f>K74*(1+L7)</f>
        <v>8253639236.5812016</v>
      </c>
      <c r="M74" s="285">
        <f>L74*(1+M7)</f>
        <v>8913930375.5076981</v>
      </c>
      <c r="N74" s="285">
        <f>M74*(1+N7)</f>
        <v>9627044805.548315</v>
      </c>
    </row>
    <row r="75" spans="3:14">
      <c r="E75" s="284" t="s">
        <v>219</v>
      </c>
      <c r="F75" s="285">
        <f>[1]PL!G10</f>
        <v>6034171</v>
      </c>
      <c r="G75" s="285">
        <f>[1]PL!H10</f>
        <v>77739881</v>
      </c>
      <c r="H75" s="285">
        <f>[1]PL!I10</f>
        <v>261912564</v>
      </c>
      <c r="I75" s="285">
        <f>[1]PL!J10</f>
        <v>454210563</v>
      </c>
      <c r="J75" s="285">
        <f>I75*(1+J9)</f>
        <v>463294774.25999999</v>
      </c>
      <c r="K75" s="285">
        <f>J75*(1+K9)</f>
        <v>472560669.74519998</v>
      </c>
      <c r="L75" s="285">
        <f>K75*(1+L9)</f>
        <v>482011883.140104</v>
      </c>
      <c r="M75" s="285">
        <f>L75*(1+M9)</f>
        <v>491652120.8029061</v>
      </c>
      <c r="N75" s="285">
        <f>M75*(1+N9)</f>
        <v>501485163.21896422</v>
      </c>
    </row>
    <row r="76" spans="3:14">
      <c r="F76" s="285"/>
      <c r="G76" s="285"/>
      <c r="H76" s="285"/>
      <c r="I76" s="285"/>
      <c r="J76" s="285"/>
      <c r="K76" s="285"/>
      <c r="L76" s="285"/>
      <c r="M76" s="285"/>
      <c r="N76" s="285"/>
    </row>
    <row r="77" spans="3:14">
      <c r="D77" s="284" t="s">
        <v>282</v>
      </c>
      <c r="E77" s="286"/>
      <c r="F77" s="287">
        <f>SUM(F78:F79)</f>
        <v>2348479868</v>
      </c>
      <c r="G77" s="287">
        <f t="shared" ref="G77:N77" si="31">SUM(G78:G79)</f>
        <v>2726899440</v>
      </c>
      <c r="H77" s="287">
        <f t="shared" si="31"/>
        <v>3079368173</v>
      </c>
      <c r="I77" s="287">
        <f t="shared" si="31"/>
        <v>4006494772</v>
      </c>
      <c r="J77" s="287">
        <f t="shared" si="31"/>
        <v>4212387479.5403996</v>
      </c>
      <c r="K77" s="287">
        <f t="shared" si="31"/>
        <v>4615860816.3063841</v>
      </c>
      <c r="L77" s="287">
        <f t="shared" si="31"/>
        <v>4971539142.0520334</v>
      </c>
      <c r="M77" s="287">
        <f t="shared" si="31"/>
        <v>5355399923.0661564</v>
      </c>
      <c r="N77" s="287">
        <f t="shared" si="31"/>
        <v>5769692319.554409</v>
      </c>
    </row>
    <row r="78" spans="3:14">
      <c r="E78" s="284" t="s">
        <v>307</v>
      </c>
      <c r="F78" s="285">
        <f>[1]PL!G14*-1</f>
        <v>2341908872</v>
      </c>
      <c r="G78" s="285">
        <f>[1]PL!H14*-1</f>
        <v>2681329149</v>
      </c>
      <c r="H78" s="285">
        <f>[1]PL!I14*-1</f>
        <v>2989828997</v>
      </c>
      <c r="I78" s="285">
        <f>[1]PL!J14*-1</f>
        <v>3774887506</v>
      </c>
      <c r="J78" s="285">
        <f>J74*$I$14</f>
        <v>3990319839.6897078</v>
      </c>
      <c r="K78" s="285">
        <f t="shared" ref="K78:N78" si="32">K74*$I$14</f>
        <v>4389351823.658679</v>
      </c>
      <c r="L78" s="285">
        <f t="shared" si="32"/>
        <v>4740499969.5513735</v>
      </c>
      <c r="M78" s="285">
        <f t="shared" si="32"/>
        <v>5119739967.1154833</v>
      </c>
      <c r="N78" s="285">
        <f t="shared" si="32"/>
        <v>5529319164.4847231</v>
      </c>
    </row>
    <row r="79" spans="3:14">
      <c r="E79" s="284" t="s">
        <v>308</v>
      </c>
      <c r="F79" s="285">
        <f>[1]PL!G15*-1</f>
        <v>6570996</v>
      </c>
      <c r="G79" s="285">
        <f>[1]PL!H15*-1</f>
        <v>45570291</v>
      </c>
      <c r="H79" s="285">
        <f>[1]PL!I15*-1</f>
        <v>89539176</v>
      </c>
      <c r="I79" s="285">
        <f>[1]PL!J15*-1</f>
        <v>231607266</v>
      </c>
      <c r="J79" s="285">
        <f>J75*$I$16</f>
        <v>222067639.85069165</v>
      </c>
      <c r="K79" s="285">
        <f t="shared" ref="K79:N79" si="33">K75*$I$16</f>
        <v>226508992.64770547</v>
      </c>
      <c r="L79" s="285">
        <f t="shared" si="33"/>
        <v>231039172.50065958</v>
      </c>
      <c r="M79" s="285">
        <f t="shared" si="33"/>
        <v>235659955.95067281</v>
      </c>
      <c r="N79" s="285">
        <f t="shared" si="33"/>
        <v>240373155.06968626</v>
      </c>
    </row>
    <row r="80" spans="3:14">
      <c r="F80" s="285"/>
      <c r="G80" s="285"/>
      <c r="H80" s="285"/>
      <c r="I80" s="285"/>
      <c r="J80" s="285"/>
      <c r="K80" s="285"/>
      <c r="L80" s="285"/>
      <c r="M80" s="285"/>
      <c r="N80" s="285"/>
    </row>
    <row r="81" spans="4:14">
      <c r="D81" s="284" t="s">
        <v>285</v>
      </c>
      <c r="E81" s="286"/>
      <c r="F81" s="287">
        <f>[1]PL!G18</f>
        <v>23063801</v>
      </c>
      <c r="G81" s="287">
        <f>[1]PL!H18</f>
        <v>103809372</v>
      </c>
      <c r="H81" s="287">
        <f>[1]PL!I18</f>
        <v>485113274</v>
      </c>
      <c r="I81" s="287">
        <f>[1]PL!J18</f>
        <v>376747788</v>
      </c>
      <c r="J81" s="287">
        <f>J73*$I$20</f>
        <v>408044144.53074604</v>
      </c>
      <c r="K81" s="287">
        <f t="shared" ref="K81:N81" si="34">K73*$I$20</f>
        <v>446807811.37437409</v>
      </c>
      <c r="L81" s="287">
        <f t="shared" si="34"/>
        <v>480991264.36309737</v>
      </c>
      <c r="M81" s="287">
        <f t="shared" si="34"/>
        <v>517878170.15249401</v>
      </c>
      <c r="N81" s="287">
        <f t="shared" si="34"/>
        <v>557684180.49784935</v>
      </c>
    </row>
    <row r="82" spans="4:14">
      <c r="F82" s="285"/>
      <c r="G82" s="285"/>
      <c r="H82" s="285"/>
      <c r="I82" s="285"/>
      <c r="J82" s="285"/>
      <c r="K82" s="285"/>
      <c r="L82" s="285"/>
      <c r="M82" s="285"/>
      <c r="N82" s="285"/>
    </row>
    <row r="83" spans="4:14">
      <c r="D83" s="284" t="s">
        <v>286</v>
      </c>
      <c r="E83" s="286"/>
      <c r="F83" s="287">
        <f>SUM(F84:F85)</f>
        <v>807547808</v>
      </c>
      <c r="G83" s="287">
        <f t="shared" ref="G83:I83" si="35">SUM(G84:G85)</f>
        <v>881500505</v>
      </c>
      <c r="H83" s="287">
        <f t="shared" si="35"/>
        <v>1244853402</v>
      </c>
      <c r="I83" s="287">
        <f t="shared" si="35"/>
        <v>1619188954</v>
      </c>
      <c r="J83" s="287">
        <f>J73*$I$23</f>
        <v>1593449446.5989833</v>
      </c>
      <c r="K83" s="287">
        <f t="shared" ref="K83:N83" si="36">K73*$I$23</f>
        <v>1744825086.4851043</v>
      </c>
      <c r="L83" s="287">
        <f t="shared" si="36"/>
        <v>1878314575.2519729</v>
      </c>
      <c r="M83" s="287">
        <f t="shared" si="36"/>
        <v>2022361292.7571521</v>
      </c>
      <c r="N83" s="287">
        <f t="shared" si="36"/>
        <v>2177807378.6924462</v>
      </c>
    </row>
    <row r="84" spans="4:14">
      <c r="E84" s="284" t="s">
        <v>228</v>
      </c>
      <c r="F84" s="285">
        <f>[1]PL!G19*-1</f>
        <v>451760860</v>
      </c>
      <c r="G84" s="285">
        <f>[1]PL!H19*-1</f>
        <v>452519322</v>
      </c>
      <c r="H84" s="285">
        <f>[1]PL!I19*-1</f>
        <v>666275371</v>
      </c>
      <c r="I84" s="285">
        <f>[1]PL!J19*-1</f>
        <v>843698228</v>
      </c>
      <c r="J84" s="285"/>
      <c r="K84" s="285"/>
      <c r="L84" s="285"/>
      <c r="M84" s="285"/>
      <c r="N84" s="285"/>
    </row>
    <row r="85" spans="4:14">
      <c r="E85" s="284" t="s">
        <v>309</v>
      </c>
      <c r="F85" s="285">
        <f>[1]PL!G20*-1</f>
        <v>355786948</v>
      </c>
      <c r="G85" s="285">
        <f>[1]PL!H20*-1</f>
        <v>428981183</v>
      </c>
      <c r="H85" s="285">
        <f>[1]PL!I20*-1</f>
        <v>578578031</v>
      </c>
      <c r="I85" s="285">
        <f>[1]PL!J20*-1</f>
        <v>775490726</v>
      </c>
      <c r="J85" s="285"/>
      <c r="K85" s="285"/>
      <c r="L85" s="285"/>
      <c r="M85" s="285"/>
      <c r="N85" s="285"/>
    </row>
    <row r="86" spans="4:14">
      <c r="E86" s="284" t="s">
        <v>310</v>
      </c>
      <c r="F86" s="290">
        <f>F84/F83</f>
        <v>0.55942305275875381</v>
      </c>
      <c r="G86" s="290">
        <f t="shared" ref="G86:I86" si="37">G84/G83</f>
        <v>0.5133511772633641</v>
      </c>
      <c r="H86" s="290">
        <f t="shared" si="37"/>
        <v>0.53522396286145191</v>
      </c>
      <c r="I86" s="290">
        <f t="shared" si="37"/>
        <v>0.5210622428690308</v>
      </c>
      <c r="J86" s="285"/>
      <c r="K86" s="285"/>
      <c r="L86" s="285"/>
      <c r="M86" s="285"/>
      <c r="N86" s="285"/>
    </row>
    <row r="87" spans="4:14">
      <c r="E87" s="309" t="s">
        <v>281</v>
      </c>
      <c r="F87" s="290"/>
      <c r="G87" s="290"/>
      <c r="H87" s="290"/>
      <c r="I87" s="316">
        <f>AVERAGE(F86:I86)</f>
        <v>0.53226510893815016</v>
      </c>
      <c r="J87" s="285"/>
      <c r="K87" s="285"/>
      <c r="L87" s="285"/>
      <c r="M87" s="285"/>
      <c r="N87" s="285"/>
    </row>
    <row r="88" spans="4:14">
      <c r="E88" s="284" t="s">
        <v>311</v>
      </c>
      <c r="F88" s="290">
        <f>F85/F83</f>
        <v>0.44057694724124619</v>
      </c>
      <c r="G88" s="290">
        <f>G85/G83</f>
        <v>0.48664882273663584</v>
      </c>
      <c r="H88" s="290">
        <f>H85/H83</f>
        <v>0.46477603713854815</v>
      </c>
      <c r="I88" s="290">
        <f>I85/I83</f>
        <v>0.47893775713096914</v>
      </c>
      <c r="J88" s="285"/>
      <c r="K88" s="285"/>
      <c r="L88" s="285"/>
      <c r="M88" s="285"/>
      <c r="N88" s="285"/>
    </row>
    <row r="89" spans="4:14">
      <c r="E89" s="309" t="s">
        <v>281</v>
      </c>
      <c r="F89" s="290"/>
      <c r="G89" s="290"/>
      <c r="H89" s="290"/>
      <c r="I89" s="316">
        <f>AVERAGE(F88:I88)</f>
        <v>0.46773489106184984</v>
      </c>
      <c r="J89" s="285"/>
      <c r="K89" s="285"/>
      <c r="L89" s="285"/>
      <c r="M89" s="285"/>
      <c r="N89" s="285"/>
    </row>
    <row r="91" spans="4:14">
      <c r="D91" s="284" t="s">
        <v>312</v>
      </c>
      <c r="E91" s="286"/>
      <c r="F91" s="287">
        <f>F92-F93</f>
        <v>-7738751</v>
      </c>
      <c r="G91" s="287">
        <f t="shared" ref="G91:N91" si="38">G92-G93</f>
        <v>-2722412</v>
      </c>
      <c r="H91" s="287">
        <f t="shared" si="38"/>
        <v>7950781</v>
      </c>
      <c r="I91" s="287">
        <f t="shared" si="38"/>
        <v>16358809</v>
      </c>
      <c r="J91" s="287">
        <f t="shared" si="38"/>
        <v>16685985.179999998</v>
      </c>
      <c r="K91" s="287">
        <f t="shared" si="38"/>
        <v>17019704.883599997</v>
      </c>
      <c r="L91" s="287">
        <f t="shared" si="38"/>
        <v>17360098.981272001</v>
      </c>
      <c r="M91" s="287">
        <f t="shared" si="38"/>
        <v>17707300.960897442</v>
      </c>
      <c r="N91" s="287">
        <f t="shared" si="38"/>
        <v>18061446.980115391</v>
      </c>
    </row>
    <row r="92" spans="4:14">
      <c r="E92" s="284" t="s">
        <v>97</v>
      </c>
      <c r="F92" s="285">
        <f>[1]PL!G22</f>
        <v>703392</v>
      </c>
      <c r="G92" s="285">
        <f>[1]PL!H22</f>
        <v>1465622</v>
      </c>
      <c r="H92" s="285">
        <f>[1]PL!I22</f>
        <v>11512591</v>
      </c>
      <c r="I92" s="285">
        <f>[1]PL!J22</f>
        <v>27641369</v>
      </c>
      <c r="J92" s="285">
        <f>I92*(1+$I$94)</f>
        <v>28194196.379999999</v>
      </c>
      <c r="K92" s="285">
        <f t="shared" ref="K92:N93" si="39">J92*(1+$I$94)</f>
        <v>28758080.307599999</v>
      </c>
      <c r="L92" s="285">
        <f t="shared" si="39"/>
        <v>29333241.913752001</v>
      </c>
      <c r="M92" s="285">
        <f t="shared" si="39"/>
        <v>29919906.752027042</v>
      </c>
      <c r="N92" s="285">
        <f t="shared" si="39"/>
        <v>30518304.887067582</v>
      </c>
    </row>
    <row r="93" spans="4:14">
      <c r="E93" s="284" t="s">
        <v>98</v>
      </c>
      <c r="F93" s="285">
        <f>[1]PL!G23*-1</f>
        <v>8442143</v>
      </c>
      <c r="G93" s="285">
        <f>[1]PL!H23*-1</f>
        <v>4188034</v>
      </c>
      <c r="H93" s="285">
        <f>[1]PL!I23*-1</f>
        <v>3561810</v>
      </c>
      <c r="I93" s="285">
        <f>[1]PL!J23*-1</f>
        <v>11282560</v>
      </c>
      <c r="J93" s="285">
        <f>I93*(1+$I$94)</f>
        <v>11508211.200000001</v>
      </c>
      <c r="K93" s="285">
        <f t="shared" si="39"/>
        <v>11738375.424000001</v>
      </c>
      <c r="L93" s="285">
        <f t="shared" si="39"/>
        <v>11973142.93248</v>
      </c>
      <c r="M93" s="285">
        <f t="shared" si="39"/>
        <v>12212605.7911296</v>
      </c>
      <c r="N93" s="285">
        <f t="shared" si="39"/>
        <v>12456857.906952193</v>
      </c>
    </row>
    <row r="94" spans="4:14">
      <c r="E94" s="284" t="s">
        <v>313</v>
      </c>
      <c r="F94" s="285"/>
      <c r="G94" s="285"/>
      <c r="H94" s="285"/>
      <c r="I94" s="290">
        <v>0.02</v>
      </c>
      <c r="J94" s="285"/>
      <c r="K94" s="285"/>
      <c r="L94" s="285"/>
      <c r="M94" s="285"/>
      <c r="N94" s="285"/>
    </row>
    <row r="96" spans="4:14">
      <c r="D96" s="284" t="s">
        <v>314</v>
      </c>
      <c r="F96" s="285">
        <f>[1]PL!G24*-1</f>
        <v>0</v>
      </c>
      <c r="G96" s="285">
        <f>[1]PL!H24*-1</f>
        <v>32694866</v>
      </c>
      <c r="H96" s="285">
        <f>[1]PL!I24*-1</f>
        <v>10818566</v>
      </c>
      <c r="I96" s="285">
        <f>[1]PL!J24*-1</f>
        <v>16490561</v>
      </c>
      <c r="J96" s="285">
        <f>AVERAGE(G96:I96)</f>
        <v>20001331</v>
      </c>
      <c r="K96" s="285">
        <f>J96*(1+$I$97)</f>
        <v>20401357.620000001</v>
      </c>
      <c r="L96" s="285">
        <f t="shared" ref="L96:N96" si="40">K96*(1+$I$97)</f>
        <v>20809384.772400003</v>
      </c>
      <c r="M96" s="285">
        <f t="shared" si="40"/>
        <v>21225572.467848003</v>
      </c>
      <c r="N96" s="285">
        <f t="shared" si="40"/>
        <v>21650083.917204965</v>
      </c>
    </row>
    <row r="97" spans="3:14">
      <c r="E97" s="284" t="s">
        <v>313</v>
      </c>
      <c r="I97" s="290">
        <v>0.02</v>
      </c>
    </row>
    <row r="99" spans="3:14" s="320" customFormat="1"/>
    <row r="101" spans="3:14" ht="18">
      <c r="C101" s="291" t="s">
        <v>315</v>
      </c>
      <c r="D101" s="291"/>
      <c r="E101" s="291"/>
      <c r="F101" s="291"/>
      <c r="G101" s="291"/>
      <c r="H101" s="291" t="s">
        <v>369</v>
      </c>
      <c r="I101" s="291"/>
      <c r="J101" s="291"/>
      <c r="K101" s="291"/>
      <c r="L101" s="291"/>
      <c r="M101" s="291"/>
      <c r="N101" s="291"/>
    </row>
    <row r="102" spans="3:14" ht="18">
      <c r="C102" s="291"/>
      <c r="D102" s="291"/>
      <c r="E102" s="291"/>
      <c r="F102" s="310">
        <v>2020</v>
      </c>
      <c r="G102" s="310">
        <f>F102+1</f>
        <v>2021</v>
      </c>
      <c r="H102" s="310">
        <f t="shared" ref="H102" si="41">G102+1</f>
        <v>2022</v>
      </c>
      <c r="I102" s="310">
        <f t="shared" ref="I102" si="42">H102+1</f>
        <v>2023</v>
      </c>
      <c r="J102" s="311">
        <f t="shared" ref="J102" si="43">I102+1</f>
        <v>2024</v>
      </c>
      <c r="K102" s="311">
        <f t="shared" ref="K102" si="44">J102+1</f>
        <v>2025</v>
      </c>
      <c r="L102" s="311">
        <f t="shared" ref="L102" si="45">K102+1</f>
        <v>2026</v>
      </c>
      <c r="M102" s="311">
        <f t="shared" ref="M102" si="46">L102+1</f>
        <v>2027</v>
      </c>
      <c r="N102" s="311">
        <f t="shared" ref="N102" si="47">M102+1</f>
        <v>2028</v>
      </c>
    </row>
    <row r="103" spans="3:14" ht="18">
      <c r="C103" s="291"/>
      <c r="D103" s="291"/>
      <c r="E103" s="291" t="s">
        <v>316</v>
      </c>
      <c r="F103" s="292">
        <f>F73</f>
        <v>4205022498</v>
      </c>
      <c r="G103" s="292">
        <f t="shared" ref="G103:N103" si="48">G73</f>
        <v>4928425703</v>
      </c>
      <c r="H103" s="292">
        <f t="shared" si="48"/>
        <v>5483351266</v>
      </c>
      <c r="I103" s="292">
        <f t="shared" si="48"/>
        <v>6770126722</v>
      </c>
      <c r="J103" s="292">
        <f t="shared" si="48"/>
        <v>7410802549.1600008</v>
      </c>
      <c r="K103" s="292">
        <f t="shared" si="48"/>
        <v>8114819222.1352015</v>
      </c>
      <c r="L103" s="292">
        <f t="shared" si="48"/>
        <v>8735651119.7213058</v>
      </c>
      <c r="M103" s="292">
        <f t="shared" si="48"/>
        <v>9405582496.3106041</v>
      </c>
      <c r="N103" s="292">
        <f t="shared" si="48"/>
        <v>10128529968.767279</v>
      </c>
    </row>
    <row r="104" spans="3:14" ht="18">
      <c r="C104" s="291"/>
      <c r="D104" s="291"/>
      <c r="E104" s="293" t="s">
        <v>282</v>
      </c>
      <c r="F104" s="294">
        <f>F77</f>
        <v>2348479868</v>
      </c>
      <c r="G104" s="294">
        <f t="shared" ref="G104:N104" si="49">G77</f>
        <v>2726899440</v>
      </c>
      <c r="H104" s="294">
        <f t="shared" si="49"/>
        <v>3079368173</v>
      </c>
      <c r="I104" s="294">
        <f t="shared" si="49"/>
        <v>4006494772</v>
      </c>
      <c r="J104" s="294">
        <f t="shared" si="49"/>
        <v>4212387479.5403996</v>
      </c>
      <c r="K104" s="294">
        <f t="shared" si="49"/>
        <v>4615860816.3063841</v>
      </c>
      <c r="L104" s="294">
        <f t="shared" si="49"/>
        <v>4971539142.0520334</v>
      </c>
      <c r="M104" s="294">
        <f t="shared" si="49"/>
        <v>5355399923.0661564</v>
      </c>
      <c r="N104" s="294">
        <f t="shared" si="49"/>
        <v>5769692319.554409</v>
      </c>
    </row>
    <row r="105" spans="3:14" ht="18">
      <c r="C105" s="291"/>
      <c r="D105" s="291"/>
      <c r="E105" s="295" t="s">
        <v>317</v>
      </c>
      <c r="F105" s="296">
        <f>F103-F104</f>
        <v>1856542630</v>
      </c>
      <c r="G105" s="296">
        <f t="shared" ref="G105:N105" si="50">G103-G104</f>
        <v>2201526263</v>
      </c>
      <c r="H105" s="296">
        <f t="shared" si="50"/>
        <v>2403983093</v>
      </c>
      <c r="I105" s="296">
        <f t="shared" si="50"/>
        <v>2763631950</v>
      </c>
      <c r="J105" s="296">
        <f t="shared" si="50"/>
        <v>3198415069.6196012</v>
      </c>
      <c r="K105" s="296">
        <f t="shared" si="50"/>
        <v>3498958405.8288174</v>
      </c>
      <c r="L105" s="296">
        <f t="shared" si="50"/>
        <v>3764111977.6692724</v>
      </c>
      <c r="M105" s="296">
        <f t="shared" si="50"/>
        <v>4050182573.2444477</v>
      </c>
      <c r="N105" s="296">
        <f t="shared" si="50"/>
        <v>4358837649.2128696</v>
      </c>
    </row>
    <row r="106" spans="3:14" ht="18" hidden="1">
      <c r="C106" s="291"/>
      <c r="D106" s="291"/>
      <c r="E106" s="291" t="s">
        <v>285</v>
      </c>
      <c r="F106" s="292">
        <f>F81</f>
        <v>23063801</v>
      </c>
      <c r="G106" s="292">
        <f>G81</f>
        <v>103809372</v>
      </c>
      <c r="H106" s="292">
        <f>H81</f>
        <v>485113274</v>
      </c>
      <c r="I106" s="292">
        <f>I81</f>
        <v>376747788</v>
      </c>
      <c r="J106" s="292">
        <f>J81</f>
        <v>408044144.53074604</v>
      </c>
      <c r="K106" s="292">
        <f>K81</f>
        <v>446807811.37437409</v>
      </c>
      <c r="L106" s="292">
        <f>L81</f>
        <v>480991264.36309737</v>
      </c>
      <c r="M106" s="292">
        <f>M81</f>
        <v>517878170.15249401</v>
      </c>
      <c r="N106" s="292">
        <f>N81</f>
        <v>557684180.49784935</v>
      </c>
    </row>
    <row r="107" spans="3:14" ht="18">
      <c r="C107" s="291"/>
      <c r="D107" s="291"/>
      <c r="E107" s="293" t="s">
        <v>286</v>
      </c>
      <c r="F107" s="294">
        <f>F83</f>
        <v>807547808</v>
      </c>
      <c r="G107" s="294">
        <f>G83</f>
        <v>881500505</v>
      </c>
      <c r="H107" s="294">
        <f>H83</f>
        <v>1244853402</v>
      </c>
      <c r="I107" s="294">
        <f>I83</f>
        <v>1619188954</v>
      </c>
      <c r="J107" s="294">
        <f>J83</f>
        <v>1593449446.5989833</v>
      </c>
      <c r="K107" s="294">
        <f>K83</f>
        <v>1744825086.4851043</v>
      </c>
      <c r="L107" s="294">
        <f>L83</f>
        <v>1878314575.2519729</v>
      </c>
      <c r="M107" s="294">
        <f>M83</f>
        <v>2022361292.7571521</v>
      </c>
      <c r="N107" s="294">
        <f>N83</f>
        <v>2177807378.6924462</v>
      </c>
    </row>
    <row r="108" spans="3:14" ht="18">
      <c r="C108" s="291"/>
      <c r="D108" s="291"/>
      <c r="E108" s="395" t="s">
        <v>249</v>
      </c>
      <c r="F108" s="396">
        <f>PL!G21+CF!F15+CF!F16</f>
        <v>1118051070</v>
      </c>
      <c r="G108" s="396">
        <f>PL!H21+CF!G15+CF!G16</f>
        <v>1490571878</v>
      </c>
      <c r="H108" s="396">
        <f>PL!I21+CF!H15+CF!H16</f>
        <v>1751311293</v>
      </c>
      <c r="I108" s="396">
        <f>PL!J21+CF!I15+CF!I16</f>
        <v>1669172534</v>
      </c>
      <c r="J108" s="396">
        <f>J109+J134</f>
        <v>2180472771.4832478</v>
      </c>
      <c r="K108" s="396">
        <f>K109+K134</f>
        <v>2370098532.8535323</v>
      </c>
      <c r="L108" s="396">
        <f>L109+L134</f>
        <v>2537657611.1166129</v>
      </c>
      <c r="M108" s="396">
        <f>M109+M134</f>
        <v>2718297254.6377225</v>
      </c>
      <c r="N108" s="396">
        <f>N109+N134</f>
        <v>2913058607.3577151</v>
      </c>
    </row>
    <row r="109" spans="3:14" ht="18">
      <c r="C109" s="291"/>
      <c r="D109" s="291"/>
      <c r="E109" s="295" t="s">
        <v>318</v>
      </c>
      <c r="F109" s="296">
        <f>F105+F106-F107</f>
        <v>1072058623</v>
      </c>
      <c r="G109" s="296">
        <f>G105+G106-G107</f>
        <v>1423835130</v>
      </c>
      <c r="H109" s="296">
        <f>H105+H106-H107</f>
        <v>1644242965</v>
      </c>
      <c r="I109" s="296">
        <f>I105+I106-I107</f>
        <v>1521190784</v>
      </c>
      <c r="J109" s="296">
        <f>J105+J106-J107</f>
        <v>2013009767.5513639</v>
      </c>
      <c r="K109" s="296">
        <f>K105+K106-K107</f>
        <v>2200941130.7180872</v>
      </c>
      <c r="L109" s="296">
        <f>L105+L106-L107</f>
        <v>2366788666.7803965</v>
      </c>
      <c r="M109" s="296">
        <f>M105+M106-M107</f>
        <v>2545699450.6397901</v>
      </c>
      <c r="N109" s="296">
        <f>N105+N106-N107</f>
        <v>2738714451.0182729</v>
      </c>
    </row>
    <row r="110" spans="3:14" ht="18">
      <c r="C110" s="291"/>
      <c r="D110" s="291"/>
      <c r="E110" s="291" t="s">
        <v>312</v>
      </c>
      <c r="F110" s="292">
        <f>F91</f>
        <v>-7738751</v>
      </c>
      <c r="G110" s="292">
        <f>G91</f>
        <v>-2722412</v>
      </c>
      <c r="H110" s="292">
        <f>H91</f>
        <v>7950781</v>
      </c>
      <c r="I110" s="292">
        <f>I91</f>
        <v>16358809</v>
      </c>
      <c r="J110" s="292">
        <f>J91</f>
        <v>16685985.179999998</v>
      </c>
      <c r="K110" s="292">
        <f>K91</f>
        <v>17019704.883599997</v>
      </c>
      <c r="L110" s="292">
        <f>L91</f>
        <v>17360098.981272001</v>
      </c>
      <c r="M110" s="292">
        <f>M91</f>
        <v>17707300.960897442</v>
      </c>
      <c r="N110" s="292">
        <f>N91</f>
        <v>18061446.980115391</v>
      </c>
    </row>
    <row r="111" spans="3:14" ht="18">
      <c r="C111" s="291"/>
      <c r="D111" s="291"/>
      <c r="E111" s="293" t="s">
        <v>319</v>
      </c>
      <c r="F111" s="294">
        <f>F96</f>
        <v>0</v>
      </c>
      <c r="G111" s="294">
        <f>G96</f>
        <v>32694866</v>
      </c>
      <c r="H111" s="294">
        <f>H96</f>
        <v>10818566</v>
      </c>
      <c r="I111" s="294">
        <f>I96</f>
        <v>16490561</v>
      </c>
      <c r="J111" s="294">
        <f>J96</f>
        <v>20001331</v>
      </c>
      <c r="K111" s="294">
        <f>K96</f>
        <v>20401357.620000001</v>
      </c>
      <c r="L111" s="294">
        <f>L96</f>
        <v>20809384.772400003</v>
      </c>
      <c r="M111" s="294">
        <f>M96</f>
        <v>21225572.467848003</v>
      </c>
      <c r="N111" s="294">
        <f>N96</f>
        <v>21650083.917204965</v>
      </c>
    </row>
    <row r="112" spans="3:14" ht="18">
      <c r="C112" s="291"/>
      <c r="D112" s="291"/>
      <c r="E112" s="295" t="s">
        <v>320</v>
      </c>
      <c r="F112" s="296">
        <f>F109+F110-F111</f>
        <v>1064319872</v>
      </c>
      <c r="G112" s="296">
        <f t="shared" ref="G112:N112" si="51">G109+G110-G111</f>
        <v>1388417852</v>
      </c>
      <c r="H112" s="296">
        <f t="shared" si="51"/>
        <v>1641375180</v>
      </c>
      <c r="I112" s="296">
        <f t="shared" si="51"/>
        <v>1521059032</v>
      </c>
      <c r="J112" s="296">
        <f t="shared" si="51"/>
        <v>2009694421.731364</v>
      </c>
      <c r="K112" s="296">
        <f t="shared" si="51"/>
        <v>2197559477.9816875</v>
      </c>
      <c r="L112" s="296">
        <f t="shared" si="51"/>
        <v>2363339380.9892688</v>
      </c>
      <c r="M112" s="296">
        <f t="shared" si="51"/>
        <v>2542181179.1328397</v>
      </c>
      <c r="N112" s="296">
        <f t="shared" si="51"/>
        <v>2735125814.0811834</v>
      </c>
    </row>
    <row r="113" spans="3:14" ht="18">
      <c r="C113" s="291"/>
      <c r="D113" s="297">
        <v>0.2</v>
      </c>
      <c r="E113" s="293" t="s">
        <v>321</v>
      </c>
      <c r="F113" s="294">
        <f>[1]PL!G26*-1</f>
        <v>193570425</v>
      </c>
      <c r="G113" s="294">
        <f>[1]PL!H26*-1</f>
        <v>301793487</v>
      </c>
      <c r="H113" s="294">
        <f>[1]PL!I26*-1</f>
        <v>288355186</v>
      </c>
      <c r="I113" s="294">
        <f>[1]PL!J26*-1</f>
        <v>308224414</v>
      </c>
      <c r="J113" s="294">
        <f>J112*$D$113</f>
        <v>401938884.34627283</v>
      </c>
      <c r="K113" s="294">
        <f t="shared" ref="K113:N113" si="52">K112*$D$113</f>
        <v>439511895.59633756</v>
      </c>
      <c r="L113" s="294">
        <f t="shared" si="52"/>
        <v>472667876.1978538</v>
      </c>
      <c r="M113" s="294">
        <f t="shared" si="52"/>
        <v>508436235.82656795</v>
      </c>
      <c r="N113" s="294">
        <f t="shared" si="52"/>
        <v>547025162.81623673</v>
      </c>
    </row>
    <row r="114" spans="3:14" ht="18.5" thickBot="1">
      <c r="C114" s="291"/>
      <c r="D114" s="291"/>
      <c r="E114" s="298" t="s">
        <v>322</v>
      </c>
      <c r="F114" s="299">
        <f>F112-F113</f>
        <v>870749447</v>
      </c>
      <c r="G114" s="299">
        <f t="shared" ref="G114:N114" si="53">G112-G113</f>
        <v>1086624365</v>
      </c>
      <c r="H114" s="299">
        <f t="shared" si="53"/>
        <v>1353019994</v>
      </c>
      <c r="I114" s="299">
        <f t="shared" si="53"/>
        <v>1212834618</v>
      </c>
      <c r="J114" s="299">
        <f t="shared" si="53"/>
        <v>1607755537.3850913</v>
      </c>
      <c r="K114" s="299">
        <f t="shared" si="53"/>
        <v>1758047582.38535</v>
      </c>
      <c r="L114" s="299">
        <f t="shared" si="53"/>
        <v>1890671504.791415</v>
      </c>
      <c r="M114" s="299">
        <f t="shared" si="53"/>
        <v>2033744943.3062718</v>
      </c>
      <c r="N114" s="299">
        <f t="shared" si="53"/>
        <v>2188100651.2649469</v>
      </c>
    </row>
    <row r="115" spans="3:14" ht="18.5" thickTop="1">
      <c r="C115" s="304"/>
      <c r="D115" s="291"/>
      <c r="E115" s="295" t="s">
        <v>323</v>
      </c>
      <c r="F115" s="300">
        <f>PL!G44</f>
        <v>1.3996438806681599</v>
      </c>
      <c r="G115" s="300">
        <f>PL!H44</f>
        <v>1.2119139895895705</v>
      </c>
      <c r="H115" s="300">
        <f>PL!I44</f>
        <v>1.3064994580515656</v>
      </c>
      <c r="I115" s="300">
        <f>PL!J44</f>
        <v>1.2462834604971105</v>
      </c>
      <c r="J115" s="300">
        <f>J114/$D$116</f>
        <v>1.834532914101825</v>
      </c>
      <c r="K115" s="300">
        <f>K114/$D$116</f>
        <v>2.00602397531694</v>
      </c>
      <c r="L115" s="300">
        <f>L114/$D$116</f>
        <v>2.1573547872430674</v>
      </c>
      <c r="M115" s="300">
        <f>M114/$D$116</f>
        <v>2.3206090420013021</v>
      </c>
      <c r="N115" s="300">
        <f>N114/$D$116</f>
        <v>2.4967369545757703</v>
      </c>
    </row>
    <row r="116" spans="3:14" ht="18" hidden="1">
      <c r="C116" s="291"/>
      <c r="D116" s="292">
        <v>876384133</v>
      </c>
    </row>
    <row r="117" spans="3:14" ht="18">
      <c r="C117" s="291"/>
      <c r="D117" s="292"/>
      <c r="E117" s="295" t="s">
        <v>267</v>
      </c>
      <c r="F117" s="397">
        <f>Valuation!F114/BL!F17</f>
        <v>0.11712687940951656</v>
      </c>
      <c r="G117" s="397">
        <f>Valuation!G114/BL!G17</f>
        <v>0.10410224995386154</v>
      </c>
      <c r="H117" s="397">
        <f>Valuation!H114/BL!H17</f>
        <v>0.10075070884314143</v>
      </c>
      <c r="I117" s="397">
        <f>Valuation!I114/BL!I17</f>
        <v>6.1602385787669585E-2</v>
      </c>
    </row>
    <row r="118" spans="3:14" ht="18">
      <c r="C118" s="291"/>
      <c r="D118" s="292"/>
      <c r="E118" s="295" t="s">
        <v>268</v>
      </c>
      <c r="F118" s="397">
        <f>F114/BL!F69</f>
        <v>0.14850812549724374</v>
      </c>
      <c r="G118" s="397">
        <f>G114/BL!G69</f>
        <v>0.16981983645216761</v>
      </c>
      <c r="H118" s="397">
        <f>H114/BL!H69</f>
        <v>0.14117855971524693</v>
      </c>
      <c r="I118" s="397">
        <f>I114/BL!I69</f>
        <v>7.1850851430325019E-2</v>
      </c>
    </row>
    <row r="119" spans="3:14" ht="18">
      <c r="C119" s="291"/>
      <c r="D119" s="291"/>
      <c r="E119" s="301" t="s">
        <v>396</v>
      </c>
      <c r="F119" s="296"/>
      <c r="G119" s="296"/>
      <c r="H119" s="296"/>
      <c r="I119" s="296"/>
      <c r="J119" s="300"/>
      <c r="K119" s="302">
        <f>K115/J115-1</f>
        <v>9.347941369537982E-2</v>
      </c>
      <c r="L119" s="302">
        <f>L115/K115-1</f>
        <v>7.5438187074617691E-2</v>
      </c>
      <c r="M119" s="302">
        <f>M115/L115-1</f>
        <v>7.5673345767508726E-2</v>
      </c>
      <c r="N119" s="302">
        <f>N115/M115-1</f>
        <v>7.5897279286033736E-2</v>
      </c>
    </row>
    <row r="120" spans="3:14" ht="18">
      <c r="C120" s="291"/>
      <c r="D120" s="291"/>
      <c r="E120" s="295" t="s">
        <v>324</v>
      </c>
      <c r="F120" s="303">
        <f>F105/F103</f>
        <v>0.441505992151769</v>
      </c>
      <c r="G120" s="303">
        <f>G105/G103</f>
        <v>0.44669969594142422</v>
      </c>
      <c r="H120" s="303">
        <f>H105/H103</f>
        <v>0.43841493575399915</v>
      </c>
      <c r="I120" s="303">
        <f>I105/I103</f>
        <v>0.40820978151256532</v>
      </c>
      <c r="J120" s="303">
        <f>J105/J103</f>
        <v>0.43158821846928508</v>
      </c>
      <c r="K120" s="303">
        <f>K105/K103</f>
        <v>0.43118131286086225</v>
      </c>
      <c r="L120" s="303">
        <f>L105/L103</f>
        <v>0.4308908318432661</v>
      </c>
      <c r="M120" s="303">
        <f>M105/M103</f>
        <v>0.43061475191283005</v>
      </c>
      <c r="N120" s="303">
        <f>N105/N103</f>
        <v>0.43035244627344221</v>
      </c>
    </row>
    <row r="121" spans="3:14" ht="18">
      <c r="C121" s="291"/>
      <c r="D121" s="291"/>
      <c r="E121" s="295" t="s">
        <v>325</v>
      </c>
      <c r="F121" s="303">
        <f>F114/F103</f>
        <v>0.20707367140464703</v>
      </c>
      <c r="G121" s="303">
        <f>G114/G103</f>
        <v>0.22048102791497026</v>
      </c>
      <c r="H121" s="303">
        <f>H114/H103</f>
        <v>0.2467505597150996</v>
      </c>
      <c r="I121" s="303">
        <f>I114/I103</f>
        <v>0.1791450393474629</v>
      </c>
      <c r="J121" s="303">
        <f>J114/J103</f>
        <v>0.21694756090449704</v>
      </c>
      <c r="K121" s="303">
        <f>K114/K103</f>
        <v>0.21664654926505755</v>
      </c>
      <c r="L121" s="303">
        <f>L114/L103</f>
        <v>0.21643166363673796</v>
      </c>
      <c r="M121" s="303">
        <f>M114/M103</f>
        <v>0.21622743132645111</v>
      </c>
      <c r="N121" s="303">
        <f>N114/N103</f>
        <v>0.21603338865681965</v>
      </c>
    </row>
    <row r="122" spans="3:14">
      <c r="E122" s="288"/>
      <c r="F122" s="289"/>
      <c r="G122" s="289"/>
      <c r="H122" s="289"/>
      <c r="I122" s="289"/>
      <c r="J122" s="289"/>
      <c r="K122" s="289"/>
      <c r="L122" s="289"/>
      <c r="M122" s="289"/>
      <c r="N122" s="289"/>
    </row>
    <row r="123" spans="3:14">
      <c r="E123" s="288"/>
      <c r="F123" s="289"/>
      <c r="G123" s="289"/>
      <c r="H123" s="289"/>
      <c r="I123" s="289"/>
      <c r="J123" s="289"/>
      <c r="K123" s="289"/>
      <c r="L123" s="289"/>
      <c r="M123" s="289"/>
      <c r="N123" s="289"/>
    </row>
    <row r="124" spans="3:14">
      <c r="E124" s="288"/>
      <c r="F124" s="289"/>
      <c r="G124" s="289"/>
      <c r="H124" s="289"/>
      <c r="I124" s="289"/>
      <c r="J124" s="289"/>
      <c r="K124" s="289"/>
      <c r="L124" s="289"/>
      <c r="M124" s="289"/>
      <c r="N124" s="289"/>
    </row>
    <row r="126" spans="3:14" s="320" customFormat="1"/>
    <row r="128" spans="3:14">
      <c r="C128" s="284" t="s">
        <v>326</v>
      </c>
    </row>
    <row r="129" spans="4:14">
      <c r="D129" s="284" t="s">
        <v>327</v>
      </c>
      <c r="E129" s="284" t="s">
        <v>318</v>
      </c>
      <c r="F129" s="285">
        <f>F109</f>
        <v>1072058623</v>
      </c>
      <c r="G129" s="285">
        <f>G109</f>
        <v>1423835130</v>
      </c>
      <c r="H129" s="285">
        <f>H109</f>
        <v>1644242965</v>
      </c>
      <c r="I129" s="285">
        <f>I109</f>
        <v>1521190784</v>
      </c>
      <c r="J129" s="285">
        <f>J109</f>
        <v>2013009767.5513639</v>
      </c>
      <c r="K129" s="285">
        <f>K109</f>
        <v>2200941130.7180872</v>
      </c>
      <c r="L129" s="285">
        <f>L109</f>
        <v>2366788666.7803965</v>
      </c>
      <c r="M129" s="285">
        <f>M109</f>
        <v>2545699450.6397901</v>
      </c>
      <c r="N129" s="285">
        <f>N109</f>
        <v>2738714451.0182729</v>
      </c>
    </row>
    <row r="130" spans="4:14">
      <c r="E130" s="284" t="s">
        <v>321</v>
      </c>
      <c r="F130" s="306">
        <v>0.2</v>
      </c>
      <c r="G130" s="306">
        <v>0.2</v>
      </c>
      <c r="H130" s="306">
        <v>0.2</v>
      </c>
      <c r="I130" s="306">
        <v>0.2</v>
      </c>
      <c r="J130" s="306">
        <v>0.2</v>
      </c>
      <c r="K130" s="306">
        <v>0.2</v>
      </c>
      <c r="L130" s="306">
        <v>0.2</v>
      </c>
      <c r="M130" s="306">
        <v>0.2</v>
      </c>
      <c r="N130" s="306">
        <v>0.2</v>
      </c>
    </row>
    <row r="133" spans="4:14">
      <c r="E133" s="284" t="s">
        <v>328</v>
      </c>
      <c r="F133" s="285">
        <f>F129*(1-F130)</f>
        <v>857646898.4000001</v>
      </c>
      <c r="G133" s="285">
        <f t="shared" ref="G133:N133" si="54">G129*(1-G130)</f>
        <v>1139068104</v>
      </c>
      <c r="H133" s="285">
        <f t="shared" si="54"/>
        <v>1315394372</v>
      </c>
      <c r="I133" s="285">
        <f t="shared" si="54"/>
        <v>1216952627.2</v>
      </c>
      <c r="J133" s="285">
        <f t="shared" si="54"/>
        <v>1610407814.0410912</v>
      </c>
      <c r="K133" s="285">
        <f t="shared" si="54"/>
        <v>1760752904.5744698</v>
      </c>
      <c r="L133" s="285">
        <f t="shared" si="54"/>
        <v>1893430933.4243174</v>
      </c>
      <c r="M133" s="285">
        <f t="shared" si="54"/>
        <v>2036559560.5118322</v>
      </c>
      <c r="N133" s="285">
        <f t="shared" si="54"/>
        <v>2190971560.8146186</v>
      </c>
    </row>
    <row r="134" spans="4:14">
      <c r="E134" s="284" t="s">
        <v>329</v>
      </c>
      <c r="F134" s="285">
        <f>F59</f>
        <v>45992447</v>
      </c>
      <c r="G134" s="285">
        <f>G59</f>
        <v>66736748</v>
      </c>
      <c r="H134" s="285">
        <f>H59</f>
        <v>107068328</v>
      </c>
      <c r="I134" s="285">
        <f>I59</f>
        <v>147981750</v>
      </c>
      <c r="J134" s="285">
        <f>J59</f>
        <v>167463003.93188399</v>
      </c>
      <c r="K134" s="285">
        <f>K59</f>
        <v>169157402.13544506</v>
      </c>
      <c r="L134" s="285">
        <f>L59</f>
        <v>170868944.33621639</v>
      </c>
      <c r="M134" s="285">
        <f>M59</f>
        <v>172597803.99793261</v>
      </c>
      <c r="N134" s="285">
        <f>N59</f>
        <v>174344156.33944225</v>
      </c>
    </row>
    <row r="135" spans="4:14" ht="15.5" thickBot="1">
      <c r="E135" s="321" t="s">
        <v>327</v>
      </c>
      <c r="F135" s="322">
        <f>SUM(F133:F134)</f>
        <v>903639345.4000001</v>
      </c>
      <c r="G135" s="322">
        <f t="shared" ref="G135:N135" si="55">SUM(G133:G134)</f>
        <v>1205804852</v>
      </c>
      <c r="H135" s="322">
        <f t="shared" si="55"/>
        <v>1422462700</v>
      </c>
      <c r="I135" s="322">
        <f t="shared" si="55"/>
        <v>1364934377.2</v>
      </c>
      <c r="J135" s="322">
        <f t="shared" si="55"/>
        <v>1777870817.9729753</v>
      </c>
      <c r="K135" s="322">
        <f t="shared" si="55"/>
        <v>1929910306.7099149</v>
      </c>
      <c r="L135" s="322">
        <f t="shared" si="55"/>
        <v>2064299877.7605338</v>
      </c>
      <c r="M135" s="322">
        <f t="shared" si="55"/>
        <v>2209157364.5097647</v>
      </c>
      <c r="N135" s="322">
        <f t="shared" si="55"/>
        <v>2365315717.1540608</v>
      </c>
    </row>
    <row r="138" spans="4:14" ht="15.5" thickBot="1">
      <c r="D138" s="284" t="s">
        <v>330</v>
      </c>
      <c r="E138" s="321" t="str">
        <f>D138</f>
        <v>CAPEX</v>
      </c>
      <c r="F138" s="322">
        <f>F60</f>
        <v>163333365</v>
      </c>
      <c r="G138" s="322">
        <f>G60</f>
        <v>136024095</v>
      </c>
      <c r="H138" s="322">
        <f>H60</f>
        <v>443916346</v>
      </c>
      <c r="I138" s="322">
        <f>I60</f>
        <v>997911902</v>
      </c>
      <c r="J138" s="322">
        <f>J60</f>
        <v>186314376.30000001</v>
      </c>
      <c r="K138" s="322">
        <f>K60</f>
        <v>188199513.53681159</v>
      </c>
      <c r="L138" s="322">
        <f>L60</f>
        <v>190103724.67694825</v>
      </c>
      <c r="M138" s="322">
        <f>M60</f>
        <v>192027202.71102142</v>
      </c>
      <c r="N138" s="322">
        <f>N60</f>
        <v>193970142.58233032</v>
      </c>
    </row>
    <row r="140" spans="4:14">
      <c r="D140" s="284" t="s">
        <v>331</v>
      </c>
    </row>
    <row r="141" spans="4:14">
      <c r="E141" s="284" t="s">
        <v>290</v>
      </c>
      <c r="I141" s="285">
        <f>I30</f>
        <v>755012088</v>
      </c>
      <c r="J141" s="285">
        <f>J30</f>
        <v>592015000.3278476</v>
      </c>
      <c r="K141" s="285">
        <f>K30</f>
        <v>648255660.91992688</v>
      </c>
      <c r="L141" s="285">
        <f>L30</f>
        <v>697851071.6213814</v>
      </c>
      <c r="M141" s="285">
        <f>M30</f>
        <v>751368814.3355093</v>
      </c>
      <c r="N141" s="285">
        <f>N30</f>
        <v>809121769.60645592</v>
      </c>
    </row>
    <row r="142" spans="4:14">
      <c r="E142" s="284" t="s">
        <v>291</v>
      </c>
      <c r="I142" s="285">
        <f>I34</f>
        <v>16806881228</v>
      </c>
      <c r="J142" s="285">
        <f>J34</f>
        <v>14183933459.406454</v>
      </c>
      <c r="K142" s="285">
        <f>K34</f>
        <v>15531388823.053246</v>
      </c>
      <c r="L142" s="285">
        <f>L34</f>
        <v>16719632372.442707</v>
      </c>
      <c r="M142" s="285">
        <f>M34</f>
        <v>18001850054.654228</v>
      </c>
      <c r="N142" s="285">
        <f>N34</f>
        <v>19385538093.290997</v>
      </c>
    </row>
    <row r="143" spans="4:14">
      <c r="E143" s="284" t="s">
        <v>288</v>
      </c>
      <c r="I143" s="285">
        <f>I26</f>
        <v>1295370039</v>
      </c>
      <c r="J143" s="285">
        <f>J26</f>
        <v>1043106771.9148932</v>
      </c>
      <c r="K143" s="285">
        <f>K26</f>
        <v>1142200568.3357227</v>
      </c>
      <c r="L143" s="285">
        <f>L26</f>
        <v>1229585700.0130255</v>
      </c>
      <c r="M143" s="285">
        <f>M26</f>
        <v>1323881823.9487216</v>
      </c>
      <c r="N143" s="285">
        <f>N26</f>
        <v>1425640223.1579664</v>
      </c>
    </row>
    <row r="144" spans="4:14">
      <c r="E144" s="284" t="s">
        <v>293</v>
      </c>
      <c r="I144" s="285">
        <f>I42</f>
        <v>830847787</v>
      </c>
      <c r="J144" s="285">
        <f>J42</f>
        <v>823621009.05689156</v>
      </c>
      <c r="K144" s="285">
        <f>K42</f>
        <v>901863941.4170897</v>
      </c>
      <c r="L144" s="285">
        <f>L42</f>
        <v>970861892.79315627</v>
      </c>
      <c r="M144" s="285">
        <f>M42</f>
        <v>1045316657.0005622</v>
      </c>
      <c r="N144" s="285">
        <f>N42</f>
        <v>1125663518.6002398</v>
      </c>
    </row>
    <row r="145" spans="3:14">
      <c r="E145" s="323" t="s">
        <v>332</v>
      </c>
      <c r="F145" s="323"/>
      <c r="G145" s="323"/>
      <c r="H145" s="323"/>
      <c r="I145" s="324">
        <f>SUM(I141:I144)</f>
        <v>19688111142</v>
      </c>
      <c r="J145" s="324">
        <f t="shared" ref="J145:N145" si="56">SUM(J141:J144)</f>
        <v>16642676240.706089</v>
      </c>
      <c r="K145" s="324">
        <f t="shared" si="56"/>
        <v>18223708993.725986</v>
      </c>
      <c r="L145" s="324">
        <f t="shared" si="56"/>
        <v>19617931036.87027</v>
      </c>
      <c r="M145" s="324">
        <f t="shared" si="56"/>
        <v>21122417349.939022</v>
      </c>
      <c r="N145" s="324">
        <f t="shared" si="56"/>
        <v>22745963604.655659</v>
      </c>
    </row>
    <row r="146" spans="3:14">
      <c r="E146" s="284" t="s">
        <v>292</v>
      </c>
      <c r="I146" s="285">
        <f>I38</f>
        <v>3615586548</v>
      </c>
      <c r="J146" s="285">
        <f>J38</f>
        <v>2823340067.0453262</v>
      </c>
      <c r="K146" s="285">
        <f>K38</f>
        <v>3093766860.2139745</v>
      </c>
      <c r="L146" s="285">
        <f>L38</f>
        <v>3332159190.6761417</v>
      </c>
      <c r="M146" s="285">
        <f>M38</f>
        <v>3589440727.2081828</v>
      </c>
      <c r="N146" s="285">
        <f>N38</f>
        <v>3867118962.6883464</v>
      </c>
    </row>
    <row r="147" spans="3:14">
      <c r="E147" s="284" t="s">
        <v>294</v>
      </c>
      <c r="I147" s="285">
        <f>I46</f>
        <v>173218752</v>
      </c>
      <c r="J147" s="285">
        <f>J46</f>
        <v>236072372.33955574</v>
      </c>
      <c r="K147" s="285">
        <f>K46</f>
        <v>258498942.88348356</v>
      </c>
      <c r="L147" s="285">
        <f>L46</f>
        <v>278275648.29629099</v>
      </c>
      <c r="M147" s="285">
        <f>M46</f>
        <v>299616425.94176561</v>
      </c>
      <c r="N147" s="285">
        <f>N46</f>
        <v>322646040.31451362</v>
      </c>
    </row>
    <row r="148" spans="3:14">
      <c r="E148" s="284" t="s">
        <v>333</v>
      </c>
      <c r="I148" s="285">
        <f>I50</f>
        <v>917112539</v>
      </c>
      <c r="J148" s="285">
        <f>J50</f>
        <v>1090907393.4328377</v>
      </c>
      <c r="K148" s="285">
        <f>K50</f>
        <v>1194542187.1753438</v>
      </c>
      <c r="L148" s="285">
        <f>L50</f>
        <v>1285931763.7647762</v>
      </c>
      <c r="M148" s="285">
        <f>M50</f>
        <v>1384549030.5136714</v>
      </c>
      <c r="N148" s="285">
        <f>N50</f>
        <v>1490970533.1154325</v>
      </c>
    </row>
    <row r="149" spans="3:14">
      <c r="E149" s="325" t="s">
        <v>334</v>
      </c>
      <c r="F149" s="325"/>
      <c r="G149" s="325"/>
      <c r="H149" s="325"/>
      <c r="I149" s="326">
        <f>SUM(I146:I147)-I148</f>
        <v>2871692761</v>
      </c>
      <c r="J149" s="326">
        <f t="shared" ref="J149:N149" si="57">SUM(J146:J147)-J148</f>
        <v>1968505045.9520442</v>
      </c>
      <c r="K149" s="326">
        <f t="shared" si="57"/>
        <v>2157723615.9221144</v>
      </c>
      <c r="L149" s="326">
        <f t="shared" si="57"/>
        <v>2324503075.2076564</v>
      </c>
      <c r="M149" s="326">
        <f t="shared" si="57"/>
        <v>2504508122.6362772</v>
      </c>
      <c r="N149" s="326">
        <f t="shared" si="57"/>
        <v>2698794469.8874273</v>
      </c>
    </row>
    <row r="150" spans="3:14">
      <c r="I150" s="285"/>
    </row>
    <row r="151" spans="3:14">
      <c r="E151" s="284" t="s">
        <v>331</v>
      </c>
      <c r="I151" s="285">
        <f>I145-I149</f>
        <v>16816418381</v>
      </c>
      <c r="J151" s="285">
        <f t="shared" ref="J151:N151" si="58">J145-J149</f>
        <v>14674171194.754045</v>
      </c>
      <c r="K151" s="285">
        <f t="shared" si="58"/>
        <v>16065985377.803871</v>
      </c>
      <c r="L151" s="285">
        <f t="shared" si="58"/>
        <v>17293427961.662613</v>
      </c>
      <c r="M151" s="285">
        <f t="shared" si="58"/>
        <v>18617909227.302746</v>
      </c>
      <c r="N151" s="285">
        <f t="shared" si="58"/>
        <v>20047169134.76823</v>
      </c>
    </row>
    <row r="152" spans="3:14" ht="15.5" thickBot="1">
      <c r="E152" s="321" t="s">
        <v>335</v>
      </c>
      <c r="F152" s="321"/>
      <c r="G152" s="321"/>
      <c r="H152" s="321"/>
      <c r="I152" s="321"/>
      <c r="J152" s="322">
        <f>J151-I151</f>
        <v>-2142247186.2459545</v>
      </c>
      <c r="K152" s="322">
        <f t="shared" ref="K152:N152" si="59">K151-J151</f>
        <v>1391814183.0498257</v>
      </c>
      <c r="L152" s="322">
        <f t="shared" si="59"/>
        <v>1227442583.8587418</v>
      </c>
      <c r="M152" s="322">
        <f t="shared" si="59"/>
        <v>1324481265.6401329</v>
      </c>
      <c r="N152" s="322">
        <f t="shared" si="59"/>
        <v>1429259907.4654846</v>
      </c>
    </row>
    <row r="155" spans="3:14" ht="15.5" thickBot="1">
      <c r="D155" s="321" t="s">
        <v>326</v>
      </c>
      <c r="E155" s="321"/>
      <c r="F155" s="321"/>
      <c r="G155" s="321"/>
      <c r="H155" s="321"/>
      <c r="I155" s="321"/>
      <c r="J155" s="322">
        <f>J135-J138-J152</f>
        <v>3733803627.9189301</v>
      </c>
      <c r="K155" s="322">
        <f t="shared" ref="K155:N155" si="60">K135-K138-K152</f>
        <v>349896610.12327766</v>
      </c>
      <c r="L155" s="322">
        <f t="shared" si="60"/>
        <v>646753569.22484374</v>
      </c>
      <c r="M155" s="322">
        <f t="shared" si="60"/>
        <v>692648896.15861034</v>
      </c>
      <c r="N155" s="322">
        <f t="shared" si="60"/>
        <v>742085667.10624599</v>
      </c>
    </row>
    <row r="157" spans="3:14" s="327" customFormat="1"/>
    <row r="158" spans="3:14" ht="15.5" thickBot="1"/>
    <row r="159" spans="3:14" ht="21.5" thickBot="1">
      <c r="C159" s="328" t="s">
        <v>336</v>
      </c>
    </row>
    <row r="160" spans="3:14">
      <c r="G160" s="284" t="s">
        <v>337</v>
      </c>
      <c r="H160" s="329">
        <f>H161+[1]WACC!F18</f>
        <v>6.4635227008699239E-2</v>
      </c>
    </row>
    <row r="161" spans="5:14">
      <c r="F161" s="309" t="s">
        <v>397</v>
      </c>
      <c r="H161" s="330"/>
    </row>
    <row r="162" spans="5:14">
      <c r="G162" s="284" t="s">
        <v>338</v>
      </c>
      <c r="H162" s="329">
        <f>G163+H163</f>
        <v>0.02</v>
      </c>
    </row>
    <row r="163" spans="5:14">
      <c r="F163" s="309" t="s">
        <v>397</v>
      </c>
      <c r="G163" s="331">
        <v>0.02</v>
      </c>
      <c r="H163" s="330"/>
    </row>
    <row r="165" spans="5:14">
      <c r="J165" s="284">
        <v>0</v>
      </c>
      <c r="K165" s="284">
        <f>J165+1</f>
        <v>1</v>
      </c>
      <c r="L165" s="284">
        <f t="shared" ref="L165:N165" si="61">K165+1</f>
        <v>2</v>
      </c>
      <c r="M165" s="284">
        <f t="shared" si="61"/>
        <v>3</v>
      </c>
      <c r="N165" s="284">
        <f t="shared" si="61"/>
        <v>4</v>
      </c>
    </row>
    <row r="166" spans="5:14">
      <c r="E166" s="284" t="s">
        <v>326</v>
      </c>
      <c r="J166" s="285">
        <f>J155</f>
        <v>3733803627.9189301</v>
      </c>
      <c r="K166" s="285">
        <f>K155</f>
        <v>349896610.12327766</v>
      </c>
      <c r="L166" s="285">
        <f>L155</f>
        <v>646753569.22484374</v>
      </c>
      <c r="M166" s="285">
        <f>M155</f>
        <v>692648896.15861034</v>
      </c>
      <c r="N166" s="285">
        <f>N155</f>
        <v>742085667.10624599</v>
      </c>
    </row>
    <row r="167" spans="5:14">
      <c r="E167" s="284" t="s">
        <v>339</v>
      </c>
      <c r="N167" s="285">
        <f>(N166*(1+H162)/(H160-H162))</f>
        <v>16958071710.957104</v>
      </c>
    </row>
    <row r="168" spans="5:14">
      <c r="E168" s="286" t="s">
        <v>340</v>
      </c>
      <c r="F168" s="286"/>
      <c r="G168" s="286"/>
      <c r="H168" s="286"/>
      <c r="I168" s="286"/>
      <c r="J168" s="287">
        <f>SUM(J166:J167)</f>
        <v>3733803627.9189301</v>
      </c>
      <c r="K168" s="287">
        <f t="shared" ref="K168:N168" si="62">SUM(K166:K167)</f>
        <v>349896610.12327766</v>
      </c>
      <c r="L168" s="287">
        <f t="shared" si="62"/>
        <v>646753569.22484374</v>
      </c>
      <c r="M168" s="287">
        <f t="shared" si="62"/>
        <v>692648896.15861034</v>
      </c>
      <c r="N168" s="287">
        <f t="shared" si="62"/>
        <v>17700157378.063351</v>
      </c>
    </row>
    <row r="169" spans="5:14">
      <c r="E169" s="284" t="s">
        <v>341</v>
      </c>
      <c r="J169" s="332">
        <f>(1+$H$160)^J165</f>
        <v>1</v>
      </c>
      <c r="K169" s="332">
        <f t="shared" ref="K169:N169" si="63">(1+$H$160)^K165</f>
        <v>1.0646352270086992</v>
      </c>
      <c r="L169" s="332">
        <f t="shared" si="63"/>
        <v>1.1334481665878644</v>
      </c>
      <c r="M169" s="332">
        <f t="shared" si="63"/>
        <v>1.206708846137865</v>
      </c>
      <c r="N169" s="332">
        <f t="shared" si="63"/>
        <v>1.2847047463413912</v>
      </c>
    </row>
    <row r="170" spans="5:14">
      <c r="E170" s="286" t="s">
        <v>342</v>
      </c>
      <c r="F170" s="286"/>
      <c r="G170" s="286"/>
      <c r="H170" s="286"/>
      <c r="I170" s="286"/>
      <c r="J170" s="287">
        <f>J168/J169</f>
        <v>3733803627.9189301</v>
      </c>
      <c r="K170" s="287">
        <f t="shared" ref="K170:N170" si="64">K168/K169</f>
        <v>328653985.18362069</v>
      </c>
      <c r="L170" s="287">
        <f t="shared" si="64"/>
        <v>570607098.13650548</v>
      </c>
      <c r="M170" s="287">
        <f t="shared" si="64"/>
        <v>573998357.91000414</v>
      </c>
      <c r="N170" s="287">
        <f t="shared" si="64"/>
        <v>13777607211.672741</v>
      </c>
    </row>
    <row r="171" spans="5:14" ht="15.5" thickBot="1">
      <c r="E171" s="333" t="s">
        <v>343</v>
      </c>
      <c r="F171" s="333"/>
      <c r="G171" s="333"/>
      <c r="H171" s="333"/>
      <c r="I171" s="333"/>
      <c r="J171" s="334">
        <f>SUM(J170:N170)</f>
        <v>18984670280.8218</v>
      </c>
      <c r="K171" s="334"/>
      <c r="L171" s="334"/>
      <c r="M171" s="334"/>
      <c r="N171" s="334"/>
    </row>
    <row r="173" spans="5:14">
      <c r="E173" s="284" t="s">
        <v>344</v>
      </c>
      <c r="J173" s="285">
        <f>SUM([1]BL!I68,[1]BL!I53,[1]BL!I54,[1]BL!I55)</f>
        <v>12173974241</v>
      </c>
    </row>
    <row r="174" spans="5:14">
      <c r="E174" s="284" t="s">
        <v>288</v>
      </c>
      <c r="J174" s="285">
        <f>J26</f>
        <v>1043106771.9148932</v>
      </c>
    </row>
    <row r="175" spans="5:14" ht="15.5" thickBot="1">
      <c r="E175" s="333" t="s">
        <v>345</v>
      </c>
      <c r="F175" s="333"/>
      <c r="G175" s="333"/>
      <c r="H175" s="333"/>
      <c r="I175" s="333"/>
      <c r="J175" s="334">
        <f>J173-J174</f>
        <v>11130867469.085106</v>
      </c>
      <c r="K175" s="333"/>
      <c r="L175" s="333"/>
      <c r="M175" s="333"/>
      <c r="N175" s="333"/>
    </row>
    <row r="176" spans="5:14">
      <c r="J176" s="285"/>
    </row>
    <row r="177" spans="5:17" ht="15.5" thickBot="1">
      <c r="E177" s="333" t="s">
        <v>346</v>
      </c>
      <c r="F177" s="333"/>
      <c r="G177" s="333"/>
      <c r="H177" s="333"/>
      <c r="I177" s="333"/>
      <c r="J177" s="334">
        <f>J171-J175</f>
        <v>7853802811.7366943</v>
      </c>
      <c r="K177" s="333"/>
      <c r="L177" s="333"/>
      <c r="M177" s="333"/>
      <c r="N177" s="333"/>
    </row>
    <row r="178" spans="5:17">
      <c r="J178" s="285"/>
    </row>
    <row r="179" spans="5:17">
      <c r="E179" s="284" t="s">
        <v>347</v>
      </c>
      <c r="J179" s="285">
        <f>[1]PL!J45</f>
        <v>876384133</v>
      </c>
    </row>
    <row r="180" spans="5:17" ht="15.5" thickBot="1">
      <c r="E180" s="335" t="s">
        <v>348</v>
      </c>
      <c r="F180" s="335"/>
      <c r="G180" s="335"/>
      <c r="H180" s="335"/>
      <c r="I180" s="335"/>
      <c r="J180" s="336">
        <f>J177/J179</f>
        <v>8.9615985913070997</v>
      </c>
      <c r="K180" s="335"/>
      <c r="L180" s="335"/>
      <c r="M180" s="335"/>
      <c r="N180" s="335"/>
    </row>
    <row r="181" spans="5:17" ht="15.5" thickTop="1"/>
    <row r="184" spans="5:17" s="320" customFormat="1"/>
    <row r="187" spans="5:17">
      <c r="I187" s="337"/>
      <c r="J187" s="337"/>
      <c r="K187" s="338" t="s">
        <v>337</v>
      </c>
      <c r="L187" s="337"/>
      <c r="M187" s="337"/>
      <c r="O187" s="339" t="s">
        <v>370</v>
      </c>
      <c r="P187" s="339"/>
      <c r="Q187" s="339" t="s">
        <v>371</v>
      </c>
    </row>
    <row r="188" spans="5:17">
      <c r="H188" s="340">
        <f>$D$2</f>
        <v>8.9615985913070997</v>
      </c>
      <c r="I188" s="306">
        <v>-0.01</v>
      </c>
      <c r="J188" s="306">
        <f>I188+0.5%</f>
        <v>-5.0000000000000001E-3</v>
      </c>
      <c r="K188" s="306">
        <f t="shared" ref="K188:M188" si="65">J188+0.5%</f>
        <v>0</v>
      </c>
      <c r="L188" s="306">
        <f t="shared" si="65"/>
        <v>5.0000000000000001E-3</v>
      </c>
      <c r="M188" s="306">
        <f t="shared" si="65"/>
        <v>0.01</v>
      </c>
      <c r="O188" s="284">
        <v>7.65</v>
      </c>
      <c r="P188" s="284">
        <f>Q188-O188</f>
        <v>1.4499999999999993</v>
      </c>
      <c r="Q188" s="284">
        <v>9.1</v>
      </c>
    </row>
    <row r="189" spans="5:17">
      <c r="G189" s="341" t="s">
        <v>338</v>
      </c>
      <c r="H189" s="306">
        <v>-0.01</v>
      </c>
      <c r="I189" s="342">
        <f t="dataTable" ref="I189:M193" dt2D="1" dtr="1" r1="H161" r2="H163" ca="1"/>
        <v>9.4478184654856712</v>
      </c>
      <c r="J189" s="343">
        <v>7.5962632151803398</v>
      </c>
      <c r="K189" s="343">
        <v>6.0841568372835075</v>
      </c>
      <c r="L189" s="343">
        <v>4.8261088019923504</v>
      </c>
      <c r="M189" s="344">
        <v>3.7631510693075279</v>
      </c>
      <c r="O189" s="284">
        <v>5.7</v>
      </c>
      <c r="P189" s="284">
        <f t="shared" ref="P189:P190" si="66">Q189-O189</f>
        <v>8.4199999999999982</v>
      </c>
      <c r="Q189" s="284">
        <v>14.12</v>
      </c>
    </row>
    <row r="190" spans="5:17">
      <c r="G190" s="341"/>
      <c r="H190" s="306">
        <f>H189+0.5%</f>
        <v>-5.0000000000000001E-3</v>
      </c>
      <c r="I190" s="345">
        <v>11.487975623060779</v>
      </c>
      <c r="J190" s="317">
        <v>9.2024373142089573</v>
      </c>
      <c r="K190" s="317">
        <v>7.377948299873597</v>
      </c>
      <c r="L190" s="317">
        <v>5.8879188260096136</v>
      </c>
      <c r="M190" s="346">
        <v>4.6482140339884079</v>
      </c>
      <c r="P190" s="284">
        <f t="shared" si="66"/>
        <v>0</v>
      </c>
    </row>
    <row r="191" spans="5:17">
      <c r="G191" s="341"/>
      <c r="H191" s="306">
        <f t="shared" ref="H191:H193" si="67">H190+0.5%</f>
        <v>0</v>
      </c>
      <c r="I191" s="345">
        <v>14.117173862151731</v>
      </c>
      <c r="J191" s="317">
        <v>11.213850444333856</v>
      </c>
      <c r="K191" s="347">
        <v>8.9615985913070997</v>
      </c>
      <c r="L191" s="317">
        <v>7.1636515190682042</v>
      </c>
      <c r="M191" s="346">
        <v>5.6952719263264919</v>
      </c>
    </row>
    <row r="192" spans="5:17">
      <c r="G192" s="341"/>
      <c r="H192" s="306">
        <f t="shared" si="67"/>
        <v>5.0000000000000001E-3</v>
      </c>
      <c r="I192" s="345">
        <v>17.63355890710692</v>
      </c>
      <c r="J192" s="317">
        <v>13.806005583055862</v>
      </c>
      <c r="K192" s="317">
        <v>10.944805138867475</v>
      </c>
      <c r="L192" s="317">
        <v>8.725197185097656</v>
      </c>
      <c r="M192" s="346">
        <v>6.9532803784664976</v>
      </c>
    </row>
    <row r="193" spans="7:21">
      <c r="G193" s="341"/>
      <c r="H193" s="306">
        <f t="shared" si="67"/>
        <v>0.01</v>
      </c>
      <c r="I193" s="348">
        <v>22.577324768854865</v>
      </c>
      <c r="J193" s="349">
        <v>17.272847842602385</v>
      </c>
      <c r="K193" s="349">
        <v>13.500609795013151</v>
      </c>
      <c r="L193" s="349">
        <v>10.680722092292227</v>
      </c>
      <c r="M193" s="350">
        <v>8.4931308949237376</v>
      </c>
    </row>
    <row r="194" spans="7:21">
      <c r="I194" s="306"/>
      <c r="J194" s="306"/>
      <c r="K194" s="306"/>
      <c r="L194" s="306"/>
      <c r="M194" s="306"/>
    </row>
    <row r="195" spans="7:21">
      <c r="I195" s="306"/>
      <c r="J195" s="306"/>
      <c r="K195" s="306"/>
      <c r="L195" s="306"/>
      <c r="M195" s="306"/>
    </row>
    <row r="196" spans="7:21">
      <c r="I196" s="337"/>
      <c r="J196" s="337"/>
      <c r="K196" s="338" t="s">
        <v>337</v>
      </c>
      <c r="L196" s="337"/>
      <c r="M196" s="337"/>
    </row>
    <row r="197" spans="7:21">
      <c r="H197" s="340">
        <f>$D$2</f>
        <v>8.9615985913070997</v>
      </c>
      <c r="I197" s="351">
        <v>-0.01</v>
      </c>
      <c r="J197" s="351">
        <f>I197+0.5%</f>
        <v>-5.0000000000000001E-3</v>
      </c>
      <c r="K197" s="351">
        <f t="shared" ref="K197:M197" si="68">J197+0.5%</f>
        <v>0</v>
      </c>
      <c r="L197" s="351">
        <f t="shared" si="68"/>
        <v>5.0000000000000001E-3</v>
      </c>
      <c r="M197" s="351">
        <f t="shared" si="68"/>
        <v>0.01</v>
      </c>
    </row>
    <row r="198" spans="7:21">
      <c r="I198" s="317">
        <f t="dataTable" ref="I198:M198" dt2D="1" dtr="1" r1="H161" r2="D159"/>
        <v>14.117173862151731</v>
      </c>
      <c r="J198" s="317">
        <v>11.213850444333856</v>
      </c>
      <c r="K198" s="347">
        <v>8.9615985913070997</v>
      </c>
      <c r="L198" s="317">
        <v>7.1636515190682042</v>
      </c>
      <c r="M198" s="317">
        <v>5.6952719263264919</v>
      </c>
    </row>
    <row r="203" spans="7:21">
      <c r="S203" s="339" t="s">
        <v>370</v>
      </c>
      <c r="T203" s="339"/>
      <c r="U203" s="339" t="s">
        <v>371</v>
      </c>
    </row>
    <row r="204" spans="7:21">
      <c r="R204" s="284" t="s">
        <v>372</v>
      </c>
      <c r="S204" s="284">
        <v>7.65</v>
      </c>
      <c r="T204" s="284">
        <f>U204-S204</f>
        <v>1.4499999999999993</v>
      </c>
      <c r="U204" s="284">
        <v>9.1</v>
      </c>
    </row>
    <row r="205" spans="7:21">
      <c r="R205" s="284" t="s">
        <v>336</v>
      </c>
      <c r="S205" s="284">
        <v>5.7</v>
      </c>
      <c r="T205" s="284">
        <f t="shared" ref="T205:T206" si="69">U205-S205</f>
        <v>8.4199999999999982</v>
      </c>
      <c r="U205" s="284">
        <v>14.12</v>
      </c>
    </row>
    <row r="206" spans="7:21">
      <c r="R206" s="284" t="s">
        <v>373</v>
      </c>
      <c r="S206" s="317">
        <f>'Comparable-PE'!O16</f>
        <v>8.8057579876887591</v>
      </c>
      <c r="T206" s="332">
        <f t="shared" si="69"/>
        <v>12.438133157610375</v>
      </c>
      <c r="U206" s="317">
        <f>'Comparable-PE'!O15</f>
        <v>21.243891145299134</v>
      </c>
    </row>
    <row r="210" spans="18:21">
      <c r="S210" s="339" t="s">
        <v>370</v>
      </c>
      <c r="T210" s="339"/>
      <c r="U210" s="339" t="s">
        <v>371</v>
      </c>
    </row>
    <row r="211" spans="18:21">
      <c r="R211" s="284" t="str">
        <f>R204</f>
        <v>52 wk</v>
      </c>
      <c r="S211" s="332">
        <f t="shared" ref="S211:U211" si="70">S204</f>
        <v>7.65</v>
      </c>
      <c r="T211" s="332">
        <f t="shared" si="70"/>
        <v>1.4499999999999993</v>
      </c>
      <c r="U211" s="332">
        <f t="shared" si="70"/>
        <v>9.1</v>
      </c>
    </row>
    <row r="212" spans="18:21">
      <c r="R212" s="284" t="str">
        <f>R206</f>
        <v>PE</v>
      </c>
      <c r="S212" s="332">
        <f t="shared" ref="S212:U212" si="71">S206</f>
        <v>8.8057579876887591</v>
      </c>
      <c r="T212" s="332">
        <f t="shared" si="71"/>
        <v>12.438133157610375</v>
      </c>
      <c r="U212" s="332">
        <f t="shared" si="71"/>
        <v>21.243891145299134</v>
      </c>
    </row>
    <row r="213" spans="18:21">
      <c r="R213" s="284" t="str">
        <f>R205</f>
        <v>DCF</v>
      </c>
      <c r="S213" s="332">
        <f t="shared" ref="S213:U213" si="72">S205</f>
        <v>5.7</v>
      </c>
      <c r="T213" s="332">
        <f t="shared" si="72"/>
        <v>8.4199999999999982</v>
      </c>
      <c r="U213" s="332">
        <f t="shared" si="72"/>
        <v>14.12</v>
      </c>
    </row>
    <row r="229" spans="10:10">
      <c r="J229" s="284" t="s">
        <v>316</v>
      </c>
    </row>
    <row r="230" spans="10:10">
      <c r="J230" s="284" t="s">
        <v>317</v>
      </c>
    </row>
    <row r="231" spans="10:10">
      <c r="J231" s="284" t="s">
        <v>249</v>
      </c>
    </row>
    <row r="232" spans="10:10">
      <c r="J232" s="284" t="s">
        <v>318</v>
      </c>
    </row>
  </sheetData>
  <mergeCells count="1">
    <mergeCell ref="G189:G193"/>
  </mergeCells>
  <conditionalFormatting sqref="I189:M193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98:M19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00:M205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scale="13" orientation="landscape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3246-1771-485B-B12B-CF47799666E6}">
  <sheetPr codeName="Sheet5">
    <tabColor theme="9" tint="0.59999389629810485"/>
  </sheetPr>
  <dimension ref="B5:N21"/>
  <sheetViews>
    <sheetView showGridLines="0" topLeftCell="A9" zoomScale="85" zoomScaleNormal="85" workbookViewId="0">
      <selection activeCell="E20" sqref="E20"/>
    </sheetView>
  </sheetViews>
  <sheetFormatPr defaultColWidth="8.7265625" defaultRowHeight="22.5"/>
  <cols>
    <col min="1" max="1" width="8.7265625" style="251"/>
    <col min="2" max="2" width="16.36328125" style="251" customWidth="1"/>
    <col min="3" max="4" width="8.7265625" style="251"/>
    <col min="5" max="5" width="11.54296875" style="251" customWidth="1"/>
    <col min="6" max="6" width="17.1796875" style="251" customWidth="1"/>
    <col min="7" max="8" width="8.7265625" style="251"/>
    <col min="9" max="9" width="12.81640625" style="251" bestFit="1" customWidth="1"/>
    <col min="10" max="10" width="14.54296875" style="251" customWidth="1"/>
    <col min="11" max="11" width="8.7265625" style="251"/>
    <col min="12" max="12" width="18.90625" style="251" bestFit="1" customWidth="1"/>
    <col min="13" max="13" width="2.26953125" style="251" customWidth="1"/>
    <col min="14" max="16384" width="8.7265625" style="251"/>
  </cols>
  <sheetData>
    <row r="5" spans="2:14">
      <c r="E5" s="249" t="s">
        <v>349</v>
      </c>
      <c r="F5" s="250">
        <f>BL!I41</f>
        <v>12714242520</v>
      </c>
      <c r="I5" s="249" t="s">
        <v>350</v>
      </c>
      <c r="J5" s="252">
        <f>BL!I95</f>
        <v>6576068159</v>
      </c>
    </row>
    <row r="6" spans="2:14">
      <c r="B6" s="251" t="s">
        <v>353</v>
      </c>
      <c r="C6" s="374">
        <v>2.75E-2</v>
      </c>
      <c r="E6" s="253" t="s">
        <v>312</v>
      </c>
      <c r="F6" s="254">
        <f>CF!I42*-1</f>
        <v>617342257</v>
      </c>
      <c r="I6" s="253" t="s">
        <v>351</v>
      </c>
      <c r="J6" s="255">
        <v>0.1</v>
      </c>
    </row>
    <row r="7" spans="2:14">
      <c r="B7" s="251" t="s">
        <v>398</v>
      </c>
      <c r="C7" s="374">
        <v>2.1100000000000001E-2</v>
      </c>
      <c r="D7" s="398" t="s">
        <v>399</v>
      </c>
      <c r="E7" s="256" t="s">
        <v>352</v>
      </c>
      <c r="F7" s="257">
        <f>F6/F5</f>
        <v>4.8555173934184168E-2</v>
      </c>
      <c r="I7" s="253" t="s">
        <v>353</v>
      </c>
      <c r="J7" s="255">
        <v>2.75E-2</v>
      </c>
    </row>
    <row r="8" spans="2:14">
      <c r="I8" s="253" t="s">
        <v>354</v>
      </c>
      <c r="J8" s="255">
        <f>J6-J7</f>
        <v>7.2500000000000009E-2</v>
      </c>
    </row>
    <row r="9" spans="2:14">
      <c r="I9" s="253" t="s">
        <v>386</v>
      </c>
      <c r="J9" s="258">
        <v>1.2</v>
      </c>
      <c r="K9" s="259" t="s">
        <v>356</v>
      </c>
    </row>
    <row r="10" spans="2:14">
      <c r="I10" s="256" t="s">
        <v>357</v>
      </c>
      <c r="J10" s="257">
        <f>J7+J9*J8</f>
        <v>0.1145</v>
      </c>
    </row>
    <row r="11" spans="2:14">
      <c r="E11" s="251" t="str">
        <f>E5</f>
        <v>IBD</v>
      </c>
      <c r="F11" s="260">
        <f>F5</f>
        <v>12714242520</v>
      </c>
    </row>
    <row r="12" spans="2:14">
      <c r="E12" s="251" t="str">
        <f>I5</f>
        <v>Equity</v>
      </c>
      <c r="F12" s="260">
        <f>J5</f>
        <v>6576068159</v>
      </c>
    </row>
    <row r="13" spans="2:14">
      <c r="E13" s="251" t="s">
        <v>358</v>
      </c>
      <c r="F13" s="260">
        <f>SUM(F11:F12)</f>
        <v>19290310679</v>
      </c>
      <c r="H13" s="251" t="s">
        <v>387</v>
      </c>
      <c r="I13" s="375">
        <f>F11/F12</f>
        <v>1.9334110007055356</v>
      </c>
      <c r="L13" s="251" t="s">
        <v>385</v>
      </c>
      <c r="N13" s="374">
        <f>J7</f>
        <v>2.75E-2</v>
      </c>
    </row>
    <row r="14" spans="2:14">
      <c r="E14" s="251" t="s">
        <v>359</v>
      </c>
      <c r="F14" s="261">
        <f>F11/$F$13</f>
        <v>0.65909993527689004</v>
      </c>
      <c r="L14" s="380" t="s">
        <v>355</v>
      </c>
      <c r="M14" s="380"/>
      <c r="N14" s="380">
        <f>J9</f>
        <v>1.2</v>
      </c>
    </row>
    <row r="15" spans="2:14">
      <c r="E15" s="251" t="s">
        <v>360</v>
      </c>
      <c r="F15" s="261">
        <f>F12/$F$13</f>
        <v>0.34090006472311002</v>
      </c>
      <c r="L15" s="251" t="s">
        <v>374</v>
      </c>
      <c r="N15" s="375">
        <f>I13</f>
        <v>1.9334110007055356</v>
      </c>
    </row>
    <row r="16" spans="2:14">
      <c r="E16" s="251" t="s">
        <v>321</v>
      </c>
      <c r="F16" s="262">
        <v>0.2</v>
      </c>
      <c r="L16" s="378" t="s">
        <v>388</v>
      </c>
      <c r="M16" s="378"/>
      <c r="N16" s="379">
        <f>J8</f>
        <v>7.2500000000000009E-2</v>
      </c>
    </row>
    <row r="17" spans="5:14">
      <c r="L17" s="380" t="s">
        <v>389</v>
      </c>
      <c r="M17" s="380"/>
      <c r="N17" s="381">
        <f>J10</f>
        <v>0.1145</v>
      </c>
    </row>
    <row r="18" spans="5:14">
      <c r="E18" s="251" t="s">
        <v>337</v>
      </c>
      <c r="F18" s="263">
        <f>(1-F16)*F14*F7+F15*J10</f>
        <v>6.4635227008699239E-2</v>
      </c>
      <c r="L18" s="380" t="s">
        <v>390</v>
      </c>
      <c r="M18" s="380"/>
      <c r="N18" s="381">
        <f>F7</f>
        <v>4.8555173934184168E-2</v>
      </c>
    </row>
    <row r="19" spans="5:14">
      <c r="L19" s="251" t="s">
        <v>391</v>
      </c>
      <c r="N19" s="262">
        <f>F16</f>
        <v>0.2</v>
      </c>
    </row>
    <row r="20" spans="5:14" ht="23" thickBot="1">
      <c r="L20" s="376" t="s">
        <v>392</v>
      </c>
      <c r="M20" s="376"/>
      <c r="N20" s="377">
        <f>F18</f>
        <v>6.4635227008699239E-2</v>
      </c>
    </row>
    <row r="21" spans="5:14" ht="23" thickTop="1"/>
  </sheetData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F1917-1DF4-4F48-8F2E-3958AD7DD968}">
  <sheetPr>
    <tabColor theme="9" tint="0.59999389629810485"/>
  </sheetPr>
  <dimension ref="H7:S22"/>
  <sheetViews>
    <sheetView showGridLines="0" topLeftCell="A9" zoomScale="85" zoomScaleNormal="85" workbookViewId="0">
      <selection activeCell="O9" sqref="O9"/>
    </sheetView>
  </sheetViews>
  <sheetFormatPr defaultRowHeight="14.5"/>
  <sheetData>
    <row r="7" spans="8:19" ht="21.5">
      <c r="H7" s="368" t="s">
        <v>368</v>
      </c>
      <c r="I7" s="368"/>
      <c r="J7" s="368"/>
      <c r="K7" s="368"/>
      <c r="L7" s="368" t="s">
        <v>384</v>
      </c>
      <c r="M7" s="368"/>
      <c r="N7" s="368"/>
      <c r="O7" s="368"/>
      <c r="P7" s="368"/>
      <c r="Q7" s="368"/>
      <c r="R7" s="368"/>
      <c r="S7" s="368"/>
    </row>
    <row r="8" spans="8:19" ht="21.5">
      <c r="H8" s="368"/>
      <c r="I8" s="368"/>
      <c r="J8" s="368"/>
      <c r="K8" s="368"/>
      <c r="L8" s="368"/>
      <c r="M8" s="368"/>
      <c r="N8" s="368"/>
      <c r="O8" s="373">
        <v>2567</v>
      </c>
      <c r="P8" s="373">
        <f>O8+1</f>
        <v>2568</v>
      </c>
      <c r="Q8" s="373">
        <f>P8+1</f>
        <v>2569</v>
      </c>
      <c r="R8" s="373">
        <f>Q8+1</f>
        <v>2570</v>
      </c>
      <c r="S8" s="373">
        <f>R8+1</f>
        <v>2571</v>
      </c>
    </row>
    <row r="9" spans="8:19" ht="21.5">
      <c r="H9" s="368"/>
      <c r="I9" s="372" t="s">
        <v>383</v>
      </c>
      <c r="J9" s="368"/>
      <c r="K9" s="368"/>
      <c r="L9" s="368"/>
      <c r="M9" s="368"/>
      <c r="N9" s="371" t="s">
        <v>323</v>
      </c>
      <c r="O9" s="371">
        <f>[1]Valuation!J114</f>
        <v>1.834532914101825</v>
      </c>
      <c r="P9" s="371">
        <f>[1]Valuation!K114</f>
        <v>2.00602397531694</v>
      </c>
      <c r="Q9" s="371">
        <f>[1]Valuation!L114</f>
        <v>2.1573547872430674</v>
      </c>
      <c r="R9" s="371">
        <f>[1]Valuation!M114</f>
        <v>2.3206090420013021</v>
      </c>
      <c r="S9" s="371">
        <f>[1]Valuation!N114</f>
        <v>2.4967369545757703</v>
      </c>
    </row>
    <row r="10" spans="8:19" ht="21.5">
      <c r="H10" s="368" t="s">
        <v>382</v>
      </c>
      <c r="I10" s="368">
        <v>4.8</v>
      </c>
      <c r="J10" s="368"/>
      <c r="K10" s="368"/>
      <c r="L10" s="368"/>
      <c r="M10" s="368"/>
      <c r="N10" s="368"/>
      <c r="O10" s="368"/>
      <c r="P10" s="368"/>
      <c r="Q10" s="368"/>
      <c r="R10" s="368"/>
      <c r="S10" s="368"/>
    </row>
    <row r="11" spans="8:19" ht="22" thickBot="1">
      <c r="H11" s="368" t="s">
        <v>381</v>
      </c>
      <c r="I11" s="368">
        <v>6.1</v>
      </c>
      <c r="J11" s="368"/>
      <c r="K11" s="368"/>
      <c r="L11" s="368"/>
      <c r="M11" s="368"/>
      <c r="N11" s="368"/>
      <c r="O11" s="368"/>
      <c r="P11" s="368"/>
      <c r="Q11" s="368"/>
      <c r="R11" s="368"/>
      <c r="S11" s="368"/>
    </row>
    <row r="12" spans="8:19" ht="22.5">
      <c r="H12" s="368" t="s">
        <v>394</v>
      </c>
      <c r="I12" s="382" t="s">
        <v>28</v>
      </c>
      <c r="J12" s="368"/>
      <c r="K12" s="383"/>
      <c r="L12" s="384"/>
      <c r="M12" s="384"/>
      <c r="N12" s="384"/>
      <c r="O12" s="384"/>
      <c r="P12" s="384"/>
      <c r="Q12" s="385"/>
      <c r="R12" s="368"/>
      <c r="S12" s="368"/>
    </row>
    <row r="13" spans="8:19" ht="22.5">
      <c r="H13" s="368" t="s">
        <v>395</v>
      </c>
      <c r="I13" s="368">
        <v>11.58</v>
      </c>
      <c r="J13" s="368"/>
      <c r="K13" s="386"/>
      <c r="L13" s="393" t="s">
        <v>393</v>
      </c>
      <c r="M13" s="251"/>
      <c r="N13" s="387" t="s">
        <v>323</v>
      </c>
      <c r="O13" s="389">
        <f>O9</f>
        <v>1.834532914101825</v>
      </c>
      <c r="P13" s="251"/>
      <c r="Q13" s="388"/>
      <c r="R13" s="368"/>
      <c r="S13" s="368"/>
    </row>
    <row r="14" spans="8:19" ht="22.5">
      <c r="H14" s="368" t="s">
        <v>292</v>
      </c>
      <c r="I14" s="368">
        <v>5.51</v>
      </c>
      <c r="J14" s="368"/>
      <c r="K14" s="386"/>
      <c r="L14" s="251"/>
      <c r="M14" s="251"/>
      <c r="N14" s="251" t="s">
        <v>373</v>
      </c>
      <c r="O14" s="251"/>
      <c r="P14" s="251"/>
      <c r="Q14" s="388"/>
      <c r="R14" s="368"/>
      <c r="S14" s="368"/>
    </row>
    <row r="15" spans="8:19" ht="22.5">
      <c r="H15" s="368"/>
      <c r="I15" s="368"/>
      <c r="J15" s="368"/>
      <c r="K15" s="386"/>
      <c r="L15" s="251"/>
      <c r="M15" s="251" t="str">
        <f>H19</f>
        <v>High</v>
      </c>
      <c r="N15" s="251">
        <f>I19</f>
        <v>11.58</v>
      </c>
      <c r="O15" s="260">
        <f>$O$13*N15</f>
        <v>21.243891145299134</v>
      </c>
      <c r="P15" s="251"/>
      <c r="Q15" s="388"/>
      <c r="R15" s="368"/>
      <c r="S15" s="368"/>
    </row>
    <row r="16" spans="8:19" ht="22.5">
      <c r="H16" s="368"/>
      <c r="I16" s="368"/>
      <c r="J16" s="368"/>
      <c r="K16" s="386"/>
      <c r="L16" s="251"/>
      <c r="M16" s="251" t="str">
        <f>H20</f>
        <v>Low</v>
      </c>
      <c r="N16" s="251">
        <f>I20</f>
        <v>4.8</v>
      </c>
      <c r="O16" s="260">
        <f>$O$13*N16</f>
        <v>8.8057579876887591</v>
      </c>
      <c r="P16" s="251"/>
      <c r="Q16" s="388"/>
      <c r="R16" s="368"/>
      <c r="S16" s="368"/>
    </row>
    <row r="17" spans="8:19" ht="22.5">
      <c r="H17" s="368"/>
      <c r="I17" s="368"/>
      <c r="J17" s="368"/>
      <c r="K17" s="386"/>
      <c r="L17" s="251"/>
      <c r="M17" s="251" t="str">
        <f>H22</f>
        <v>Median</v>
      </c>
      <c r="N17" s="251">
        <f>I22</f>
        <v>5.8049999999999997</v>
      </c>
      <c r="O17" s="394">
        <f>$O$13*N17</f>
        <v>10.649463566361094</v>
      </c>
      <c r="P17" s="251"/>
      <c r="Q17" s="388"/>
      <c r="R17" s="368"/>
      <c r="S17" s="368"/>
    </row>
    <row r="18" spans="8:19" ht="23" thickBot="1">
      <c r="H18" s="370"/>
      <c r="I18" s="370"/>
      <c r="J18" s="368"/>
      <c r="K18" s="390"/>
      <c r="L18" s="391"/>
      <c r="M18" s="391"/>
      <c r="N18" s="391"/>
      <c r="O18" s="391"/>
      <c r="P18" s="391"/>
      <c r="Q18" s="392"/>
      <c r="R18" s="368"/>
      <c r="S18" s="368"/>
    </row>
    <row r="19" spans="8:19" ht="21.5">
      <c r="H19" s="368" t="s">
        <v>371</v>
      </c>
      <c r="I19" s="368">
        <f>MAX(I10:I18)</f>
        <v>11.58</v>
      </c>
      <c r="J19" s="368"/>
      <c r="K19" s="368"/>
      <c r="L19" s="368"/>
      <c r="M19" s="368"/>
      <c r="N19" s="368"/>
      <c r="O19" s="368"/>
      <c r="P19" s="368"/>
      <c r="Q19" s="368"/>
      <c r="R19" s="368"/>
      <c r="S19" s="368"/>
    </row>
    <row r="20" spans="8:19" ht="21.5">
      <c r="H20" s="368" t="s">
        <v>370</v>
      </c>
      <c r="I20" s="368">
        <f>MIN(I10:I18)</f>
        <v>4.8</v>
      </c>
      <c r="J20" s="368"/>
      <c r="K20" s="368"/>
      <c r="L20" s="368"/>
      <c r="M20" s="368"/>
      <c r="N20" s="368"/>
      <c r="O20" s="368"/>
      <c r="P20" s="368"/>
      <c r="Q20" s="368"/>
      <c r="R20" s="368"/>
      <c r="S20" s="368"/>
    </row>
    <row r="21" spans="8:19" ht="21.5">
      <c r="H21" s="368" t="s">
        <v>380</v>
      </c>
      <c r="I21" s="369">
        <f>AVERAGE(I10:I18)</f>
        <v>6.9974999999999987</v>
      </c>
      <c r="J21" s="368"/>
      <c r="K21" s="368"/>
      <c r="L21" s="368"/>
      <c r="M21" s="368"/>
      <c r="N21" s="368"/>
      <c r="O21" s="368"/>
      <c r="P21" s="368"/>
      <c r="Q21" s="368"/>
      <c r="R21" s="368"/>
      <c r="S21" s="368"/>
    </row>
    <row r="22" spans="8:19" ht="21.5">
      <c r="H22" s="368" t="s">
        <v>379</v>
      </c>
      <c r="I22" s="368">
        <f>MEDIAN(I10:I18)</f>
        <v>5.8049999999999997</v>
      </c>
      <c r="J22" s="368"/>
      <c r="K22" s="368"/>
      <c r="L22" s="368"/>
      <c r="M22" s="368"/>
      <c r="N22" s="368"/>
      <c r="O22" s="368"/>
      <c r="P22" s="368"/>
      <c r="Q22" s="368"/>
      <c r="R22" s="368"/>
      <c r="S22" s="36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Statement&gt;&gt;&gt;</vt:lpstr>
      <vt:lpstr>BL</vt:lpstr>
      <vt:lpstr>CF</vt:lpstr>
      <vt:lpstr>PL</vt:lpstr>
      <vt:lpstr>Valuation&amp;Analysis&gt;&gt;&gt;</vt:lpstr>
      <vt:lpstr>Ratio</vt:lpstr>
      <vt:lpstr>Valuation</vt:lpstr>
      <vt:lpstr>WACC</vt:lpstr>
      <vt:lpstr>Comparable-PE</vt:lpstr>
      <vt:lpstr>BL!Print_Area</vt:lpstr>
      <vt:lpstr>CF!Print_Area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Punyanuch Sakphukhaio</dc:creator>
  <cp:keywords/>
  <dc:description/>
  <cp:lastModifiedBy>Punyanuch Sakphukhaio</cp:lastModifiedBy>
  <cp:revision/>
  <cp:lastPrinted>2024-04-26T15:10:22Z</cp:lastPrinted>
  <dcterms:created xsi:type="dcterms:W3CDTF">2024-04-18T08:00:34Z</dcterms:created>
  <dcterms:modified xsi:type="dcterms:W3CDTF">2024-04-26T15:54:14Z</dcterms:modified>
  <cp:category/>
  <cp:contentStatus/>
</cp:coreProperties>
</file>