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rad2017\optimization\final\"/>
    </mc:Choice>
  </mc:AlternateContent>
  <bookViews>
    <workbookView xWindow="0" yWindow="0" windowWidth="23040" windowHeight="9084"/>
  </bookViews>
  <sheets>
    <sheet name="p9" sheetId="2" r:id="rId1"/>
  </sheets>
  <definedNames>
    <definedName name="solver_adj" localSheetId="0" hidden="1">'p9'!$E$3:$E$18,'p9'!$G$3:$G$18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'p9'!$L$9:$L$12</definedName>
    <definedName name="solver_lhs2" localSheetId="0" hidden="1">'p9'!$N$3:$N$6</definedName>
    <definedName name="solver_lhs3" localSheetId="0" hidden="1">'p9'!$L$3:$L$6</definedName>
    <definedName name="solver_lhs4" localSheetId="0" hidden="1">'p9'!$E$3:$E$18</definedName>
    <definedName name="solver_lhs5" localSheetId="0" hidden="1">'p9'!$E$3:$E$18</definedName>
    <definedName name="solver_lhs6" localSheetId="0" hidden="1">'p9'!$G$3:$G$18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'p9'!$L$18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2</definedName>
    <definedName name="solver_rel3" localSheetId="0" hidden="1">2</definedName>
    <definedName name="solver_rel4" localSheetId="0" hidden="1">4</definedName>
    <definedName name="solver_rel5" localSheetId="0" hidden="1">1</definedName>
    <definedName name="solver_rel6" localSheetId="0" hidden="1">5</definedName>
    <definedName name="solver_rhs1" localSheetId="0" hidden="1">'p9'!$M$9:$M$12</definedName>
    <definedName name="solver_rhs2" localSheetId="0" hidden="1">1</definedName>
    <definedName name="solver_rhs3" localSheetId="0" hidden="1">'p9'!$M$3:$M$6</definedName>
    <definedName name="solver_rhs4" localSheetId="0" hidden="1">integer</definedName>
    <definedName name="solver_rhs5" localSheetId="0" hidden="1">'p9'!$I$3:$I$18</definedName>
    <definedName name="solver_rhs6" localSheetId="0" hidden="1">binary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M16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3" i="2"/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3" i="2"/>
  <c r="L16" i="2"/>
  <c r="K16" i="2"/>
  <c r="L12" i="2"/>
  <c r="L11" i="2"/>
  <c r="L10" i="2"/>
  <c r="L9" i="2"/>
  <c r="N6" i="2"/>
  <c r="M6" i="2"/>
  <c r="N5" i="2"/>
  <c r="M5" i="2"/>
  <c r="N4" i="2"/>
  <c r="M4" i="2"/>
  <c r="N3" i="2"/>
  <c r="M3" i="2"/>
  <c r="L18" i="2" l="1"/>
</calcChain>
</file>

<file path=xl/sharedStrings.xml><?xml version="1.0" encoding="utf-8"?>
<sst xmlns="http://schemas.openxmlformats.org/spreadsheetml/2006/main" count="35" uniqueCount="16">
  <si>
    <t>dc</t>
  </si>
  <si>
    <t>store</t>
  </si>
  <si>
    <t>mileage</t>
  </si>
  <si>
    <t>plan</t>
  </si>
  <si>
    <t>ship?</t>
  </si>
  <si>
    <t>&lt;=</t>
  </si>
  <si>
    <t>Constraint</t>
  </si>
  <si>
    <t>demand</t>
  </si>
  <si>
    <t>supply</t>
  </si>
  <si>
    <t>"=1 dc"</t>
  </si>
  <si>
    <t>capacity</t>
  </si>
  <si>
    <t>fix cost</t>
  </si>
  <si>
    <t>unit cost</t>
  </si>
  <si>
    <t xml:space="preserve">Total cost = </t>
  </si>
  <si>
    <t>far?</t>
  </si>
  <si>
    <t>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</si>
</sst>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0" fillId="3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0" fontId="4" fillId="5" borderId="14" xfId="0" applyFont="1" applyFill="1" applyBorder="1"/>
    <xf numFmtId="44" fontId="4" fillId="5" borderId="15" xfId="1" applyFont="1" applyFill="1" applyBorder="1"/>
    <xf numFmtId="0" fontId="0" fillId="0" borderId="0" xfId="0" applyAlignment="1">
      <alignment horizontal="center"/>
    </xf>
    <xf numFmtId="0" fontId="2" fillId="0" borderId="16" xfId="0" applyFont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3" borderId="6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0" fillId="3" borderId="12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44" fontId="3" fillId="0" borderId="0" xfId="1" applyFont="1" applyBorder="1" applyAlignment="1">
      <alignment horizontal="center" vertical="center"/>
    </xf>
    <xf numFmtId="44" fontId="0" fillId="0" borderId="0" xfId="1" applyFont="1" applyAlignment="1">
      <alignment horizontal="center"/>
    </xf>
    <xf numFmtId="44" fontId="0" fillId="0" borderId="0" xfId="1" applyFont="1" applyBorder="1" applyAlignment="1">
      <alignment horizontal="center"/>
    </xf>
    <xf numFmtId="44" fontId="5" fillId="0" borderId="0" xfId="1" applyFont="1" applyAlignment="1">
      <alignment horizontal="center"/>
    </xf>
  </cellXfs>
  <cellStyles count="2">
    <cellStyle name="Currency" xfId="1" builtinId="4"/>
    <cellStyle name="Normal" xfId="0" builtinId="0"/>
  </cellStyles>
  <dxfs count="21">
    <dxf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2:D18" totalsRowShown="0" headerRowDxfId="20" dataDxfId="19">
  <tableColumns count="3">
    <tableColumn id="1" name="dc" dataDxfId="18"/>
    <tableColumn id="2" name="store" dataDxfId="17"/>
    <tableColumn id="3" name="mileage" dataDxfId="1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K2:N6" totalsRowShown="0" headerRowDxfId="15" dataDxfId="14" tableBorderDxfId="13">
  <tableColumns count="4">
    <tableColumn id="1" name="store" dataDxfId="12"/>
    <tableColumn id="2" name="demand" dataDxfId="11"/>
    <tableColumn id="3" name="supply" dataDxfId="10">
      <calculatedColumnFormula>SUMIF(Table1[store],"=0",Table1[mileage])</calculatedColumnFormula>
    </tableColumn>
    <tableColumn id="4" name="&quot;=1 dc&quot;" dataDxfId="9">
      <calculatedColumnFormula>SUMIF(Table1[store],"=0",G3:G18)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K8:M12" totalsRowShown="0" headerRowDxfId="8" dataDxfId="7" tableBorderDxfId="6">
  <autoFilter ref="K8:M12">
    <filterColumn colId="0" hiddenButton="1"/>
    <filterColumn colId="1" hiddenButton="1"/>
    <filterColumn colId="2" hiddenButton="1"/>
  </autoFilter>
  <tableColumns count="3">
    <tableColumn id="1" name="dc" dataDxfId="5"/>
    <tableColumn id="2" name="supply" dataDxfId="4"/>
    <tableColumn id="3" name="capacity" dataDxfId="3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K14:M16" totalsRowShown="0" headerRowDxfId="2" tableBorderDxfId="1" dataCellStyle="Currency">
  <tableColumns count="3">
    <tableColumn id="1" name="fix cost" dataCellStyle="Currency">
      <calculatedColumnFormula>SUM(G2:G17)*K14</calculatedColumnFormula>
    </tableColumn>
    <tableColumn id="2" name="unit cost" dataCellStyle="Currency">
      <calculatedColumnFormula>L14*SUMPRODUCT(G2:G17,Table1[mileage])</calculatedColumnFormula>
    </tableColumn>
    <tableColumn id="3" name="Extra" dataDxfId="0" data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tabSelected="1" topLeftCell="H1" zoomScale="115" zoomScaleNormal="115" workbookViewId="0">
      <selection activeCell="M16" sqref="M16"/>
    </sheetView>
  </sheetViews>
  <sheetFormatPr defaultRowHeight="14.4" x14ac:dyDescent="0.3"/>
  <cols>
    <col min="1" max="1" width="3" customWidth="1"/>
    <col min="2" max="3" width="5.33203125" customWidth="1"/>
    <col min="4" max="4" width="9.21875" customWidth="1"/>
    <col min="6" max="6" width="4.21875" bestFit="1" customWidth="1"/>
    <col min="8" max="8" width="2" customWidth="1"/>
    <col min="9" max="9" width="9.44140625" customWidth="1"/>
    <col min="10" max="10" width="2.33203125" customWidth="1"/>
    <col min="11" max="11" width="12.5546875" bestFit="1" customWidth="1"/>
    <col min="12" max="12" width="12.88671875" bestFit="1" customWidth="1"/>
    <col min="13" max="13" width="11.5546875" bestFit="1" customWidth="1"/>
    <col min="14" max="14" width="7.21875" customWidth="1"/>
    <col min="15" max="15" width="2.5546875" customWidth="1"/>
    <col min="17" max="17" width="12.88671875" bestFit="1" customWidth="1"/>
    <col min="18" max="18" width="2.21875" customWidth="1"/>
  </cols>
  <sheetData>
    <row r="1" spans="2:14" ht="10.199999999999999" customHeight="1" thickBot="1" x14ac:dyDescent="0.35"/>
    <row r="2" spans="2:14" ht="15" thickBot="1" x14ac:dyDescent="0.35">
      <c r="B2" s="1" t="s">
        <v>0</v>
      </c>
      <c r="C2" s="2" t="s">
        <v>1</v>
      </c>
      <c r="D2" s="2" t="s">
        <v>2</v>
      </c>
      <c r="E2" s="21" t="s">
        <v>3</v>
      </c>
      <c r="F2" s="26" t="s">
        <v>14</v>
      </c>
      <c r="G2" s="29" t="s">
        <v>4</v>
      </c>
      <c r="H2" s="3" t="s">
        <v>5</v>
      </c>
      <c r="I2" s="4" t="s">
        <v>6</v>
      </c>
      <c r="K2" s="5" t="s">
        <v>1</v>
      </c>
      <c r="L2" s="6" t="s">
        <v>7</v>
      </c>
      <c r="M2" s="5" t="s">
        <v>8</v>
      </c>
      <c r="N2" s="6" t="s">
        <v>9</v>
      </c>
    </row>
    <row r="3" spans="2:14" x14ac:dyDescent="0.3">
      <c r="B3" s="7">
        <v>0</v>
      </c>
      <c r="C3" s="8">
        <v>0</v>
      </c>
      <c r="D3" s="8">
        <v>102.6070194</v>
      </c>
      <c r="E3" s="22">
        <v>208</v>
      </c>
      <c r="F3" s="27">
        <f>IF(Table1[[#This Row],[mileage]]&gt;150,1,0)</f>
        <v>0</v>
      </c>
      <c r="G3" s="30">
        <v>1</v>
      </c>
      <c r="H3" s="9" t="s">
        <v>5</v>
      </c>
      <c r="I3" s="10">
        <f>G3*12000</f>
        <v>12000</v>
      </c>
      <c r="K3" s="5">
        <v>0</v>
      </c>
      <c r="L3" s="6">
        <v>208</v>
      </c>
      <c r="M3" s="5">
        <f>SUMIF(Table1[store],"=0",E$3:E$18)</f>
        <v>208</v>
      </c>
      <c r="N3" s="6">
        <f>SUMIF(Table1[store],"=0",G$3:G$18)</f>
        <v>1</v>
      </c>
    </row>
    <row r="4" spans="2:14" x14ac:dyDescent="0.3">
      <c r="B4" s="7">
        <v>0</v>
      </c>
      <c r="C4" s="8">
        <v>1</v>
      </c>
      <c r="D4" s="8">
        <v>981.51603079999995</v>
      </c>
      <c r="E4" s="23">
        <v>0</v>
      </c>
      <c r="F4" s="27">
        <f>IF(Table1[[#This Row],[mileage]]&gt;150,1,0)</f>
        <v>1</v>
      </c>
      <c r="G4" s="30">
        <v>0</v>
      </c>
      <c r="H4" s="9" t="s">
        <v>5</v>
      </c>
      <c r="I4" s="10">
        <f t="shared" ref="I4:I18" si="0">G4*12000</f>
        <v>0</v>
      </c>
      <c r="K4" s="5">
        <v>1</v>
      </c>
      <c r="L4" s="6">
        <v>54</v>
      </c>
      <c r="M4" s="5">
        <f>SUMIF(Table1[store],"=1",E$3:E$18)</f>
        <v>54</v>
      </c>
      <c r="N4" s="6">
        <f>SUMIF(Table1[store],"=1",G$3:G$18)</f>
        <v>1</v>
      </c>
    </row>
    <row r="5" spans="2:14" x14ac:dyDescent="0.3">
      <c r="B5" s="7">
        <v>0</v>
      </c>
      <c r="C5" s="8">
        <v>2</v>
      </c>
      <c r="D5" s="8">
        <v>889.42145670000002</v>
      </c>
      <c r="E5" s="23">
        <v>0</v>
      </c>
      <c r="F5" s="27">
        <f>IF(Table1[[#This Row],[mileage]]&gt;150,1,0)</f>
        <v>1</v>
      </c>
      <c r="G5" s="30">
        <v>0</v>
      </c>
      <c r="H5" s="9" t="s">
        <v>5</v>
      </c>
      <c r="I5" s="10">
        <f t="shared" si="0"/>
        <v>0</v>
      </c>
      <c r="K5" s="5">
        <v>2</v>
      </c>
      <c r="L5" s="6">
        <v>66</v>
      </c>
      <c r="M5" s="5">
        <f>SUMIF(Table1[store],"=2",E$3:E$18)</f>
        <v>66</v>
      </c>
      <c r="N5" s="6">
        <f>SUMIF(Table1[store],"=2",G$3:G$18)</f>
        <v>1</v>
      </c>
    </row>
    <row r="6" spans="2:14" x14ac:dyDescent="0.3">
      <c r="B6" s="7">
        <v>0</v>
      </c>
      <c r="C6" s="8">
        <v>3</v>
      </c>
      <c r="D6" s="8">
        <v>720.99536669999998</v>
      </c>
      <c r="E6" s="23">
        <v>0</v>
      </c>
      <c r="F6" s="27">
        <f>IF(Table1[[#This Row],[mileage]]&gt;150,1,0)</f>
        <v>1</v>
      </c>
      <c r="G6" s="30">
        <v>0</v>
      </c>
      <c r="H6" s="9" t="s">
        <v>5</v>
      </c>
      <c r="I6" s="10">
        <f t="shared" si="0"/>
        <v>0</v>
      </c>
      <c r="K6" s="5">
        <v>3</v>
      </c>
      <c r="L6" s="6">
        <v>282</v>
      </c>
      <c r="M6" s="5">
        <f>SUMIF(Table1[store],"=3",E$3:E$18)</f>
        <v>282</v>
      </c>
      <c r="N6" s="6">
        <f>SUMIF(Table1[store],"=3",G$3:G$18)</f>
        <v>1</v>
      </c>
    </row>
    <row r="7" spans="2:14" x14ac:dyDescent="0.3">
      <c r="B7" s="7">
        <v>1</v>
      </c>
      <c r="C7" s="8">
        <v>0</v>
      </c>
      <c r="D7" s="8">
        <v>363.46736759999999</v>
      </c>
      <c r="E7" s="23">
        <v>0</v>
      </c>
      <c r="F7" s="27">
        <f>IF(Table1[[#This Row],[mileage]]&gt;150,1,0)</f>
        <v>1</v>
      </c>
      <c r="G7" s="30">
        <v>0</v>
      </c>
      <c r="H7" s="9" t="s">
        <v>5</v>
      </c>
      <c r="I7" s="10">
        <f t="shared" si="0"/>
        <v>0</v>
      </c>
    </row>
    <row r="8" spans="2:14" x14ac:dyDescent="0.3">
      <c r="B8" s="7">
        <v>1</v>
      </c>
      <c r="C8" s="8">
        <v>1</v>
      </c>
      <c r="D8" s="8">
        <v>452.69082750000001</v>
      </c>
      <c r="E8" s="23">
        <v>0</v>
      </c>
      <c r="F8" s="27">
        <f>IF(Table1[[#This Row],[mileage]]&gt;150,1,0)</f>
        <v>1</v>
      </c>
      <c r="G8" s="30">
        <v>0</v>
      </c>
      <c r="H8" s="9" t="s">
        <v>5</v>
      </c>
      <c r="I8" s="10">
        <f t="shared" si="0"/>
        <v>0</v>
      </c>
      <c r="K8" s="11" t="s">
        <v>0</v>
      </c>
      <c r="L8" s="11" t="s">
        <v>8</v>
      </c>
      <c r="M8" s="12" t="s">
        <v>10</v>
      </c>
    </row>
    <row r="9" spans="2:14" x14ac:dyDescent="0.3">
      <c r="B9" s="7">
        <v>1</v>
      </c>
      <c r="C9" s="8">
        <v>2</v>
      </c>
      <c r="D9" s="8">
        <v>563.91384359999995</v>
      </c>
      <c r="E9" s="23">
        <v>0</v>
      </c>
      <c r="F9" s="27">
        <f>IF(Table1[[#This Row],[mileage]]&gt;150,1,0)</f>
        <v>1</v>
      </c>
      <c r="G9" s="30">
        <v>0</v>
      </c>
      <c r="H9" s="9" t="s">
        <v>5</v>
      </c>
      <c r="I9" s="10">
        <f t="shared" si="0"/>
        <v>0</v>
      </c>
      <c r="K9" s="11">
        <v>0</v>
      </c>
      <c r="L9" s="11">
        <f>SUMIF(B$3:B$18,"=0",E$3:E$18)</f>
        <v>208</v>
      </c>
      <c r="M9" s="12">
        <v>12000</v>
      </c>
    </row>
    <row r="10" spans="2:14" x14ac:dyDescent="0.3">
      <c r="B10" s="7">
        <v>1</v>
      </c>
      <c r="C10" s="8">
        <v>3</v>
      </c>
      <c r="D10" s="8">
        <v>155.4318437</v>
      </c>
      <c r="E10" s="23">
        <v>282</v>
      </c>
      <c r="F10" s="27">
        <f>IF(Table1[[#This Row],[mileage]]&gt;150,1,0)</f>
        <v>1</v>
      </c>
      <c r="G10" s="30">
        <v>1</v>
      </c>
      <c r="H10" s="9" t="s">
        <v>5</v>
      </c>
      <c r="I10" s="10">
        <f t="shared" si="0"/>
        <v>12000</v>
      </c>
      <c r="K10" s="13">
        <v>1</v>
      </c>
      <c r="L10" s="11">
        <f>SUMIF(B$3:B$18,"=1",E$3:E$18)</f>
        <v>282</v>
      </c>
      <c r="M10" s="12">
        <v>12000</v>
      </c>
    </row>
    <row r="11" spans="2:14" x14ac:dyDescent="0.3">
      <c r="B11" s="7">
        <v>2</v>
      </c>
      <c r="C11" s="8">
        <v>0</v>
      </c>
      <c r="D11" s="8">
        <v>570.93446919999997</v>
      </c>
      <c r="E11" s="23">
        <v>0</v>
      </c>
      <c r="F11" s="27">
        <f>IF(Table1[[#This Row],[mileage]]&gt;150,1,0)</f>
        <v>1</v>
      </c>
      <c r="G11" s="30">
        <v>0</v>
      </c>
      <c r="H11" s="9" t="s">
        <v>5</v>
      </c>
      <c r="I11" s="10">
        <f t="shared" si="0"/>
        <v>0</v>
      </c>
      <c r="K11" s="11">
        <v>2</v>
      </c>
      <c r="L11" s="11">
        <f>SUMIF(B$3:B$18,"=2",E$3:E$18)</f>
        <v>0</v>
      </c>
      <c r="M11" s="12">
        <v>12000</v>
      </c>
    </row>
    <row r="12" spans="2:14" x14ac:dyDescent="0.3">
      <c r="B12" s="7">
        <v>2</v>
      </c>
      <c r="C12" s="8">
        <v>1</v>
      </c>
      <c r="D12" s="8">
        <v>806.06172360000005</v>
      </c>
      <c r="E12" s="23">
        <v>0</v>
      </c>
      <c r="F12" s="27">
        <f>IF(Table1[[#This Row],[mileage]]&gt;150,1,0)</f>
        <v>1</v>
      </c>
      <c r="G12" s="30">
        <v>0</v>
      </c>
      <c r="H12" s="9" t="s">
        <v>5</v>
      </c>
      <c r="I12" s="10">
        <f t="shared" si="0"/>
        <v>0</v>
      </c>
      <c r="K12" s="13">
        <v>3</v>
      </c>
      <c r="L12" s="11">
        <f>SUMIF(B$3:B$18,"=3",E$3:E$18)</f>
        <v>120</v>
      </c>
      <c r="M12" s="12">
        <v>12000</v>
      </c>
    </row>
    <row r="13" spans="2:14" x14ac:dyDescent="0.3">
      <c r="B13" s="7">
        <v>2</v>
      </c>
      <c r="C13" s="8">
        <v>2</v>
      </c>
      <c r="D13" s="8">
        <v>199.2023744</v>
      </c>
      <c r="E13" s="23">
        <v>0</v>
      </c>
      <c r="F13" s="27">
        <f>IF(Table1[[#This Row],[mileage]]&gt;150,1,0)</f>
        <v>1</v>
      </c>
      <c r="G13" s="30">
        <v>0</v>
      </c>
      <c r="H13" s="9" t="s">
        <v>5</v>
      </c>
      <c r="I13" s="10">
        <f t="shared" si="0"/>
        <v>0</v>
      </c>
    </row>
    <row r="14" spans="2:14" x14ac:dyDescent="0.3">
      <c r="B14" s="7">
        <v>2</v>
      </c>
      <c r="C14" s="8">
        <v>3</v>
      </c>
      <c r="D14" s="8">
        <v>986.11574010000004</v>
      </c>
      <c r="E14" s="23">
        <v>0</v>
      </c>
      <c r="F14" s="27">
        <f>IF(Table1[[#This Row],[mileage]]&gt;150,1,0)</f>
        <v>1</v>
      </c>
      <c r="G14" s="30">
        <v>0</v>
      </c>
      <c r="H14" s="9" t="s">
        <v>5</v>
      </c>
      <c r="I14" s="10">
        <f t="shared" si="0"/>
        <v>0</v>
      </c>
      <c r="K14" s="14" t="s">
        <v>11</v>
      </c>
      <c r="L14" s="14" t="s">
        <v>12</v>
      </c>
      <c r="M14" s="25" t="s">
        <v>15</v>
      </c>
    </row>
    <row r="15" spans="2:14" ht="16.2" x14ac:dyDescent="0.45">
      <c r="B15" s="7">
        <v>3</v>
      </c>
      <c r="C15" s="8">
        <v>0</v>
      </c>
      <c r="D15" s="8">
        <v>867.49855539999999</v>
      </c>
      <c r="E15" s="23">
        <v>0</v>
      </c>
      <c r="F15" s="27">
        <f>IF(Table1[[#This Row],[mileage]]&gt;150,1,0)</f>
        <v>1</v>
      </c>
      <c r="G15" s="30">
        <v>0</v>
      </c>
      <c r="H15" s="9" t="s">
        <v>5</v>
      </c>
      <c r="I15" s="10">
        <f t="shared" si="0"/>
        <v>0</v>
      </c>
      <c r="K15" s="32">
        <v>200</v>
      </c>
      <c r="L15" s="32">
        <v>0.75</v>
      </c>
      <c r="M15" s="35">
        <v>250</v>
      </c>
    </row>
    <row r="16" spans="2:14" x14ac:dyDescent="0.3">
      <c r="B16" s="7">
        <v>3</v>
      </c>
      <c r="C16" s="8">
        <v>1</v>
      </c>
      <c r="D16" s="8">
        <v>340.58425399999999</v>
      </c>
      <c r="E16" s="23">
        <v>54</v>
      </c>
      <c r="F16" s="27">
        <f>IF(Table1[[#This Row],[mileage]]&gt;150,1,0)</f>
        <v>1</v>
      </c>
      <c r="G16" s="30">
        <v>1</v>
      </c>
      <c r="H16" s="9" t="s">
        <v>5</v>
      </c>
      <c r="I16" s="10">
        <f t="shared" si="0"/>
        <v>12000</v>
      </c>
      <c r="K16" s="34">
        <f>SUM(E3:E18)*K15</f>
        <v>122000</v>
      </c>
      <c r="L16" s="34">
        <f>L15*SUMPRODUCT(E3:E18,Table1[mileage])</f>
        <v>68282.777772000001</v>
      </c>
      <c r="M16" s="33">
        <f>SUMPRODUCT(F3:F18,E3:E18)*M15</f>
        <v>84000</v>
      </c>
    </row>
    <row r="17" spans="2:12" ht="15" thickBot="1" x14ac:dyDescent="0.35">
      <c r="B17" s="7">
        <v>3</v>
      </c>
      <c r="C17" s="8">
        <v>2</v>
      </c>
      <c r="D17" s="8">
        <v>113.3047579</v>
      </c>
      <c r="E17" s="23">
        <v>66</v>
      </c>
      <c r="F17" s="27">
        <f>IF(Table1[[#This Row],[mileage]]&gt;150,1,0)</f>
        <v>0</v>
      </c>
      <c r="G17" s="30">
        <v>1</v>
      </c>
      <c r="H17" s="9" t="s">
        <v>5</v>
      </c>
      <c r="I17" s="10">
        <f t="shared" si="0"/>
        <v>12000</v>
      </c>
    </row>
    <row r="18" spans="2:12" ht="15" thickBot="1" x14ac:dyDescent="0.35">
      <c r="B18" s="15">
        <v>3</v>
      </c>
      <c r="C18" s="16">
        <v>3</v>
      </c>
      <c r="D18" s="16">
        <v>312.68434480000002</v>
      </c>
      <c r="E18" s="24">
        <v>0</v>
      </c>
      <c r="F18" s="28">
        <f>IF(Table1[[#This Row],[mileage]]&gt;150,1,0)</f>
        <v>1</v>
      </c>
      <c r="G18" s="31">
        <v>0</v>
      </c>
      <c r="H18" s="17" t="s">
        <v>5</v>
      </c>
      <c r="I18" s="10">
        <f t="shared" si="0"/>
        <v>0</v>
      </c>
      <c r="K18" s="18" t="s">
        <v>13</v>
      </c>
      <c r="L18" s="19">
        <f>K16+L16+M16</f>
        <v>274282.777772</v>
      </c>
    </row>
    <row r="19" spans="2:12" x14ac:dyDescent="0.3">
      <c r="H19" s="20"/>
      <c r="I19" s="20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叶天楚</dc:creator>
  <cp:lastModifiedBy>叶天楚</cp:lastModifiedBy>
  <dcterms:created xsi:type="dcterms:W3CDTF">2017-12-13T02:46:48Z</dcterms:created>
  <dcterms:modified xsi:type="dcterms:W3CDTF">2017-12-15T15:45:55Z</dcterms:modified>
</cp:coreProperties>
</file>